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176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未售明细" sheetId="78"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成交明细" sheetId="79" r:id="rId46"/>
    <sheet name="Sheet1" sheetId="77"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21" l="1"/>
  <c r="G47" i="21"/>
  <c r="E47" i="21"/>
  <c r="Q867" i="79"/>
  <c r="C11" i="21" l="1"/>
  <c r="E59" i="21"/>
  <c r="F59" i="21" s="1"/>
  <c r="G59" i="21" s="1"/>
  <c r="H59" i="21" s="1"/>
  <c r="I59" i="21" s="1"/>
  <c r="J59" i="21" s="1"/>
  <c r="K59" i="21" s="1"/>
  <c r="L59" i="21" s="1"/>
  <c r="M59" i="21" s="1"/>
  <c r="D59" i="21"/>
  <c r="I7" i="21"/>
  <c r="G7" i="21"/>
  <c r="E7" i="21"/>
  <c r="L52" i="15"/>
  <c r="Y6" i="1"/>
  <c r="F19" i="6"/>
  <c r="AE864" i="79"/>
  <c r="AD864" i="79"/>
  <c r="AC864" i="79"/>
  <c r="AB864" i="79"/>
  <c r="AA864" i="79"/>
  <c r="AA866" i="79" s="1"/>
  <c r="Z864" i="79"/>
  <c r="Y864" i="79"/>
  <c r="Y865" i="79" s="1"/>
  <c r="X864" i="79"/>
  <c r="W864" i="79"/>
  <c r="V864" i="79"/>
  <c r="U864" i="79"/>
  <c r="T864" i="79"/>
  <c r="S864" i="79"/>
  <c r="R864" i="79"/>
  <c r="Q864" i="79"/>
  <c r="P864" i="79"/>
  <c r="O864" i="79"/>
  <c r="N864" i="79"/>
  <c r="M864" i="79"/>
  <c r="L864" i="79"/>
  <c r="K864" i="79"/>
  <c r="J864" i="79"/>
  <c r="I864" i="79"/>
  <c r="H867" i="79" s="1"/>
  <c r="H864" i="79"/>
  <c r="A3" i="3"/>
  <c r="C15" i="3"/>
  <c r="I13" i="3"/>
  <c r="C11" i="4"/>
  <c r="B6" i="4"/>
  <c r="G8" i="78"/>
  <c r="C8" i="78"/>
  <c r="D3" i="4"/>
  <c r="AH5" i="71" l="1"/>
  <c r="AG5" i="71"/>
  <c r="AF5" i="71"/>
  <c r="AE5" i="71"/>
  <c r="AD5" i="71"/>
  <c r="Q5" i="71"/>
  <c r="P5" i="71"/>
  <c r="O5" i="71"/>
  <c r="N5" i="71"/>
  <c r="AH6" i="71" l="1"/>
  <c r="AG6" i="71"/>
  <c r="AE6" i="71"/>
  <c r="AF6" i="71" s="1"/>
  <c r="AD6" i="71"/>
  <c r="Q6" i="71"/>
  <c r="AB5" i="71" s="1"/>
  <c r="P6" i="71"/>
  <c r="AA5" i="71" s="1"/>
  <c r="O6" i="71"/>
  <c r="Y5" i="71" s="1"/>
  <c r="Z5" i="71" s="1"/>
  <c r="N6" i="71"/>
  <c r="X5" i="71" s="1"/>
  <c r="V8" i="71" l="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2" i="71"/>
  <c r="P22" i="71"/>
  <c r="O22" i="71"/>
  <c r="N2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G83" i="21" s="1"/>
  <c r="H21" i="21"/>
  <c r="AB21" i="21" s="1"/>
  <c r="F38" i="69"/>
  <c r="E37" i="69"/>
  <c r="F36" i="69"/>
  <c r="F35" i="69"/>
  <c r="F21" i="69"/>
  <c r="F40" i="69" s="1"/>
  <c r="F20" i="69"/>
  <c r="F39" i="69" s="1"/>
  <c r="E10" i="69"/>
  <c r="E9" i="69"/>
  <c r="C7" i="69"/>
  <c r="AC21" i="37"/>
  <c r="W21" i="37"/>
  <c r="AC21" i="34"/>
  <c r="W21" i="34"/>
  <c r="AC21" i="33"/>
  <c r="W21" i="33"/>
  <c r="U21" i="21"/>
  <c r="J21" i="21"/>
  <c r="W21" i="21" s="1"/>
  <c r="C40" i="69"/>
  <c r="F38" i="68"/>
  <c r="E37" i="68"/>
  <c r="F36" i="68"/>
  <c r="F35" i="68"/>
  <c r="F21" i="68"/>
  <c r="F40" i="68" s="1"/>
  <c r="F20" i="68"/>
  <c r="F39" i="68" s="1"/>
  <c r="E10" i="68"/>
  <c r="E9" i="68"/>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E81" i="21"/>
  <c r="H19" i="21" s="1"/>
  <c r="D77" i="21"/>
  <c r="E77" i="21" s="1"/>
  <c r="B130" i="21"/>
  <c r="B128" i="21"/>
  <c r="J45" i="21"/>
  <c r="W45" i="21" s="1"/>
  <c r="B126" i="21"/>
  <c r="B98" i="21"/>
  <c r="H31" i="21"/>
  <c r="B96" i="21"/>
  <c r="B94" i="21"/>
  <c r="J29" i="21" s="1"/>
  <c r="B92" i="21"/>
  <c r="B90" i="21"/>
  <c r="J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c r="H8" i="21"/>
  <c r="U8" i="21" s="1"/>
  <c r="H10" i="21"/>
  <c r="AB10" i="21" s="1"/>
  <c r="H39" i="21"/>
  <c r="U39" i="21" s="1"/>
  <c r="J34" i="21"/>
  <c r="W34" i="21" s="1"/>
  <c r="H36" i="21"/>
  <c r="U36" i="21" s="1"/>
  <c r="F35" i="21"/>
  <c r="AA35" i="21" s="1"/>
  <c r="J10" i="21"/>
  <c r="AC10" i="21" s="1"/>
  <c r="H26" i="21"/>
  <c r="AB26" i="21" s="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s="1"/>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AC35"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AB39" i="21"/>
  <c r="S39" i="21"/>
  <c r="AA36" i="21"/>
  <c r="AC11" i="21"/>
  <c r="AA14" i="21"/>
  <c r="AB8" i="21"/>
  <c r="S8" i="21"/>
  <c r="M3" i="43"/>
  <c r="M1" i="43"/>
  <c r="N8" i="43"/>
  <c r="D120" i="9"/>
  <c r="D121" i="9" s="1"/>
  <c r="D7" i="52" s="1"/>
  <c r="C18" i="9"/>
  <c r="D18" i="9" s="1"/>
  <c r="F34" i="67"/>
  <c r="F62" i="67" s="1"/>
  <c r="M20" i="67"/>
  <c r="F34" i="15"/>
  <c r="F62" i="15" s="1"/>
  <c r="G13" i="3"/>
  <c r="G5" i="3"/>
  <c r="B3" i="3" s="1"/>
  <c r="BA13" i="3"/>
  <c r="AZ13" i="3" s="1"/>
  <c r="AZ5" i="3" s="1"/>
  <c r="AY6" i="3" s="1"/>
  <c r="E10" i="6"/>
  <c r="BA5" i="3"/>
  <c r="E11" i="6"/>
  <c r="E61" i="39" s="1"/>
  <c r="BL17" i="3"/>
  <c r="AZ17" i="3"/>
  <c r="BL13" i="3"/>
  <c r="E65" i="39"/>
  <c r="G30" i="6"/>
  <c r="G31" i="6" s="1"/>
  <c r="J56" i="9"/>
  <c r="J57" i="9" s="1"/>
  <c r="J59" i="9" s="1"/>
  <c r="J61" i="9" s="1"/>
  <c r="A24" i="51"/>
  <c r="B18" i="72"/>
  <c r="U29" i="34"/>
  <c r="E14" i="6"/>
  <c r="E64" i="39" s="1"/>
  <c r="E5" i="6"/>
  <c r="D9" i="11" s="1"/>
  <c r="C9" i="11" s="1"/>
  <c r="E32" i="6"/>
  <c r="L19" i="6"/>
  <c r="G1" i="68"/>
  <c r="K1" i="12"/>
  <c r="F30" i="6"/>
  <c r="E28" i="6"/>
  <c r="E57"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E56" i="39"/>
  <c r="B6" i="1"/>
  <c r="E6" i="1"/>
  <c r="S8" i="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F33" i="21"/>
  <c r="S33" i="21" s="1"/>
  <c r="J33" i="21"/>
  <c r="AC33" i="21" s="1"/>
  <c r="H33" i="21"/>
  <c r="AB33" i="21" s="1"/>
  <c r="AA26" i="21"/>
  <c r="AB14" i="21"/>
  <c r="AB46" i="21"/>
  <c r="U40" i="21"/>
  <c r="AB31" i="21"/>
  <c r="U31" i="21"/>
  <c r="U13" i="21"/>
  <c r="AB13" i="21"/>
  <c r="W8" i="21"/>
  <c r="AC19" i="21"/>
  <c r="W39" i="21"/>
  <c r="AC14" i="21"/>
  <c r="W30" i="21"/>
  <c r="S46" i="21"/>
  <c r="H45" i="21"/>
  <c r="U45" i="21" s="1"/>
  <c r="F29" i="21"/>
  <c r="S29" i="21"/>
  <c r="F13" i="21"/>
  <c r="AA13" i="21" s="1"/>
  <c r="AC38" i="21"/>
  <c r="H32" i="21"/>
  <c r="U32" i="21" s="1"/>
  <c r="H9" i="21"/>
  <c r="AB9" i="21" s="1"/>
  <c r="J9" i="21"/>
  <c r="J32" i="21"/>
  <c r="W32" i="21" s="1"/>
  <c r="F32" i="21"/>
  <c r="S32" i="21" s="1"/>
  <c r="AA31" i="21"/>
  <c r="S9" i="21"/>
  <c r="AA9" i="21"/>
  <c r="K141" i="21"/>
  <c r="K144" i="21"/>
  <c r="K143" i="21"/>
  <c r="U27" i="21"/>
  <c r="AB25" i="21"/>
  <c r="AB44" i="21"/>
  <c r="AA30" i="21"/>
  <c r="AC45" i="21"/>
  <c r="F10" i="21"/>
  <c r="AA10" i="21" s="1"/>
  <c r="K145" i="21"/>
  <c r="W25" i="21"/>
  <c r="AA29" i="21"/>
  <c r="W31" i="21"/>
  <c r="S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11"/>
  <c r="C48" i="11" s="1"/>
  <c r="E63" i="39"/>
  <c r="T11" i="1"/>
  <c r="D9" i="69"/>
  <c r="C9" i="69" s="1"/>
  <c r="AQ9" i="1"/>
  <c r="AR11" i="1"/>
  <c r="T9" i="1"/>
  <c r="T13" i="1"/>
  <c r="E69" i="3"/>
  <c r="E237" i="3"/>
  <c r="E114" i="3"/>
  <c r="E261" i="3"/>
  <c r="E278" i="3"/>
  <c r="E304" i="3"/>
  <c r="E415" i="3"/>
  <c r="E528" i="3"/>
  <c r="E563" i="3"/>
  <c r="E565" i="3"/>
  <c r="E395" i="3"/>
  <c r="E183" i="3"/>
  <c r="E172" i="3"/>
  <c r="E213" i="3"/>
  <c r="E260" i="3"/>
  <c r="E361" i="3"/>
  <c r="E445" i="3"/>
  <c r="E17" i="3"/>
  <c r="E550" i="3"/>
  <c r="E503" i="3"/>
  <c r="E535" i="3"/>
  <c r="E302" i="3"/>
  <c r="D9" i="68"/>
  <c r="C6" i="68" s="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D6" i="52"/>
  <c r="E239" i="3"/>
  <c r="E388" i="3"/>
  <c r="E509" i="3"/>
  <c r="O6" i="3"/>
  <c r="E516" i="3"/>
  <c r="E555" i="3"/>
  <c r="E579" i="3"/>
  <c r="E574" i="3"/>
  <c r="E569" i="3"/>
  <c r="E410" i="3"/>
  <c r="E431" i="3"/>
  <c r="E359" i="3"/>
  <c r="E396" i="3"/>
  <c r="E337" i="3"/>
  <c r="E247" i="3"/>
  <c r="E285" i="3"/>
  <c r="E229" i="3"/>
  <c r="E143" i="3"/>
  <c r="E201" i="3"/>
  <c r="E97" i="3"/>
  <c r="E151" i="3"/>
  <c r="K14" i="1"/>
  <c r="M14" i="1" s="1"/>
  <c r="O14" i="1" s="1"/>
  <c r="P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 i="21"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W33" i="21"/>
  <c r="AA32" i="21"/>
  <c r="W9" i="21"/>
  <c r="AC9" i="21"/>
  <c r="T7" i="1"/>
  <c r="E6" i="70"/>
  <c r="E2" i="70" s="1"/>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D19" i="11"/>
  <c r="C19" i="11" s="1"/>
  <c r="L18" i="9"/>
  <c r="D3" i="37"/>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M19" i="9"/>
  <c r="C118" i="9" s="1"/>
  <c r="C14" i="74" s="1"/>
  <c r="B2" i="74" s="1"/>
  <c r="D25" i="6"/>
  <c r="D26" i="6"/>
  <c r="D15" i="6"/>
  <c r="C18" i="4"/>
  <c r="C4" i="52" s="1"/>
  <c r="B45" i="72" s="1"/>
  <c r="D22" i="6"/>
  <c r="D8" i="6"/>
  <c r="D21" i="6"/>
  <c r="D23" i="6"/>
  <c r="D24" i="6"/>
  <c r="D14" i="6"/>
  <c r="D20" i="6"/>
  <c r="R7" i="1"/>
  <c r="D5" i="6"/>
  <c r="D12" i="6"/>
  <c r="D9" i="6"/>
  <c r="D11" i="6"/>
  <c r="D10" i="6"/>
  <c r="D13" i="6"/>
  <c r="L19" i="9"/>
  <c r="D28" i="6"/>
  <c r="D30" i="6" s="1"/>
  <c r="D29" i="6"/>
  <c r="E61" i="40"/>
  <c r="F34" i="1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G17" i="43" s="1"/>
  <c r="C16" i="43" s="1"/>
  <c r="O17" i="43"/>
  <c r="M17" i="43"/>
  <c r="E17" i="43"/>
  <c r="C70" i="39"/>
  <c r="D68" i="39"/>
  <c r="D70" i="39" s="1"/>
  <c r="E46" i="36"/>
  <c r="F46" i="36" s="1"/>
  <c r="G46" i="36" s="1"/>
  <c r="H46" i="36" s="1"/>
  <c r="I46" i="36" s="1"/>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68" i="39"/>
  <c r="F68" i="39" s="1"/>
  <c r="V16" i="71"/>
  <c r="C16" i="71"/>
  <c r="D17" i="71"/>
  <c r="E41" i="43"/>
  <c r="C41" i="43"/>
  <c r="C20" i="43"/>
  <c r="I59" i="34"/>
  <c r="J59" i="34" s="1"/>
  <c r="D14" i="71"/>
  <c r="T16" i="71"/>
  <c r="D15" i="71"/>
  <c r="D16" i="71"/>
  <c r="U16" i="71"/>
  <c r="AO12" i="1"/>
  <c r="M9" i="15"/>
  <c r="F37" i="67"/>
  <c r="B8" i="76"/>
  <c r="B9" i="76"/>
  <c r="F8" i="67"/>
  <c r="D2" i="34"/>
  <c r="D2" i="35"/>
  <c r="L48" i="15"/>
  <c r="D2" i="33"/>
  <c r="D2" i="36"/>
  <c r="M24" i="15"/>
  <c r="F26" i="67"/>
  <c r="AO8" i="1"/>
  <c r="M26" i="67"/>
  <c r="E7" i="76"/>
  <c r="F13" i="67"/>
  <c r="B13" i="76"/>
  <c r="F9" i="67"/>
  <c r="F16" i="67"/>
  <c r="F38" i="67"/>
  <c r="M28" i="67"/>
  <c r="F40" i="67"/>
  <c r="D3" i="73"/>
  <c r="M6" i="67"/>
  <c r="F42" i="15"/>
  <c r="AO10" i="1"/>
  <c r="AO11" i="1"/>
  <c r="E8" i="76"/>
  <c r="M22" i="15"/>
  <c r="M24" i="67"/>
  <c r="F42" i="67"/>
  <c r="E13" i="76"/>
  <c r="J15" i="67"/>
  <c r="C76" i="15"/>
  <c r="L48" i="67"/>
  <c r="F6" i="67"/>
  <c r="F20" i="31"/>
  <c r="AO7" i="1"/>
  <c r="F43" i="15"/>
  <c r="M23" i="15"/>
  <c r="M8" i="15"/>
  <c r="F41" i="67"/>
  <c r="M28" i="15"/>
  <c r="M29" i="67"/>
  <c r="F36" i="15"/>
  <c r="F7" i="15"/>
  <c r="J15" i="15"/>
  <c r="E12" i="76"/>
  <c r="D7" i="73"/>
  <c r="L47" i="15"/>
  <c r="F5" i="73"/>
  <c r="F7" i="67"/>
  <c r="M29" i="15"/>
  <c r="F16" i="15"/>
  <c r="E11" i="76"/>
  <c r="E10" i="76"/>
  <c r="M23" i="67"/>
  <c r="C76" i="67"/>
  <c r="M27" i="15"/>
  <c r="B7" i="76"/>
  <c r="M22" i="67"/>
  <c r="M8" i="67"/>
  <c r="F26" i="15"/>
  <c r="M27" i="67"/>
  <c r="B10" i="76"/>
  <c r="F37" i="15"/>
  <c r="M9" i="67"/>
  <c r="F7" i="73"/>
  <c r="D6" i="73"/>
  <c r="F8" i="15"/>
  <c r="F40" i="15"/>
  <c r="E2" i="69"/>
  <c r="F9" i="15"/>
  <c r="D2" i="37"/>
  <c r="F6" i="73"/>
  <c r="F13" i="15"/>
  <c r="AO9" i="1"/>
  <c r="B11" i="76"/>
  <c r="E9" i="76"/>
  <c r="L47" i="67"/>
  <c r="F6" i="15"/>
  <c r="F38" i="15"/>
  <c r="M21" i="67"/>
  <c r="B12" i="76"/>
  <c r="F3" i="73"/>
  <c r="E2" i="68"/>
  <c r="D5" i="73"/>
  <c r="F35" i="67"/>
  <c r="D4" i="73"/>
  <c r="F43" i="67"/>
  <c r="AO13" i="1"/>
  <c r="F36" i="67"/>
  <c r="M26" i="15"/>
  <c r="M6" i="15"/>
  <c r="F4" i="73"/>
  <c r="D2" i="21"/>
  <c r="C21" i="69" l="1"/>
  <c r="C9" i="68"/>
  <c r="C7" i="68"/>
  <c r="C5" i="68" s="1"/>
  <c r="AB11" i="21"/>
  <c r="S45" i="21"/>
  <c r="AA43" i="21"/>
  <c r="U34" i="21"/>
  <c r="AB32" i="21"/>
  <c r="AA38" i="21"/>
  <c r="W41" i="21"/>
  <c r="S42" i="21"/>
  <c r="H23" i="21"/>
  <c r="AB23" i="21" s="1"/>
  <c r="G123" i="21"/>
  <c r="H123" i="21" s="1"/>
  <c r="I123" i="21" s="1"/>
  <c r="J123" i="21" s="1"/>
  <c r="K123" i="21" s="1"/>
  <c r="L123" i="21" s="1"/>
  <c r="M123" i="21" s="1"/>
  <c r="H42" i="21"/>
  <c r="J42" i="21"/>
  <c r="AB38" i="21"/>
  <c r="F37" i="21"/>
  <c r="J37" i="21"/>
  <c r="H113" i="21"/>
  <c r="H37" i="21"/>
  <c r="U43" i="21"/>
  <c r="U33" i="21"/>
  <c r="AA33" i="21"/>
  <c r="AB45" i="21"/>
  <c r="S35" i="21"/>
  <c r="AC32" i="21"/>
  <c r="J23" i="21"/>
  <c r="AC23" i="21" s="1"/>
  <c r="F23" i="21"/>
  <c r="AB19" i="21"/>
  <c r="U19" i="21"/>
  <c r="F81" i="21"/>
  <c r="G81" i="21" s="1"/>
  <c r="F19" i="21"/>
  <c r="F79" i="21"/>
  <c r="G79" i="21" s="1"/>
  <c r="H17" i="21"/>
  <c r="J17" i="21"/>
  <c r="F17" i="21"/>
  <c r="F15" i="21"/>
  <c r="F77" i="21"/>
  <c r="G77" i="21" s="1"/>
  <c r="J15" i="21"/>
  <c r="W15" i="21" s="1"/>
  <c r="H15" i="21"/>
  <c r="U15" i="21" s="1"/>
  <c r="AC21" i="21"/>
  <c r="S21" i="21"/>
  <c r="U23" i="21"/>
  <c r="AB15" i="21"/>
  <c r="W27" i="21"/>
  <c r="AC27" i="21"/>
  <c r="W29" i="21"/>
  <c r="AC29" i="21"/>
  <c r="AC28" i="21"/>
  <c r="S13" i="21"/>
  <c r="W13" i="21"/>
  <c r="AA25" i="21"/>
  <c r="AC40" i="21"/>
  <c r="U35" i="21"/>
  <c r="S34" i="21"/>
  <c r="S10" i="21"/>
  <c r="U10" i="21"/>
  <c r="U9" i="21"/>
  <c r="P61" i="15"/>
  <c r="C92" i="9"/>
  <c r="C94" i="9"/>
  <c r="C20" i="11"/>
  <c r="F30" i="69"/>
  <c r="F48" i="69" s="1"/>
  <c r="M18" i="15"/>
  <c r="F52" i="9"/>
  <c r="F54" i="9"/>
  <c r="F32" i="15"/>
  <c r="F60" i="15" s="1"/>
  <c r="F32" i="67"/>
  <c r="F60" i="67" s="1"/>
  <c r="F28" i="67"/>
  <c r="C28" i="67" s="1"/>
  <c r="F48" i="9"/>
  <c r="O52" i="9" s="1"/>
  <c r="C24" i="12"/>
  <c r="C30" i="69"/>
  <c r="C30" i="11"/>
  <c r="D68" i="9"/>
  <c r="F28" i="15"/>
  <c r="C28" i="15" s="1"/>
  <c r="C48" i="69"/>
  <c r="M18" i="67"/>
  <c r="F31" i="12"/>
  <c r="C31" i="12" s="1"/>
  <c r="F30" i="68"/>
  <c r="C21" i="68"/>
  <c r="D22" i="67"/>
  <c r="AQ7" i="1"/>
  <c r="C36" i="11"/>
  <c r="M6" i="1"/>
  <c r="O6" i="1" s="1"/>
  <c r="P6" i="1" s="1"/>
  <c r="C13" i="12" s="1"/>
  <c r="C34" i="69"/>
  <c r="C35" i="69" s="1"/>
  <c r="Q16" i="1"/>
  <c r="D19" i="6"/>
  <c r="C36" i="69"/>
  <c r="B113" i="43"/>
  <c r="F101" i="43"/>
  <c r="E22" i="43"/>
  <c r="C101" i="43"/>
  <c r="N104" i="46"/>
  <c r="L101" i="43"/>
  <c r="D101" i="43"/>
  <c r="I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3" i="43"/>
  <c r="J22" i="43"/>
  <c r="F22" i="43"/>
  <c r="K101" i="43"/>
  <c r="N101" i="43"/>
  <c r="G101" i="43"/>
  <c r="J101" i="43"/>
  <c r="H22" i="43"/>
  <c r="H101" i="43"/>
  <c r="M101" i="43"/>
  <c r="E101" i="43"/>
  <c r="S2" i="43"/>
  <c r="S5" i="43"/>
  <c r="S6" i="43"/>
  <c r="S4" i="43"/>
  <c r="S7" i="43"/>
  <c r="D16" i="6"/>
  <c r="D27" i="6"/>
  <c r="D31" i="6" s="1"/>
  <c r="I6" i="6" s="1"/>
  <c r="F27" i="11"/>
  <c r="M18" i="9"/>
  <c r="B118" i="9" s="1"/>
  <c r="B14" i="74" s="1"/>
  <c r="B1" i="74" s="1"/>
  <c r="C8" i="74" s="1"/>
  <c r="D14" i="12"/>
  <c r="D17" i="12" s="1"/>
  <c r="C17" i="12" s="1"/>
  <c r="D37" i="11"/>
  <c r="C37" i="11" s="1"/>
  <c r="C17" i="4"/>
  <c r="E6" i="6"/>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H6" i="3" s="1"/>
  <c r="E6" i="3" s="1"/>
  <c r="E506" i="3"/>
  <c r="V6" i="3"/>
  <c r="E538" i="3"/>
  <c r="AB6" i="3"/>
  <c r="E418" i="3"/>
  <c r="E407" i="3"/>
  <c r="E439" i="3"/>
  <c r="E387" i="3"/>
  <c r="E338" i="3"/>
  <c r="E320" i="3"/>
  <c r="E380" i="3"/>
  <c r="E335" i="3"/>
  <c r="E321" i="3"/>
  <c r="E294" i="3"/>
  <c r="E231" i="3"/>
  <c r="E215" i="3"/>
  <c r="E298" i="3"/>
  <c r="E230" i="3"/>
  <c r="F27" i="6"/>
  <c r="F31" i="6" s="1"/>
  <c r="E51" i="40"/>
  <c r="E16" i="6"/>
  <c r="E59" i="40"/>
  <c r="E27" i="6"/>
  <c r="D19" i="12"/>
  <c r="C19" i="12" s="1"/>
  <c r="O7" i="1"/>
  <c r="M16" i="1"/>
  <c r="C34" i="68" s="1"/>
  <c r="P7" i="1"/>
  <c r="N16" i="1"/>
  <c r="F27" i="68"/>
  <c r="C29" i="68" s="1"/>
  <c r="D27" i="68" s="1"/>
  <c r="H16" i="1"/>
  <c r="E66" i="39"/>
  <c r="K20" i="6"/>
  <c r="M20" i="6" s="1"/>
  <c r="I20" i="6" s="1"/>
  <c r="K24" i="6"/>
  <c r="M24" i="6" s="1"/>
  <c r="I24" i="6" s="1"/>
  <c r="K26" i="6"/>
  <c r="M26" i="6" s="1"/>
  <c r="I26" i="6" s="1"/>
  <c r="K19" i="6"/>
  <c r="S6" i="1" s="1"/>
  <c r="K21" i="6"/>
  <c r="M21" i="6" s="1"/>
  <c r="I21" i="6" s="1"/>
  <c r="K22" i="6"/>
  <c r="M22" i="6" s="1"/>
  <c r="I22" i="6" s="1"/>
  <c r="K25" i="6"/>
  <c r="M25" i="6" s="1"/>
  <c r="I25" i="6" s="1"/>
  <c r="K23" i="6"/>
  <c r="M23" i="6" s="1"/>
  <c r="I23" i="6"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E30" i="6"/>
  <c r="E31" i="6" s="1"/>
  <c r="K15" i="1"/>
  <c r="K16" i="1" s="1"/>
  <c r="O9" i="1"/>
  <c r="P9" i="1" s="1"/>
  <c r="O8" i="1"/>
  <c r="P8" i="1" s="1"/>
  <c r="E56" i="40"/>
  <c r="T35" i="4"/>
  <c r="A19" i="51" s="1"/>
  <c r="B14" i="72" s="1"/>
  <c r="A15" i="62"/>
  <c r="B61" i="72" s="1"/>
  <c r="C5" i="43"/>
  <c r="D5" i="43"/>
  <c r="C7" i="74"/>
  <c r="D7" i="74"/>
  <c r="D8" i="74"/>
  <c r="T14" i="43"/>
  <c r="V14" i="43"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F45" i="68"/>
  <c r="D9" i="53"/>
  <c r="B25" i="72" s="1"/>
  <c r="B24" i="72"/>
  <c r="K120" i="9"/>
  <c r="A18" i="62" s="1"/>
  <c r="B64" i="72" s="1"/>
  <c r="D11" i="71"/>
  <c r="C10" i="71"/>
  <c r="T11" i="43"/>
  <c r="V11" i="43" s="1"/>
  <c r="T12" i="43"/>
  <c r="V12" i="43" s="1"/>
  <c r="Y12" i="71"/>
  <c r="Z12" i="71" s="1"/>
  <c r="Y11" i="71"/>
  <c r="AA12" i="71"/>
  <c r="AB3" i="71"/>
  <c r="C35" i="43"/>
  <c r="E35" i="43" s="1"/>
  <c r="C36" i="43"/>
  <c r="E36" i="43" s="1"/>
  <c r="C47" i="68"/>
  <c r="D45" i="68" s="1"/>
  <c r="T9" i="43"/>
  <c r="V9" i="43" s="1"/>
  <c r="C39" i="43"/>
  <c r="C37" i="43"/>
  <c r="E37" i="43" s="1"/>
  <c r="B12" i="71"/>
  <c r="B11" i="71" s="1"/>
  <c r="B10" i="71" s="1"/>
  <c r="B9" i="71" s="1"/>
  <c r="B8" i="71" s="1"/>
  <c r="B7" i="71" s="1"/>
  <c r="B6" i="71" s="1"/>
  <c r="B5" i="71" s="1"/>
  <c r="X12" i="71"/>
  <c r="AB12" i="71"/>
  <c r="T4" i="43"/>
  <c r="V4" i="43" s="1"/>
  <c r="T15" i="43"/>
  <c r="V15" i="43" s="1"/>
  <c r="T6" i="43"/>
  <c r="V6" i="43" s="1"/>
  <c r="Z11" i="71"/>
  <c r="Y3" i="71"/>
  <c r="Z3" i="71" s="1"/>
  <c r="D12" i="71"/>
  <c r="F12" i="71"/>
  <c r="F11" i="71" s="1"/>
  <c r="F10" i="71" s="1"/>
  <c r="F9" i="71" s="1"/>
  <c r="F8" i="71" s="1"/>
  <c r="F7" i="71" s="1"/>
  <c r="F6" i="71" s="1"/>
  <c r="F5" i="71" s="1"/>
  <c r="C14" i="12"/>
  <c r="AF3" i="71"/>
  <c r="P22" i="43" s="1"/>
  <c r="C34" i="43"/>
  <c r="T10" i="43"/>
  <c r="V10" i="43" s="1"/>
  <c r="C33" i="43"/>
  <c r="T16" i="43"/>
  <c r="V16" i="43" s="1"/>
  <c r="T13" i="43"/>
  <c r="V13" i="43" s="1"/>
  <c r="T8" i="43"/>
  <c r="V8" i="43" s="1"/>
  <c r="T2" i="43"/>
  <c r="V2" i="43" s="1"/>
  <c r="C38" i="43"/>
  <c r="T3" i="43"/>
  <c r="V3" i="43" s="1"/>
  <c r="G36" i="43"/>
  <c r="I36" i="43" s="1"/>
  <c r="T5" i="43"/>
  <c r="V5"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C16" i="15"/>
  <c r="C17" i="15"/>
  <c r="C16" i="67"/>
  <c r="G1" i="73"/>
  <c r="C17" i="67"/>
  <c r="C14" i="67"/>
  <c r="W23" i="21" l="1"/>
  <c r="U42" i="21"/>
  <c r="AB42" i="21"/>
  <c r="AC42" i="21"/>
  <c r="W42" i="21"/>
  <c r="U37" i="21"/>
  <c r="AB37" i="21"/>
  <c r="W37" i="21"/>
  <c r="AC37" i="21"/>
  <c r="S37" i="21"/>
  <c r="AA37" i="21"/>
  <c r="AA23" i="21"/>
  <c r="S23" i="21"/>
  <c r="AA19" i="21"/>
  <c r="S19" i="21"/>
  <c r="AA17" i="21"/>
  <c r="S17" i="21"/>
  <c r="AB17" i="21"/>
  <c r="U17" i="21"/>
  <c r="AC17" i="21"/>
  <c r="W17" i="21"/>
  <c r="AC15" i="21"/>
  <c r="S15" i="21"/>
  <c r="AA15" i="21"/>
  <c r="F48" i="68"/>
  <c r="C30" i="68"/>
  <c r="C48" i="68"/>
  <c r="C35" i="68"/>
  <c r="C38" i="68"/>
  <c r="AQ6" i="1"/>
  <c r="S16" i="1"/>
  <c r="AR6" i="1"/>
  <c r="T6" i="1"/>
  <c r="T16" i="1" s="1"/>
  <c r="C38" i="69"/>
  <c r="I5" i="6"/>
  <c r="F27" i="69"/>
  <c r="F28" i="12"/>
  <c r="C29" i="12" s="1"/>
  <c r="D28" i="12" s="1"/>
  <c r="T7" i="43"/>
  <c r="V7" i="43" s="1"/>
  <c r="C29" i="43"/>
  <c r="E29" i="43" s="1"/>
  <c r="G105" i="43"/>
  <c r="G102" i="43"/>
  <c r="G107" i="43"/>
  <c r="G104" i="43"/>
  <c r="G109" i="43"/>
  <c r="G103" i="43"/>
  <c r="G106" i="43"/>
  <c r="K103" i="43"/>
  <c r="K102" i="43"/>
  <c r="K106" i="43"/>
  <c r="K107" i="43"/>
  <c r="K104" i="43"/>
  <c r="K105" i="43"/>
  <c r="K109" i="43"/>
  <c r="D22" i="43"/>
  <c r="D109" i="43"/>
  <c r="D105" i="43"/>
  <c r="D106" i="43"/>
  <c r="D102" i="43"/>
  <c r="D103" i="43"/>
  <c r="D104" i="43"/>
  <c r="D107" i="43"/>
  <c r="E102" i="43"/>
  <c r="E106" i="43"/>
  <c r="E103" i="43"/>
  <c r="E104" i="43"/>
  <c r="E107" i="43"/>
  <c r="E105" i="43"/>
  <c r="E109" i="43"/>
  <c r="H102" i="43"/>
  <c r="H103" i="43"/>
  <c r="H104" i="43"/>
  <c r="H109" i="43"/>
  <c r="H107" i="43"/>
  <c r="H106" i="43"/>
  <c r="H105" i="43"/>
  <c r="J104" i="43"/>
  <c r="J105" i="43"/>
  <c r="J107" i="43"/>
  <c r="J102" i="43"/>
  <c r="J106" i="43"/>
  <c r="J103" i="43"/>
  <c r="J109" i="43"/>
  <c r="N102" i="43"/>
  <c r="N105" i="43"/>
  <c r="N107" i="43"/>
  <c r="N103" i="43"/>
  <c r="N106" i="43"/>
  <c r="N104" i="43"/>
  <c r="N109" i="43"/>
  <c r="I109" i="43"/>
  <c r="I104" i="43"/>
  <c r="I107" i="43"/>
  <c r="I105" i="43"/>
  <c r="I102" i="43"/>
  <c r="I106" i="43"/>
  <c r="I103" i="43"/>
  <c r="L109" i="43"/>
  <c r="L106" i="43"/>
  <c r="L107" i="43"/>
  <c r="L103" i="43"/>
  <c r="L102" i="43"/>
  <c r="L105" i="43"/>
  <c r="L104" i="43"/>
  <c r="C104" i="43"/>
  <c r="C107" i="43"/>
  <c r="C103" i="43"/>
  <c r="C102" i="43"/>
  <c r="C109" i="43"/>
  <c r="C106" i="43"/>
  <c r="C105" i="43"/>
  <c r="F104" i="43"/>
  <c r="F102" i="43"/>
  <c r="F103" i="43"/>
  <c r="F107" i="43"/>
  <c r="F106" i="43"/>
  <c r="F105" i="43"/>
  <c r="F109" i="43"/>
  <c r="M109" i="43"/>
  <c r="M102" i="43"/>
  <c r="M106" i="43"/>
  <c r="M103" i="43"/>
  <c r="M104" i="43"/>
  <c r="M107" i="43"/>
  <c r="M105" i="43"/>
  <c r="B115" i="43"/>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G118" i="43"/>
  <c r="H118" i="43" s="1"/>
  <c r="B118" i="43"/>
  <c r="C118" i="43" s="1"/>
  <c r="D6" i="6"/>
  <c r="D10" i="69"/>
  <c r="D10" i="68"/>
  <c r="D10" i="11"/>
  <c r="C10" i="11" s="1"/>
  <c r="D20" i="12"/>
  <c r="C20" i="12" s="1"/>
  <c r="C18" i="12" s="1"/>
  <c r="B4" i="52"/>
  <c r="B43" i="72" s="1"/>
  <c r="A7" i="51"/>
  <c r="B7" i="72" s="1"/>
  <c r="A10" i="51"/>
  <c r="B9" i="72" s="1"/>
  <c r="C29" i="11"/>
  <c r="D27" i="11" s="1"/>
  <c r="C47" i="11"/>
  <c r="D45" i="11" s="1"/>
  <c r="C28" i="11"/>
  <c r="C27" i="11" s="1"/>
  <c r="C15" i="15"/>
  <c r="C18" i="15"/>
  <c r="F50" i="11"/>
  <c r="F50" i="68"/>
  <c r="F50" i="69"/>
  <c r="C34" i="11"/>
  <c r="L16" i="1"/>
  <c r="P16" i="1"/>
  <c r="C11" i="12" s="1"/>
  <c r="S23" i="6"/>
  <c r="H23" i="6"/>
  <c r="R23" i="6" s="1"/>
  <c r="S22" i="6"/>
  <c r="H22" i="6"/>
  <c r="R22" i="6" s="1"/>
  <c r="S26" i="6"/>
  <c r="H26" i="6"/>
  <c r="R26" i="6" s="1"/>
  <c r="S20" i="6"/>
  <c r="H20" i="6"/>
  <c r="R20" i="6" s="1"/>
  <c r="O16" i="1"/>
  <c r="S25" i="6"/>
  <c r="H25" i="6"/>
  <c r="R25" i="6" s="1"/>
  <c r="S21" i="6"/>
  <c r="H21" i="6"/>
  <c r="R21" i="6" s="1"/>
  <c r="M19" i="6"/>
  <c r="K27" i="6"/>
  <c r="S24" i="6"/>
  <c r="H24" i="6"/>
  <c r="R24" i="6" s="1"/>
  <c r="J10" i="40"/>
  <c r="AC10" i="40" s="1"/>
  <c r="H10" i="39"/>
  <c r="AB10" i="39" s="1"/>
  <c r="F10" i="40"/>
  <c r="S10" i="40" s="1"/>
  <c r="J10" i="39"/>
  <c r="W10" i="39" s="1"/>
  <c r="H10" i="40"/>
  <c r="U10" i="40"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A10" i="40"/>
  <c r="F7" i="33"/>
  <c r="E58" i="21"/>
  <c r="AC7" i="36"/>
  <c r="V36" i="36" s="1"/>
  <c r="I36" i="36" s="1"/>
  <c r="W7" i="36"/>
  <c r="F7" i="37"/>
  <c r="W7" i="34"/>
  <c r="AC7" i="34"/>
  <c r="V49" i="34" s="1"/>
  <c r="I49" i="34" s="1"/>
  <c r="G37" i="43"/>
  <c r="I37" i="43" s="1"/>
  <c r="D10" i="71"/>
  <c r="C9" i="71"/>
  <c r="M17" i="67"/>
  <c r="M17" i="15"/>
  <c r="F59" i="15"/>
  <c r="P24" i="43"/>
  <c r="B66" i="40" s="1"/>
  <c r="P21" i="43"/>
  <c r="C49" i="67"/>
  <c r="E39" i="43"/>
  <c r="G39" i="43"/>
  <c r="I39" i="43" s="1"/>
  <c r="P25" i="43"/>
  <c r="P23" i="43"/>
  <c r="B71" i="39" s="1"/>
  <c r="C30" i="43"/>
  <c r="E30" i="43" s="1"/>
  <c r="E38" i="43"/>
  <c r="G38" i="43"/>
  <c r="I38" i="43" s="1"/>
  <c r="G34" i="43"/>
  <c r="I34" i="43" s="1"/>
  <c r="E34" i="43"/>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W10" i="40" l="1"/>
  <c r="AB10" i="40"/>
  <c r="C19" i="15"/>
  <c r="C20" i="15" s="1"/>
  <c r="C26" i="15" s="1"/>
  <c r="F45" i="69"/>
  <c r="C29" i="69"/>
  <c r="D27" i="69" s="1"/>
  <c r="C47" i="69"/>
  <c r="D45" i="69" s="1"/>
  <c r="D113" i="43"/>
  <c r="C115" i="43"/>
  <c r="U10" i="39"/>
  <c r="AC10" i="39"/>
  <c r="C10" i="69"/>
  <c r="C8" i="69" s="1"/>
  <c r="C5" i="69" s="1"/>
  <c r="D19" i="69"/>
  <c r="C10" i="68"/>
  <c r="D19" i="68"/>
  <c r="C38" i="11"/>
  <c r="C35" i="11"/>
  <c r="I19" i="6"/>
  <c r="M27" i="6"/>
  <c r="C15" i="12"/>
  <c r="C12" i="12"/>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6" i="76"/>
  <c r="F69" i="15" l="1"/>
  <c r="J29" i="15"/>
  <c r="C16" i="12"/>
  <c r="C21" i="12" s="1"/>
  <c r="C33" i="11"/>
  <c r="C39" i="11" s="1"/>
  <c r="C46" i="11" s="1"/>
  <c r="C45" i="11" s="1"/>
  <c r="C19" i="68"/>
  <c r="C24" i="68" s="1"/>
  <c r="D37" i="68"/>
  <c r="C37" i="68" s="1"/>
  <c r="C33" i="68" s="1"/>
  <c r="C39" i="68" s="1"/>
  <c r="C46" i="68" s="1"/>
  <c r="C45" i="68" s="1"/>
  <c r="C19" i="69"/>
  <c r="C20" i="69" s="1"/>
  <c r="C28" i="69" s="1"/>
  <c r="C27" i="69" s="1"/>
  <c r="D37" i="69"/>
  <c r="C37" i="69" s="1"/>
  <c r="C33" i="69" s="1"/>
  <c r="C42" i="69" s="1"/>
  <c r="H19" i="6"/>
  <c r="S19" i="6"/>
  <c r="S27" i="6" s="1"/>
  <c r="I27" i="6"/>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E2" i="76"/>
  <c r="B2" i="43"/>
  <c r="C60" i="15"/>
  <c r="C66" i="15"/>
  <c r="C23" i="15"/>
  <c r="C29" i="15" s="1"/>
  <c r="C26" i="69"/>
  <c r="D22" i="69" s="1"/>
  <c r="C44" i="69"/>
  <c r="D41" i="69" s="1"/>
  <c r="C23" i="69"/>
  <c r="C44" i="68"/>
  <c r="D41" i="68" s="1"/>
  <c r="C23" i="68"/>
  <c r="C26" i="68"/>
  <c r="D22" i="68" s="1"/>
  <c r="C26" i="12"/>
  <c r="D25" i="12" s="1"/>
  <c r="C44" i="11"/>
  <c r="D41" i="11" s="1"/>
  <c r="C23" i="11"/>
  <c r="C24" i="11"/>
  <c r="C25" i="11"/>
  <c r="C26" i="11"/>
  <c r="D22" i="11" s="1"/>
  <c r="C38" i="67"/>
  <c r="C38" i="15"/>
  <c r="C66" i="67"/>
  <c r="C60" i="67"/>
  <c r="C23" i="67"/>
  <c r="C29" i="67" s="1"/>
  <c r="B6" i="76"/>
  <c r="C24" i="69" l="1"/>
  <c r="C25" i="69"/>
  <c r="C43" i="11"/>
  <c r="C42" i="68"/>
  <c r="C42" i="11"/>
  <c r="C41" i="11" s="1"/>
  <c r="C49" i="11" s="1"/>
  <c r="C51" i="11" s="1"/>
  <c r="C43" i="68"/>
  <c r="C39" i="69"/>
  <c r="C43" i="69" s="1"/>
  <c r="C41" i="69" s="1"/>
  <c r="C20" i="68"/>
  <c r="C25" i="68" s="1"/>
  <c r="C22" i="68" s="1"/>
  <c r="C22" i="12"/>
  <c r="C27" i="12" s="1"/>
  <c r="C25" i="12" s="1"/>
  <c r="R19" i="6"/>
  <c r="H27" i="6"/>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22" i="69" l="1"/>
  <c r="C31" i="69" s="1"/>
  <c r="C41" i="68"/>
  <c r="C49" i="68" s="1"/>
  <c r="C51" i="68" s="1"/>
  <c r="R27" i="6"/>
  <c r="R6" i="1"/>
  <c r="C46" i="69"/>
  <c r="C45" i="69" s="1"/>
  <c r="C49" i="69" s="1"/>
  <c r="C51" i="69" s="1"/>
  <c r="C52" i="69" s="1"/>
  <c r="B2" i="69" s="1"/>
  <c r="B3" i="69" s="1"/>
  <c r="C30" i="12"/>
  <c r="C28" i="12" s="1"/>
  <c r="C32" i="12" s="1"/>
  <c r="B2" i="12" s="1"/>
  <c r="B3" i="12" s="1"/>
  <c r="C28" i="68"/>
  <c r="C27" i="68" s="1"/>
  <c r="C31" i="68" s="1"/>
  <c r="D5" i="71"/>
  <c r="M20" i="43"/>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M21" i="15"/>
  <c r="L51" i="67"/>
  <c r="F35" i="15"/>
  <c r="C52" i="68" l="1"/>
  <c r="B2" i="68" s="1"/>
  <c r="B3" i="68" s="1"/>
  <c r="F63" i="15"/>
  <c r="C62" i="15" s="1"/>
  <c r="C59" i="15" s="1"/>
  <c r="C34" i="15"/>
  <c r="C31" i="15" s="1"/>
  <c r="C30" i="15" s="1"/>
  <c r="C39" i="15" s="1"/>
  <c r="J20" i="15"/>
  <c r="J17" i="15" s="1"/>
  <c r="J16" i="15" s="1"/>
  <c r="J25" i="15" s="1"/>
  <c r="R16" i="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7" i="68"/>
  <c r="C56" i="68" s="1"/>
  <c r="C58" i="15"/>
  <c r="C67" i="15" s="1"/>
  <c r="C68" i="15" s="1"/>
  <c r="C71" i="15" s="1"/>
  <c r="J16" i="67"/>
  <c r="J25" i="67" s="1"/>
  <c r="C80" i="67"/>
  <c r="C79" i="67" s="1"/>
  <c r="C58" i="67"/>
  <c r="C67" i="67" s="1"/>
  <c r="C68" i="67" s="1"/>
  <c r="Q69" i="67"/>
  <c r="Q68" i="67" s="1"/>
  <c r="C40" i="67"/>
  <c r="C57" i="69"/>
  <c r="C56" i="69" s="1"/>
  <c r="L51" i="15"/>
  <c r="C40" i="15" l="1"/>
  <c r="Q56" i="15" s="1"/>
  <c r="C80" i="15"/>
  <c r="C79" i="15" s="1"/>
  <c r="Q69" i="15"/>
  <c r="Q68" i="15"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B2" i="15" l="1"/>
  <c r="Q47" i="15"/>
  <c r="Q53" i="15" s="1"/>
  <c r="C46" i="15"/>
  <c r="Q65" i="15"/>
  <c r="C83" i="15"/>
  <c r="C82" i="15" s="1"/>
  <c r="C43" i="15"/>
  <c r="B3" i="15"/>
  <c r="O68" i="39"/>
  <c r="O70" i="39" s="1"/>
  <c r="N70" i="39"/>
  <c r="F7" i="39"/>
  <c r="S7" i="35"/>
  <c r="AA7" i="35"/>
  <c r="R38" i="35" s="1"/>
  <c r="C49" i="21"/>
  <c r="B2" i="21" s="1"/>
  <c r="C48" i="21"/>
  <c r="E52" i="21"/>
  <c r="F52" i="21" s="1"/>
  <c r="E53" i="21"/>
  <c r="F53" i="21" s="1"/>
  <c r="G42" i="35"/>
  <c r="H42" i="35" s="1"/>
  <c r="G43" i="35"/>
  <c r="H43" i="35" s="1"/>
  <c r="I53" i="21"/>
  <c r="J53" i="21" s="1"/>
  <c r="K65" i="40"/>
  <c r="L63" i="40"/>
  <c r="I42" i="35"/>
  <c r="J42" i="35" s="1"/>
  <c r="Q66" i="15"/>
  <c r="Q57" i="15"/>
  <c r="Q62" i="15" s="1"/>
  <c r="Q66" i="67"/>
  <c r="Q75" i="67" s="1"/>
  <c r="Q57" i="67"/>
  <c r="Q62" i="67" s="1"/>
  <c r="B2" i="67"/>
  <c r="B3" i="67"/>
  <c r="D20" i="9"/>
  <c r="D19" i="9"/>
  <c r="D35" i="9"/>
  <c r="C19" i="9"/>
  <c r="AO6" i="1"/>
  <c r="D34" i="9"/>
  <c r="Q75" i="15" l="1"/>
  <c r="D102" i="9"/>
  <c r="D21" i="9"/>
  <c r="B6" i="70"/>
  <c r="B2" i="70" s="1"/>
  <c r="B3" i="70" s="1"/>
  <c r="D103" i="9"/>
  <c r="D22" i="9"/>
  <c r="C102" i="9"/>
  <c r="C21" i="9"/>
  <c r="G19" i="9"/>
  <c r="G21" i="9" s="1"/>
  <c r="B3" i="21"/>
  <c r="H7" i="39"/>
  <c r="J7" i="39"/>
  <c r="AA7" i="39"/>
  <c r="R47" i="39" s="1"/>
  <c r="S7" i="39"/>
  <c r="R39" i="35"/>
  <c r="E38" i="35"/>
  <c r="M63" i="40"/>
  <c r="L65" i="40"/>
  <c r="C20" i="9"/>
  <c r="G20" i="9" l="1"/>
  <c r="C32" i="9" s="1"/>
  <c r="C103" i="9"/>
  <c r="E47" i="39"/>
  <c r="R48" i="39"/>
  <c r="W7" i="39"/>
  <c r="AC7" i="39"/>
  <c r="V47" i="39" s="1"/>
  <c r="I47" i="39" s="1"/>
  <c r="U7" i="39"/>
  <c r="AB7" i="39"/>
  <c r="T47" i="39" s="1"/>
  <c r="G47" i="39" s="1"/>
  <c r="C39" i="35"/>
  <c r="B2" i="35" s="1"/>
  <c r="B3" i="35" s="1"/>
  <c r="C38" i="35"/>
  <c r="N63" i="40"/>
  <c r="M65" i="40"/>
  <c r="E43" i="35"/>
  <c r="F43" i="35" s="1"/>
  <c r="E42" i="35"/>
  <c r="F42" i="35" s="1"/>
  <c r="I43" i="35"/>
  <c r="J43" i="35" s="1"/>
  <c r="C35" i="9" l="1"/>
  <c r="C34" i="9" s="1"/>
  <c r="E52" i="39"/>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H4" i="52" s="1"/>
  <c r="H101" i="9" l="1"/>
  <c r="D45" i="9" s="1"/>
  <c r="D53" i="9" s="1"/>
  <c r="I118" i="9"/>
  <c r="I4" i="52" s="1"/>
  <c r="G118" i="9"/>
  <c r="G4" i="52" s="1"/>
  <c r="B52" i="72" s="1"/>
  <c r="F4" i="52"/>
  <c r="B51" i="72" s="1"/>
  <c r="H119" i="9"/>
  <c r="H5" i="52" s="1"/>
  <c r="C104" i="9"/>
  <c r="D119" i="9"/>
  <c r="D5" i="52" s="1"/>
  <c r="B49" i="72" s="1"/>
  <c r="D14" i="74"/>
  <c r="C85" i="9" l="1"/>
  <c r="C105" i="9"/>
  <c r="D55" i="9"/>
  <c r="M53" i="9" s="1"/>
  <c r="M48" i="9"/>
  <c r="D52" i="9"/>
  <c r="C93" i="9"/>
  <c r="C86" i="9" s="1"/>
  <c r="E118" i="9"/>
  <c r="E4" i="52" s="1"/>
  <c r="B48" i="72" s="1"/>
  <c r="H107" i="9"/>
  <c r="D13" i="53" s="1"/>
  <c r="D5" i="53"/>
  <c r="B20" i="72" s="1"/>
  <c r="C64" i="9"/>
  <c r="C63" i="9" s="1"/>
  <c r="C67" i="9" s="1"/>
  <c r="D59" i="9" s="1"/>
  <c r="M55" i="9" s="1"/>
  <c r="C72" i="9"/>
  <c r="C78" i="9"/>
  <c r="C73" i="9" s="1"/>
  <c r="H102" i="9"/>
  <c r="D7" i="53" s="1"/>
  <c r="B21" i="72" s="1"/>
  <c r="E14" i="74"/>
  <c r="F14" i="74"/>
  <c r="B5" i="74"/>
  <c r="C68" i="9" l="1"/>
  <c r="D54" i="9" s="1"/>
  <c r="H108" i="9"/>
  <c r="D15" i="53" s="1"/>
  <c r="B31" i="72" s="1"/>
  <c r="D122" i="9"/>
  <c r="G14" i="74" s="1"/>
  <c r="B6" i="74" s="1"/>
  <c r="C95" i="9"/>
  <c r="C96" i="9" s="1"/>
  <c r="E96" i="9" s="1"/>
  <c r="E97" i="9" s="1"/>
  <c r="D6" i="53"/>
  <c r="B22" i="72" s="1"/>
  <c r="C97" i="9"/>
  <c r="D58" i="9" s="1"/>
  <c r="D56" i="9" s="1"/>
  <c r="M54" i="9" s="1"/>
  <c r="N57" i="9" s="1"/>
  <c r="N59" i="9" s="1"/>
  <c r="C79" i="9"/>
  <c r="C5" i="74"/>
  <c r="D5" i="74"/>
  <c r="B30" i="72"/>
  <c r="D14" i="53"/>
  <c r="B32" i="72" s="1"/>
  <c r="D8" i="52" l="1"/>
  <c r="D123" i="9"/>
  <c r="D9" i="52" s="1"/>
  <c r="P57" i="9"/>
  <c r="N58" i="9"/>
  <c r="C80" i="9"/>
  <c r="E80" i="9" s="1"/>
  <c r="E81" i="9" s="1"/>
  <c r="C6" i="74"/>
  <c r="D6" i="74"/>
  <c r="N61" i="9"/>
  <c r="N60"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<sst xmlns="http://schemas.openxmlformats.org/spreadsheetml/2006/main" count="31501" uniqueCount="10298">
  <si>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</si>
  <si>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</si>
  <si>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</si>
  <si>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</si>
  <si>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</si>
  <si>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</si>
  <si>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</si>
  <si>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</si>
  <si>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</si>
  <si>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</si>
  <si>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</si>
  <si>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</si>
  <si>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</si>
  <si>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</si>
  <si>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</si>
  <si>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</si>
  <si>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</si>
  <si>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</si>
  <si>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</si>
  <si>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</si>
  <si>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</si>
  <si>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</si>
  <si>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</si>
  <si>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</si>
  <si>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</si>
  <si>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</si>
  <si>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</si>
  <si>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</si>
  <si>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</si>
  <si>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</si>
  <si>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</si>
  <si>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</si>
  <si>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</si>
  <si>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</si>
  <si>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</si>
  <si>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</si>
  <si>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</si>
  <si>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</si>
  <si>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</si>
  <si>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</si>
  <si>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</si>
  <si>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</si>
  <si>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</si>
  <si>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</si>
  <si>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</si>
  <si>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</si>
  <si>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</si>
  <si>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</si>
  <si>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</si>
  <si>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</si>
  <si>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</si>
  <si>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</si>
  <si>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</si>
  <si>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</si>
  <si>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</si>
  <si>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</si>
  <si>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</si>
  <si>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</si>
  <si>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</si>
  <si>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</si>
  <si>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</si>
  <si>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</si>
  <si>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</si>
  <si>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</si>
  <si>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</si>
  <si>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</si>
  <si>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</si>
  <si>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</si>
  <si>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</si>
  <si>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</si>
  <si>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</si>
  <si>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</si>
  <si>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</si>
  <si>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</si>
  <si>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</si>
  <si>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</si>
  <si>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</si>
  <si>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</si>
  <si>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</si>
  <si>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</si>
  <si>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</si>
  <si>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</si>
  <si>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</si>
  <si>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</si>
  <si>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</si>
  <si>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</si>
  <si>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</si>
  <si>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</si>
  <si>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</si>
  <si>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</si>
  <si>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</si>
  <si>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</si>
  <si>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</si>
  <si>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</si>
  <si>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</si>
  <si>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</si>
  <si>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</si>
  <si>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</si>
  <si>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</si>
  <si>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</si>
  <si>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</si>
  <si>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</si>
  <si>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</si>
  <si>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</si>
  <si>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</si>
  <si>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</si>
  <si>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</si>
  <si>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</si>
  <si>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</si>
  <si>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</si>
  <si>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</si>
  <si>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</si>
  <si>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</si>
  <si>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</si>
  <si>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</si>
  <si>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</si>
  <si>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</si>
  <si>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</si>
  <si>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</si>
  <si>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</si>
  <si>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</si>
  <si>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</si>
  <si>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</si>
  <si>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</si>
  <si>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</si>
  <si>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</si>
  <si>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</si>
  <si>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</si>
  <si>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</si>
  <si>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</si>
  <si>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</si>
  <si>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</si>
  <si>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</si>
  <si>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</si>
  <si>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</si>
  <si>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</si>
  <si>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</si>
  <si>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</si>
  <si>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</si>
  <si>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</si>
  <si>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</si>
  <si>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</si>
  <si>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</si>
  <si>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</si>
  <si>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</si>
  <si>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</si>
  <si>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</si>
  <si>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</si>
  <si>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</si>
  <si>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</si>
  <si>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</si>
  <si>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</si>
  <si>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</si>
  <si>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</si>
  <si>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</si>
  <si>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</si>
  <si>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</si>
  <si>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</si>
  <si>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</si>
  <si>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</si>
  <si>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</si>
  <si>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</si>
  <si>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</si>
  <si>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</si>
  <si>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</si>
  <si>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</si>
  <si>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</si>
  <si>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</si>
  <si>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</si>
  <si>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</si>
  <si>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</si>
  <si>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</si>
  <si>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</si>
  <si>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</si>
  <si>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</si>
  <si>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</si>
  <si>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</si>
  <si>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</si>
  <si>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</si>
  <si>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</si>
  <si>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</si>
  <si>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</si>
  <si>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</si>
  <si>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</si>
  <si>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</si>
  <si>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</si>
  <si>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</si>
  <si>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</si>
  <si>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</si>
  <si>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</si>
  <si>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</si>
  <si>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</si>
  <si>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</si>
  <si>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</si>
  <si>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</si>
  <si>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</si>
  <si>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</si>
  <si>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</si>
  <si>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</si>
  <si>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</si>
  <si>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</si>
  <si>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</si>
  <si>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</si>
  <si>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</si>
  <si>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</si>
  <si>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</si>
  <si>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</si>
  <si>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</si>
  <si>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</si>
  <si>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</si>
  <si>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</si>
  <si>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</si>
  <si>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</si>
  <si>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</si>
  <si>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</si>
  <si>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</si>
  <si>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</si>
  <si>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</si>
  <si>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</si>
  <si>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</si>
  <si>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</si>
  <si>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</si>
  <si>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</si>
  <si>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</si>
  <si>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</si>
  <si>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</si>
  <si>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</si>
  <si>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</si>
  <si>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</si>
  <si>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</si>
  <si>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</si>
  <si>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</si>
  <si>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</si>
  <si>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</si>
  <si>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</si>
  <si>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</si>
  <si>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</si>
  <si>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</si>
  <si>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</si>
  <si>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</si>
  <si>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</si>
  <si>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</si>
  <si>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</si>
  <si>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</si>
  <si>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</si>
  <si>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</si>
  <si>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</si>
  <si>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</si>
  <si>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</si>
  <si>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</si>
  <si>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</si>
  <si>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</si>
  <si>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</si>
  <si>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</si>
  <si>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</si>
  <si>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</si>
  <si>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</si>
  <si>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</si>
  <si>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</si>
  <si>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</si>
  <si>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</si>
  <si>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</si>
  <si>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</si>
  <si>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</si>
  <si>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</si>
  <si>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</si>
  <si>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</si>
  <si>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</si>
  <si>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</si>
  <si>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</si>
  <si>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</si>
  <si>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</si>
  <si>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</si>
  <si>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</si>
  <si>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</si>
  <si>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</si>
  <si>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</si>
  <si>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</si>
  <si>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</si>
  <si>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</si>
  <si>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</si>
  <si>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</si>
  <si>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</si>
  <si>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</si>
  <si>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</si>
  <si>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</si>
  <si>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</si>
  <si>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</si>
  <si>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</si>
  <si>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</si>
  <si>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</si>
  <si>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</si>
  <si>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</si>
  <si>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</si>
  <si>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</si>
  <si>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</si>
  <si>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</si>
  <si>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</si>
  <si>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</si>
  <si>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</si>
  <si>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</si>
  <si>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</si>
  <si>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</si>
  <si>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</si>
  <si>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</si>
  <si>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</si>
  <si>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</si>
  <si>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</si>
  <si>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</si>
  <si>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</si>
  <si>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</si>
  <si>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</si>
  <si>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</si>
  <si>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</si>
  <si>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</si>
  <si>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</si>
  <si>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</si>
  <si>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</si>
  <si>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</si>
  <si>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</si>
  <si>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</si>
  <si>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</si>
  <si>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</si>
  <si>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</si>
  <si>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</si>
  <si>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</si>
  <si>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</si>
  <si>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</si>
  <si>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</si>
  <si>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</si>
  <si>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</si>
  <si>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</si>
  <si>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</si>
  <si>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</si>
  <si>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</si>
  <si>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</si>
  <si>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</si>
  <si>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</si>
  <si>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</si>
  <si>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</si>
  <si>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</si>
  <si>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</si>
  <si>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</si>
  <si>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</si>
  <si>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</si>
  <si>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</si>
  <si>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</si>
  <si>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</si>
  <si>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</si>
  <si>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</si>
  <si>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</si>
  <si>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</si>
  <si>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</si>
  <si>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</si>
  <si>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</si>
  <si>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</si>
  <si>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</si>
  <si>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</si>
  <si>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</si>
  <si>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</si>
  <si>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</si>
  <si>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</si>
  <si>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</si>
  <si>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</si>
  <si>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</si>
  <si>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</si>
  <si>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</si>
  <si>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</si>
  <si>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</si>
  <si>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</si>
  <si>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</si>
  <si>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</si>
  <si>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</si>
  <si>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</si>
  <si>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</si>
  <si>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</si>
  <si>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</si>
  <si>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</si>
  <si>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</si>
  <si>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</si>
  <si>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</si>
  <si>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</si>
  <si>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</si>
  <si>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</si>
  <si>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</si>
  <si>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</si>
  <si>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</si>
  <si>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</si>
  <si>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</si>
  <si>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</si>
  <si>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</si>
  <si>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</si>
  <si>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</si>
  <si>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</si>
  <si>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</si>
  <si>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</si>
  <si>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</si>
  <si>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</si>
  <si>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</si>
  <si>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</si>
  <si>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</si>
  <si>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</si>
  <si>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</si>
  <si>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</si>
  <si>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</si>
  <si>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</si>
  <si>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</si>
  <si>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</si>
  <si>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</si>
  <si>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</si>
  <si>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</si>
  <si>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</si>
  <si>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</si>
  <si>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</si>
  <si>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</si>
  <si>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</si>
  <si>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</si>
  <si>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</si>
  <si>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</si>
  <si>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</si>
  <si>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</si>
  <si>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</si>
  <si>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</si>
  <si>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</si>
  <si>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</si>
  <si>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</si>
  <si>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</si>
  <si>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</si>
  <si>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</si>
  <si>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</si>
  <si>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</si>
  <si>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</si>
  <si>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</si>
  <si>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</si>
  <si>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</si>
  <si>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</si>
  <si>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</si>
  <si>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</si>
  <si>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</si>
  <si>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</si>
  <si>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</si>
  <si>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</si>
  <si>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</si>
  <si>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</si>
  <si>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</si>
  <si>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</si>
  <si>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</si>
  <si>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</si>
  <si>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</si>
  <si>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</si>
  <si>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</si>
  <si>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</si>
  <si>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</si>
  <si>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</si>
  <si>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</si>
  <si>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</si>
  <si>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</si>
  <si>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</si>
  <si>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</si>
  <si>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</si>
  <si>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</si>
  <si>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</si>
  <si>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</si>
  <si>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</si>
  <si>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</si>
  <si>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</si>
  <si>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</si>
  <si>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</si>
  <si>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</si>
  <si>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</si>
  <si>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</si>
  <si>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</si>
  <si>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</si>
  <si>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</si>
  <si>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</si>
  <si>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</si>
  <si>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</si>
  <si>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</si>
  <si>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</si>
  <si>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</si>
  <si>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</si>
  <si>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</si>
  <si>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</si>
  <si>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</si>
  <si>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</si>
  <si>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</si>
  <si>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</si>
  <si>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</si>
  <si>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</si>
  <si>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</si>
  <si>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</si>
  <si>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</si>
  <si>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</si>
  <si>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</si>
  <si>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</si>
  <si>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</si>
  <si>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</si>
  <si>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</si>
  <si>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</si>
  <si>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</si>
  <si>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</si>
  <si>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</si>
  <si>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</si>
  <si>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</si>
  <si>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</si>
  <si>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</si>
  <si>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</si>
  <si>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</si>
  <si>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</si>
  <si>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</si>
  <si>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</si>
  <si>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</si>
  <si>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</si>
  <si>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</si>
  <si>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</si>
  <si>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</si>
  <si>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</si>
  <si>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</si>
  <si>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</si>
  <si>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</si>
  <si>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</si>
  <si>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</si>
  <si>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</si>
  <si>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</si>
  <si>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</si>
  <si>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</si>
  <si>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</si>
  <si>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</si>
  <si>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</si>
  <si>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</si>
  <si>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</si>
  <si>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</si>
  <si>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</si>
  <si>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</si>
  <si>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</si>
  <si>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</si>
  <si>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</si>
  <si>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</si>
  <si>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</si>
  <si>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</si>
  <si>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</si>
  <si>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</si>
  <si>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</si>
  <si>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</si>
  <si>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</si>
  <si>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</si>
  <si>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</si>
  <si>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</si>
  <si>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</si>
  <si>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</si>
  <si>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</si>
  <si>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</si>
  <si>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</si>
  <si>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</si>
  <si>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</si>
  <si>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</si>
  <si>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</si>
  <si>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</si>
  <si>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</si>
  <si>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</si>
  <si>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</si>
  <si>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</si>
  <si>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</si>
  <si>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</si>
  <si>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</si>
  <si>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</si>
  <si>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</si>
  <si>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</si>
  <si>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</si>
  <si>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</si>
  <si>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</si>
  <si>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</si>
  <si>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</si>
  <si>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</si>
  <si>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</si>
  <si>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</si>
  <si>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</si>
  <si>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</si>
  <si>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</si>
  <si>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</si>
  <si>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</si>
  <si>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</si>
  <si>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</si>
  <si>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</si>
  <si>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</si>
  <si>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</si>
  <si>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</si>
  <si>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</si>
  <si>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</si>
  <si>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</si>
  <si>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</si>
  <si>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</si>
  <si>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</si>
  <si>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</si>
  <si>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</si>
  <si>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</si>
  <si>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</si>
  <si>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</si>
  <si>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</si>
  <si>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</si>
  <si>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</si>
  <si>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</si>
  <si>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</si>
  <si>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</si>
  <si>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</si>
  <si>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</si>
  <si>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</si>
  <si>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</si>
  <si>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</si>
  <si>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</si>
  <si>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</si>
  <si>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</si>
  <si>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</si>
  <si>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</si>
  <si>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</si>
  <si>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</si>
  <si>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</si>
  <si>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</si>
  <si>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</si>
  <si>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</si>
  <si>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</si>
  <si>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</si>
  <si>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</si>
  <si>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</si>
  <si>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</si>
  <si>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</si>
  <si>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</si>
  <si>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</si>
  <si>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</si>
  <si>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</si>
  <si>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</si>
  <si>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</si>
  <si>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</si>
  <si>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</si>
  <si>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</si>
  <si>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</si>
  <si>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</si>
  <si>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</si>
  <si>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</si>
  <si>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</si>
  <si>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</si>
  <si>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</si>
  <si>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</si>
  <si>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</si>
  <si>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</si>
  <si>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</si>
  <si>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</si>
  <si>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</si>
  <si>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</si>
  <si>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</si>
  <si>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</si>
  <si>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</si>
  <si>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</si>
  <si>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</si>
  <si>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</si>
  <si>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</si>
  <si>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</si>
  <si>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</si>
  <si>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</si>
  <si>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</si>
  <si>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</si>
  <si>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</si>
  <si>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</si>
  <si>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</si>
  <si>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</si>
  <si>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</si>
  <si>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</si>
  <si>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</si>
  <si>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</si>
  <si>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</si>
  <si>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</si>
  <si>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</si>
  <si>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</si>
  <si>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</si>
  <si>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</si>
  <si>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</si>
  <si>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</si>
  <si>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</si>
  <si>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</si>
  <si>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</si>
  <si>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</si>
  <si>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</si>
  <si>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</si>
  <si>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</si>
  <si>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</si>
  <si>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</si>
  <si>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</si>
  <si>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</si>
  <si>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</si>
  <si>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</si>
  <si>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</si>
  <si>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</si>
  <si>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</si>
  <si>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</si>
  <si>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</si>
  <si>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</si>
  <si>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</si>
  <si>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</si>
  <si>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</si>
  <si>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</si>
  <si>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</si>
  <si>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</si>
  <si>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</si>
  <si>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</si>
  <si>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</si>
  <si>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</si>
  <si>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</si>
  <si>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</si>
  <si>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</si>
  <si>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</si>
  <si>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</si>
  <si>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</si>
  <si>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</si>
  <si>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</si>
  <si>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</si>
  <si>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</si>
  <si>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</si>
  <si>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</si>
  <si>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</si>
  <si>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</si>
  <si>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</si>
  <si>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</si>
  <si>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</si>
  <si>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</si>
  <si>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</si>
  <si>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</si>
  <si>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</si>
  <si>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</si>
  <si>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</si>
  <si>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</si>
  <si>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</si>
  <si>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</si>
  <si>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</si>
  <si>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</si>
  <si>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</si>
  <si>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</si>
  <si>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</si>
  <si>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</si>
  <si>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</si>
  <si>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</si>
  <si>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</si>
  <si>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</si>
  <si>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</si>
  <si>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</si>
  <si>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</si>
  <si>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</si>
  <si>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</si>
  <si>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</si>
  <si>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</si>
  <si>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</si>
  <si>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</si>
  <si>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</si>
  <si>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</si>
  <si>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</si>
  <si>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</si>
  <si>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</si>
  <si>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</si>
  <si>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</si>
  <si>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</si>
  <si>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</si>
  <si>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</si>
  <si>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</si>
  <si>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</si>
  <si>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</si>
  <si>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</si>
  <si>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</si>
  <si>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</si>
  <si>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</si>
  <si>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</si>
  <si>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</si>
  <si>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</si>
  <si>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</si>
  <si>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</si>
  <si>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</si>
  <si>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</si>
  <si>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</si>
  <si>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</si>
  <si>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</si>
  <si>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</si>
  <si>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</si>
  <si>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</si>
  <si>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</si>
  <si>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</si>
  <si>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</si>
  <si>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</si>
  <si>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</si>
  <si>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</si>
  <si>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</si>
  <si>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</si>
  <si>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</si>
  <si>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</si>
  <si>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</si>
  <si>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</si>
  <si>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</si>
  <si>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</si>
  <si>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</si>
  <si>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</si>
  <si>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</si>
  <si>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</si>
  <si>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</si>
  <si>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</si>
  <si>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</si>
  <si>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</si>
  <si>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</si>
  <si>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</si>
  <si>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</si>
  <si>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</si>
  <si>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</si>
  <si>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</si>
  <si>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</si>
  <si>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</si>
  <si>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</si>
  <si>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</si>
  <si>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</si>
  <si>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</si>
  <si>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</si>
  <si>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</si>
  <si>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</si>
  <si>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</si>
  <si>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</si>
  <si>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</si>
  <si>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</si>
  <si>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</si>
  <si>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</si>
  <si>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</si>
  <si>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</si>
  <si>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</si>
  <si>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</si>
  <si>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</si>
  <si>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</si>
  <si>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</si>
  <si>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</si>
  <si>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</si>
  <si>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</si>
  <si>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</si>
  <si>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</si>
  <si>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</si>
  <si>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</si>
  <si>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</si>
  <si>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</si>
  <si>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</si>
  <si>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</si>
  <si>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</si>
  <si>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</si>
  <si>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</si>
  <si>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</si>
  <si>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</si>
  <si>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</si>
  <si>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</si>
  <si>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</si>
  <si>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</si>
  <si>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</si>
  <si>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</si>
  <si>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</si>
  <si>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</si>
  <si>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</si>
  <si>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</si>
  <si>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</si>
  <si>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</si>
  <si>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</si>
  <si>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</si>
  <si>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</si>
  <si>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</si>
  <si>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</si>
  <si>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</si>
  <si>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</si>
  <si>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</si>
  <si>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</si>
  <si>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</si>
  <si>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</si>
  <si>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</si>
  <si>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</si>
  <si>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</si>
  <si>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</si>
  <si>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</si>
  <si>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</si>
  <si>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</si>
  <si>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</si>
  <si>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</si>
  <si>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</si>
  <si>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</si>
  <si>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</si>
  <si>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</si>
  <si>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</si>
  <si>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</si>
  <si>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</si>
  <si>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</si>
  <si>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</si>
  <si>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</si>
  <si>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</si>
  <si>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</si>
  <si>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</si>
  <si>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</si>
  <si>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</si>
  <si>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</si>
  <si>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</si>
  <si>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</si>
  <si>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</si>
  <si>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</si>
  <si>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</si>
  <si>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</si>
  <si>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</si>
  <si>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</si>
  <si>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</si>
  <si>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</si>
  <si>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</si>
  <si>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</si>
  <si>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</si>
  <si>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</si>
  <si>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</si>
  <si>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</si>
  <si>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</si>
  <si>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</si>
  <si>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</si>
  <si>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</si>
  <si>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</si>
  <si>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</si>
  <si>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</si>
  <si>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</si>
  <si>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</si>
  <si>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</si>
  <si>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</si>
  <si>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</si>
  <si>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</si>
  <si>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</si>
  <si>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</si>
  <si>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</si>
  <si>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</si>
  <si>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</si>
  <si>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</si>
  <si>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</si>
  <si>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</si>
  <si>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</si>
  <si>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</si>
  <si>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</si>
  <si>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</si>
  <si>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</si>
  <si>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</si>
  <si>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</si>
  <si>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</si>
  <si>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</si>
  <si>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</si>
  <si>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</si>
  <si>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</si>
  <si>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</si>
  <si>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</si>
  <si>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</si>
  <si>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</si>
  <si>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</si>
  <si>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</si>
  <si>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</si>
  <si>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</si>
  <si>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</si>
  <si>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</si>
  <si>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</si>
  <si>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</si>
  <si>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</si>
  <si>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</si>
  <si>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</si>
  <si>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</si>
  <si>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</si>
  <si>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</si>
  <si>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</si>
  <si>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</si>
  <si>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</si>
  <si>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</si>
  <si>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</si>
  <si>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</si>
  <si>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</si>
  <si>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</si>
  <si>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</si>
  <si>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</si>
  <si>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</si>
  <si>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</si>
  <si>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</si>
  <si>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</si>
  <si>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</si>
  <si>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</si>
  <si>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</si>
  <si>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</si>
  <si>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</si>
  <si>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</si>
  <si>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</si>
  <si>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</si>
  <si>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</si>
  <si>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</si>
  <si>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</si>
  <si>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</si>
  <si>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</si>
  <si>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</si>
  <si>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</si>
  <si>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</si>
  <si>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</si>
  <si>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</si>
  <si>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</si>
  <si>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</si>
  <si>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</si>
  <si>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</si>
  <si>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</si>
  <si>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</si>
  <si>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</si>
  <si>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</si>
  <si>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</si>
  <si>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</si>
  <si>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</si>
  <si>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</si>
  <si>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</si>
  <si>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</si>
  <si>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</si>
  <si>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</si>
  <si>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</si>
  <si>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</si>
  <si>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</si>
  <si>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</si>
  <si>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</si>
  <si>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</si>
  <si>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</si>
  <si>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</si>
  <si>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</si>
  <si>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</si>
  <si>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</si>
  <si>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</si>
  <si>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</si>
  <si>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</si>
  <si>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</si>
  <si>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</si>
  <si>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</si>
  <si>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</si>
  <si>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</si>
  <si>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</si>
  <si>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</si>
  <si>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</si>
  <si>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</si>
  <si>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</si>
  <si>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</si>
  <si>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</si>
  <si>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</si>
  <si>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</si>
  <si>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</si>
  <si>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</si>
  <si>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</si>
  <si>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</si>
  <si>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</si>
  <si>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</si>
  <si>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</si>
  <si>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</si>
  <si>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</si>
  <si>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</si>
  <si>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</si>
  <si>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</si>
  <si>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</si>
  <si>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</si>
  <si>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</si>
  <si>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</si>
  <si>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</si>
  <si>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</si>
  <si>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</si>
  <si>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</si>
  <si>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</si>
  <si>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</si>
  <si>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</si>
  <si>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</si>
  <si>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</si>
  <si>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</si>
  <si>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</si>
  <si>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</si>
  <si>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</si>
  <si>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</si>
  <si>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</si>
  <si>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</si>
  <si>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</si>
  <si>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</si>
  <si>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</si>
  <si>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</si>
  <si>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</si>
  <si>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</si>
  <si>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</si>
  <si>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</si>
  <si>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</si>
  <si>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</si>
  <si>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</si>
  <si>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</si>
  <si>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</si>
  <si>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</si>
  <si>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</si>
  <si>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</si>
  <si>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</si>
  <si>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</si>
  <si>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</si>
  <si>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</si>
  <si>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</si>
  <si>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</si>
  <si>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</si>
  <si>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</si>
  <si>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</si>
  <si>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</si>
  <si>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</si>
  <si>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</si>
  <si>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</si>
  <si>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</si>
  <si>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</si>
  <si>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</si>
  <si>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</si>
  <si>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</si>
  <si>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</si>
  <si>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</si>
  <si>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</si>
  <si>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</si>
  <si>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</si>
  <si>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</si>
  <si>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</si>
  <si>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</si>
  <si>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</si>
  <si>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</si>
  <si>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</si>
  <si>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</si>
  <si>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</si>
  <si>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</si>
  <si>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</si>
  <si>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</si>
  <si>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</si>
  <si>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</si>
  <si>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</si>
  <si>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</si>
  <si>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</si>
  <si>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</si>
  <si>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</si>
  <si>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</si>
  <si>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</si>
  <si>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</si>
  <si>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</si>
  <si>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</si>
  <si>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</si>
  <si>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</si>
  <si>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</si>
  <si>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</si>
  <si>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</si>
  <si>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</si>
  <si>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</si>
  <si>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</si>
  <si>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</si>
  <si>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</si>
  <si>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</si>
  <si>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</si>
  <si>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</si>
  <si>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</si>
  <si>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</si>
  <si>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</si>
  <si>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</si>
  <si>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</si>
  <si>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</si>
  <si>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</si>
  <si>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</si>
  <si>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</si>
  <si>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</si>
  <si>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</si>
  <si>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</si>
  <si>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</si>
  <si>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</si>
  <si>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</si>
  <si>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</si>
  <si>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</si>
  <si>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</si>
  <si>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</si>
  <si>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</si>
  <si>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</si>
  <si>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</si>
  <si>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</si>
  <si>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</si>
  <si>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</si>
  <si>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</si>
  <si>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</si>
  <si>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</si>
  <si>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</si>
  <si>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</si>
  <si>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</si>
  <si>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</si>
  <si>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</si>
  <si>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</si>
  <si>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</si>
  <si>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</si>
  <si>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</si>
  <si>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</si>
  <si>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</si>
  <si>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</si>
  <si>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</si>
  <si>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</si>
  <si>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</si>
  <si>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</si>
  <si>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</si>
  <si>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</si>
  <si>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</si>
  <si>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</si>
  <si>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</si>
  <si>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</si>
  <si>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</si>
  <si>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</si>
  <si>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</si>
  <si>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</si>
  <si>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</si>
  <si>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</si>
  <si>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</si>
  <si>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</si>
  <si>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</si>
  <si>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</si>
  <si>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</si>
  <si>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</si>
  <si>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</si>
  <si>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</si>
  <si>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</si>
  <si>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</si>
  <si>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</si>
  <si>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</si>
  <si>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</si>
  <si>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</si>
  <si>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</si>
  <si>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</si>
  <si>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</si>
  <si>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</si>
  <si>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</si>
  <si>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</si>
  <si>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</si>
  <si>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</si>
  <si>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</si>
  <si>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</si>
  <si>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</si>
  <si>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</si>
  <si>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</si>
  <si>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</si>
  <si>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</si>
  <si>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</si>
  <si>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</si>
  <si>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</si>
  <si>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</si>
  <si>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</si>
  <si>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</si>
  <si>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</si>
  <si>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</si>
  <si>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</si>
  <si>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</si>
  <si>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</si>
  <si>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</si>
  <si>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</si>
  <si>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</si>
  <si>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</si>
  <si>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</si>
  <si>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</si>
  <si>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</si>
  <si>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</si>
  <si>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</si>
  <si>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</si>
  <si>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</si>
  <si>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</si>
  <si>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</si>
  <si>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</si>
  <si>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</si>
  <si>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</si>
  <si>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</si>
  <si>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</si>
  <si>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</si>
  <si>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</si>
  <si>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</si>
  <si>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</si>
  <si>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</si>
  <si>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</si>
  <si>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</si>
  <si>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</si>
  <si>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</si>
  <si>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</si>
  <si>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</si>
  <si>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</si>
  <si>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</si>
  <si>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</si>
  <si>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</si>
  <si>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</si>
  <si>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</si>
  <si>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</si>
  <si>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</si>
  <si>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</si>
  <si>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</si>
  <si>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</si>
  <si>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</si>
  <si>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</si>
  <si>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</si>
  <si>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</si>
  <si>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</si>
  <si>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</si>
  <si>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</si>
  <si>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</si>
  <si>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</si>
  <si>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</si>
  <si>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</si>
  <si>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</si>
  <si>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</si>
  <si>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</si>
  <si>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</si>
  <si>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</si>
  <si>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</si>
  <si>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</si>
  <si>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</si>
  <si>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</si>
  <si>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</si>
  <si>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</si>
  <si>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</si>
  <si>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</si>
  <si>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</si>
  <si>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</si>
  <si>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</si>
  <si>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</si>
  <si>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</si>
  <si>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</si>
  <si>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</si>
  <si>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</si>
  <si>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</si>
  <si>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</si>
  <si>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</si>
  <si>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</si>
  <si>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</si>
  <si>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</si>
  <si>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</si>
  <si>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</si>
  <si>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</si>
  <si>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</si>
  <si>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</si>
  <si>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</si>
  <si>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</si>
  <si>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</si>
  <si>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</si>
  <si>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</si>
  <si>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</si>
  <si>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</si>
  <si>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</si>
  <si>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</si>
  <si>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</si>
  <si>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</si>
  <si>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</si>
  <si>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</si>
  <si>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</si>
  <si>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</si>
  <si>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</si>
  <si>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</si>
  <si>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</si>
  <si>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</si>
  <si>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</si>
  <si>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</si>
  <si>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</si>
  <si>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</si>
  <si>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</si>
  <si>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</si>
  <si>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</si>
  <si>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</si>
  <si>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</si>
  <si>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</si>
  <si>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</si>
  <si>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</si>
  <si>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</si>
  <si>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</si>
  <si>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</si>
  <si>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</si>
  <si>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</si>
  <si>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</si>
  <si>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</si>
  <si>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</si>
  <si>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</si>
  <si>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</si>
  <si>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</si>
  <si>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</si>
  <si>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</si>
  <si>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</si>
  <si>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</si>
  <si>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</si>
  <si>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</si>
  <si>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</si>
  <si>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</si>
  <si>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</si>
  <si>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</si>
  <si>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</si>
  <si>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</si>
  <si>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</si>
  <si>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</si>
  <si>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</si>
  <si>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</si>
  <si>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</si>
  <si>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</si>
  <si>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</si>
  <si>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</si>
  <si>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</si>
  <si>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</si>
  <si>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</si>
  <si>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</si>
  <si>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</si>
  <si>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</si>
  <si>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</si>
  <si>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</si>
  <si>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</si>
  <si>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</si>
  <si>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</si>
  <si>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</si>
  <si>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</si>
  <si>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</si>
  <si>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</si>
  <si>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</si>
  <si>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</si>
  <si>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</si>
  <si>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</si>
  <si>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</si>
  <si>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</si>
  <si>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</si>
  <si>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</si>
  <si>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</si>
  <si>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</si>
  <si>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</si>
  <si>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</si>
  <si>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</si>
  <si>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</si>
  <si>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</si>
  <si>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</si>
  <si>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</si>
  <si>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</si>
  <si>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</si>
  <si>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</si>
  <si>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</si>
  <si>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</si>
  <si>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</si>
  <si>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</si>
  <si>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</si>
  <si>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</si>
  <si>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</si>
  <si>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</si>
  <si>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</si>
  <si>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</si>
  <si>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</si>
  <si>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</si>
  <si>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</si>
  <si>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</si>
  <si>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</si>
  <si>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</si>
  <si>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</si>
  <si>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</si>
  <si>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</si>
  <si>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</si>
  <si>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</si>
  <si>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</si>
  <si>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</si>
  <si>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</si>
  <si>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</si>
  <si>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</si>
  <si>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</si>
  <si>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</si>
  <si>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</si>
  <si>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</si>
  <si>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</si>
  <si>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</si>
  <si>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</si>
  <si>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</si>
  <si>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</si>
  <si>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</si>
  <si>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</si>
  <si>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</si>
  <si>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</si>
  <si>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</si>
  <si>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</si>
  <si>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</si>
  <si>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</si>
  <si>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</si>
  <si>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</si>
  <si>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</si>
  <si>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</si>
  <si>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</si>
  <si>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</si>
  <si>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</si>
  <si>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</si>
  <si>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</si>
  <si>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</si>
  <si>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</si>
  <si>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</si>
  <si>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</si>
  <si>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</si>
  <si>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</si>
  <si>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</si>
  <si>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</si>
  <si>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</si>
  <si>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</si>
  <si>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</si>
  <si>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</si>
  <si>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</si>
  <si>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</si>
  <si>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</si>
  <si>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</si>
  <si>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</si>
  <si>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</si>
  <si>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</si>
  <si>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</si>
  <si>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</si>
  <si>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</si>
  <si>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</si>
  <si>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</si>
  <si>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</si>
  <si>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</si>
  <si>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</si>
  <si>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</si>
  <si>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</si>
  <si>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</si>
  <si>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</si>
  <si>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</si>
  <si>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</si>
  <si>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</si>
  <si>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</si>
  <si>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</si>
  <si>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</si>
  <si>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</si>
  <si>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</si>
  <si>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</si>
  <si>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</si>
  <si>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</si>
  <si>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</si>
  <si>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</si>
  <si>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</si>
  <si>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</si>
  <si>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</si>
  <si>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</si>
  <si>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</si>
  <si>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</si>
  <si>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</si>
  <si>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</si>
  <si>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</si>
  <si>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</si>
  <si>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</si>
  <si>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</si>
  <si>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</si>
  <si>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</si>
  <si>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</si>
  <si>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</si>
  <si>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</si>
  <si>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</si>
  <si>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</si>
  <si>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</si>
  <si>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</si>
  <si>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</si>
  <si>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</si>
  <si>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</si>
  <si>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</si>
  <si>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</si>
  <si>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</si>
  <si>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</si>
  <si>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</si>
  <si>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</si>
  <si>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</si>
  <si>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</si>
  <si>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</si>
  <si>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</si>
  <si>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</si>
  <si>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</si>
  <si>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</si>
  <si>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</si>
  <si>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</si>
  <si>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</si>
  <si>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</si>
  <si>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</si>
  <si>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</si>
  <si>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</si>
  <si>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</si>
  <si>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</si>
  <si>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</si>
  <si>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</si>
  <si>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</si>
  <si>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</si>
  <si>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</si>
  <si>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</si>
  <si>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</si>
  <si>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</si>
  <si>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</si>
  <si>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</si>
  <si>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</si>
  <si>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</si>
  <si>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</si>
  <si>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</si>
  <si>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</si>
  <si>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</si>
  <si>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</si>
  <si>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</si>
  <si>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</si>
  <si>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</si>
  <si>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</si>
  <si>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</si>
  <si>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</si>
  <si>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</si>
  <si>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</si>
  <si>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</si>
  <si>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</si>
  <si>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</si>
  <si>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</si>
  <si>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</si>
  <si>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</si>
  <si>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</si>
  <si>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</si>
  <si>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</si>
  <si>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</si>
  <si>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</si>
  <si>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</si>
  <si>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</si>
  <si>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</si>
  <si>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</si>
  <si>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</si>
  <si>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</si>
  <si>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</si>
  <si>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</si>
  <si>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</si>
  <si>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</si>
  <si>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</si>
  <si>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</si>
  <si>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</si>
  <si>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</si>
  <si>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</si>
  <si>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</si>
  <si>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</si>
  <si>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</si>
  <si>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</si>
  <si>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</si>
  <si>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</si>
  <si>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</si>
  <si>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</si>
  <si>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</si>
  <si>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</si>
  <si>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</si>
  <si>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</si>
  <si>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</si>
  <si>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</si>
  <si>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</si>
  <si>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</si>
  <si>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</si>
  <si>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</si>
  <si>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</si>
  <si>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</si>
  <si>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</si>
  <si>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</si>
  <si>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</si>
  <si>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</si>
  <si>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</si>
  <si>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</si>
  <si>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</si>
  <si>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</si>
  <si>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</si>
  <si>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</si>
  <si>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</si>
  <si>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</si>
  <si>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</si>
  <si>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</si>
  <si>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</si>
  <si>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</si>
  <si>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</si>
  <si>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</si>
  <si>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</si>
  <si>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</si>
  <si>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</si>
  <si>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</si>
  <si>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</si>
  <si>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</si>
  <si>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</si>
  <si>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</si>
  <si>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</si>
  <si>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</si>
  <si>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</si>
  <si>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</si>
  <si>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</si>
  <si>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</si>
  <si>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</si>
  <si>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</si>
  <si>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</si>
  <si>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</si>
  <si>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</si>
  <si>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</si>
  <si>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</si>
  <si>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</si>
  <si>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</si>
  <si>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</si>
  <si>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</si>
  <si>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</si>
  <si>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</si>
  <si>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</si>
  <si>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</si>
  <si>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</si>
  <si>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</si>
  <si>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</si>
  <si>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</si>
  <si>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</si>
  <si>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</si>
  <si>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</si>
  <si>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</si>
  <si>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</si>
  <si>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</si>
  <si>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</si>
  <si>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</si>
  <si>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</si>
  <si>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</si>
  <si>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</si>
  <si>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</si>
  <si>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</si>
  <si>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</si>
  <si>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</si>
  <si>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</si>
  <si>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</si>
  <si>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</si>
  <si>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</si>
  <si>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</si>
  <si>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</si>
  <si>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</si>
  <si>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</si>
  <si>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</si>
  <si>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</si>
  <si>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</si>
  <si>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</si>
  <si>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</si>
  <si>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</si>
  <si>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</si>
  <si>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</si>
  <si>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</si>
  <si>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</si>
  <si>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</si>
  <si>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</si>
  <si>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</si>
  <si>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</si>
  <si>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</si>
  <si>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</si>
  <si>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</si>
  <si>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</si>
  <si>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</si>
  <si>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</si>
  <si>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</si>
  <si>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</si>
  <si>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</si>
  <si>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</si>
  <si>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</si>
  <si>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</si>
  <si>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</si>
  <si>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</si>
  <si>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</si>
  <si>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</si>
  <si>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</si>
  <si>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</si>
  <si>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</si>
  <si>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</si>
  <si>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</si>
  <si>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</si>
  <si>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</si>
  <si>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</si>
  <si>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</si>
  <si>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</si>
  <si>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</si>
  <si>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</si>
  <si>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</si>
  <si>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</si>
  <si>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</si>
  <si>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</si>
  <si>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</si>
  <si>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</si>
  <si>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</si>
  <si>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</si>
  <si>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</si>
  <si>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</si>
  <si>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</si>
  <si>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</si>
  <si>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</si>
  <si>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</si>
  <si>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</si>
  <si>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</si>
  <si>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</si>
  <si>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</si>
  <si>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</si>
  <si>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</si>
  <si>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</si>
  <si>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</si>
  <si>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</si>
  <si>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</si>
  <si>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</si>
  <si>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</si>
  <si>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</si>
  <si>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</si>
  <si>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</si>
  <si>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</si>
  <si>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</si>
  <si>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</si>
  <si>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</si>
  <si>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</si>
  <si>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</si>
  <si>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</si>
  <si>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</si>
  <si>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</si>
  <si>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</si>
  <si>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</si>
  <si>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</si>
  <si>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</si>
  <si>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</si>
  <si>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</si>
  <si>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</si>
  <si>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</si>
  <si>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</si>
  <si>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</si>
  <si>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</si>
  <si>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</si>
  <si>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</si>
  <si>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</si>
  <si>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</si>
  <si>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</si>
  <si>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</si>
  <si>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</si>
  <si>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</si>
  <si>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</si>
  <si>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</si>
  <si>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</si>
  <si>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</si>
  <si>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</si>
  <si>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</si>
  <si>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</si>
  <si>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</si>
  <si>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</si>
  <si>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</si>
  <si>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</si>
  <si>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</si>
  <si>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</si>
  <si>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</si>
  <si>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</si>
  <si>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</si>
  <si>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</si>
  <si>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</si>
  <si>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</si>
  <si>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</si>
  <si>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</si>
  <si>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</si>
  <si>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</si>
  <si>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</si>
  <si>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</si>
  <si>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</si>
  <si>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</si>
  <si>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</si>
  <si>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</si>
  <si>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</si>
  <si>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</si>
  <si>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</si>
  <si>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</si>
  <si>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</si>
  <si>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</si>
  <si>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</si>
  <si>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</si>
  <si>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</si>
  <si>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</si>
  <si>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</si>
  <si>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</si>
  <si>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</si>
  <si>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</si>
  <si>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</si>
  <si>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</si>
  <si>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</si>
  <si>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</si>
  <si>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</si>
  <si>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</si>
  <si>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</si>
  <si>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</si>
  <si>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</si>
  <si>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</si>
  <si>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</si>
  <si>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</si>
  <si>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</si>
  <si>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</si>
  <si>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</si>
  <si>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</si>
  <si>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</si>
  <si>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</si>
  <si>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</si>
  <si>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</si>
  <si>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</si>
  <si>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</si>
  <si>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</si>
  <si>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</si>
  <si>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</si>
  <si>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</si>
  <si>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</si>
  <si>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</si>
  <si>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</si>
  <si>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</si>
  <si>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</si>
  <si>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</si>
  <si>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</si>
  <si>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</si>
  <si>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</si>
  <si>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</si>
  <si>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</si>
  <si>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</si>
  <si>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</si>
  <si>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</si>
  <si>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</si>
  <si>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</si>
  <si>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</si>
  <si>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</si>
  <si>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</si>
  <si>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</si>
  <si>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</si>
  <si>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</si>
  <si>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</si>
  <si>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</si>
  <si>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</si>
  <si>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</si>
  <si>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</si>
  <si>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</si>
  <si>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</si>
  <si>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</si>
  <si>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</si>
  <si>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</si>
  <si>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</si>
  <si>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</si>
  <si>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</si>
  <si>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</si>
  <si>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</si>
  <si>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</si>
  <si>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</si>
  <si>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</si>
  <si>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</si>
  <si>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</si>
  <si>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</si>
  <si>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</si>
  <si>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</si>
  <si>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</si>
  <si>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</si>
  <si>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</si>
  <si>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</si>
  <si>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</si>
  <si>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</si>
  <si>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</si>
  <si>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</si>
  <si>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</si>
  <si>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</si>
  <si>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</si>
  <si>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</si>
  <si>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</si>
  <si>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</si>
  <si>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</si>
  <si>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</si>
  <si>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</si>
  <si>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</si>
  <si>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</si>
  <si>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</si>
  <si>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</si>
  <si>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</si>
  <si>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</si>
  <si>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</si>
  <si>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</si>
  <si>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</si>
  <si>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</si>
  <si>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</si>
  <si>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</si>
  <si>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</si>
  <si>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</si>
  <si>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</si>
  <si>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</si>
  <si>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</si>
  <si>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</si>
  <si>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</si>
  <si>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</si>
  <si>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</si>
  <si>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</si>
  <si>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</si>
  <si>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</si>
  <si>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</si>
  <si>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</si>
  <si>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</si>
  <si>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</si>
  <si>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</si>
  <si>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</si>
  <si>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</si>
  <si>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</si>
  <si>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</si>
  <si>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</si>
  <si>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</si>
  <si>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</si>
  <si>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</si>
  <si>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</si>
  <si>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</si>
  <si>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</si>
  <si>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</si>
  <si>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</si>
  <si>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</si>
  <si>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</si>
  <si>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</si>
  <si>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</si>
  <si>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</si>
  <si>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</si>
  <si>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</si>
  <si>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</si>
  <si>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</si>
  <si>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</si>
  <si>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</si>
  <si>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</si>
  <si>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</si>
  <si>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</si>
  <si>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</si>
  <si>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</si>
  <si>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</si>
  <si>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</si>
  <si>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</si>
  <si>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</si>
  <si>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</si>
  <si>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</si>
  <si>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</si>
  <si>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</si>
  <si>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</si>
  <si>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</si>
  <si>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</si>
  <si>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</si>
  <si>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</si>
  <si>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</si>
  <si>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</si>
  <si>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</si>
  <si>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</si>
  <si>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</si>
  <si>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</si>
  <si>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</si>
  <si>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</si>
  <si>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</si>
  <si>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</si>
  <si>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</si>
  <si>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</si>
  <si>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</si>
  <si>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</si>
  <si>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</si>
  <si>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</si>
  <si>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</si>
  <si>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</si>
  <si>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</si>
  <si>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</si>
  <si>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</si>
  <si>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</si>
  <si>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</si>
  <si>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</si>
  <si>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</si>
  <si>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</si>
  <si>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</si>
  <si>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</si>
  <si>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</si>
  <si>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</si>
  <si>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</si>
  <si>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</si>
  <si>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</si>
  <si>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</si>
  <si>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</si>
  <si>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</si>
  <si>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</si>
  <si>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</si>
  <si>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</si>
  <si>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</si>
  <si>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</si>
  <si>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</si>
  <si>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</si>
  <si>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</si>
  <si>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</si>
  <si>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</si>
  <si>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</si>
  <si>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</si>
  <si>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</si>
  <si>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</si>
  <si>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</si>
  <si>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</si>
  <si>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</si>
  <si>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</si>
  <si>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</si>
  <si>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</si>
  <si>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</si>
  <si>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</si>
  <si>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</si>
  <si>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</si>
  <si>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</si>
  <si>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</si>
  <si>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</si>
  <si>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</si>
  <si>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</si>
  <si>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</si>
  <si>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</si>
  <si>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</si>
  <si>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</si>
  <si>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</si>
  <si>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</si>
  <si>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</si>
  <si>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</si>
  <si>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</si>
  <si>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</si>
  <si>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</si>
  <si>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</si>
  <si>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</si>
  <si>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</si>
  <si>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</si>
  <si>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</si>
  <si>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</si>
  <si>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</si>
  <si>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</si>
  <si>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</si>
  <si>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</si>
  <si>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</si>
  <si>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</si>
  <si>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</si>
  <si>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</si>
  <si>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</si>
  <si>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</si>
  <si>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</si>
  <si>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</si>
  <si>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</si>
  <si>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</si>
  <si>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</si>
  <si>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</si>
  <si>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</si>
  <si>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</si>
  <si>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</si>
  <si>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</si>
  <si>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</si>
  <si>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</si>
  <si>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</si>
  <si>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</si>
  <si>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</si>
  <si>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</si>
  <si>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</si>
  <si>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</si>
  <si>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</si>
  <si>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</si>
  <si>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</si>
  <si>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</si>
  <si>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</si>
  <si>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</si>
  <si>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</si>
  <si>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</si>
  <si>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</si>
  <si>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</si>
  <si>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</si>
  <si>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</si>
  <si>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</si>
  <si>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</si>
  <si>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</si>
  <si>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</si>
  <si>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</si>
  <si>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</si>
  <si>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</si>
  <si>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</si>
  <si>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</si>
  <si>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</si>
  <si>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</si>
  <si>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</si>
  <si>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</si>
  <si>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</si>
  <si>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</si>
  <si>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</si>
  <si>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</si>
  <si>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</si>
  <si>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</si>
  <si>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</si>
  <si>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</si>
  <si>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</si>
  <si>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</si>
  <si>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</si>
  <si>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</si>
  <si>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</si>
  <si>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</si>
  <si>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</si>
  <si>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</si>
  <si>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</si>
  <si>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</si>
  <si>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</si>
  <si>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</si>
  <si>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</si>
  <si>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</si>
  <si>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</si>
  <si>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</si>
  <si>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</si>
  <si>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</si>
  <si>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</si>
  <si>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</si>
  <si>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</si>
  <si>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</si>
  <si>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</si>
  <si>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</si>
  <si>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</si>
  <si>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</si>
  <si>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</si>
  <si>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</si>
  <si>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</si>
  <si>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</si>
  <si>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</si>
  <si>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</si>
  <si>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</si>
  <si>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</si>
  <si>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</si>
  <si>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</si>
  <si>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</si>
  <si>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</si>
  <si>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</si>
  <si>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</si>
  <si>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</si>
  <si>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</si>
  <si>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</si>
  <si>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</si>
  <si>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</si>
  <si>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</si>
  <si>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</si>
  <si>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</si>
  <si>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</si>
  <si>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</si>
  <si>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</si>
  <si>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</si>
  <si>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</si>
  <si>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</si>
  <si>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</si>
  <si>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</si>
  <si>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</si>
  <si>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</si>
  <si>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</si>
  <si>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</si>
  <si>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</si>
  <si>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</si>
  <si>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</si>
  <si>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</si>
  <si>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</si>
  <si>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</si>
  <si>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</si>
  <si>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</si>
  <si>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</si>
  <si>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</si>
  <si>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</si>
  <si>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</si>
  <si>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</si>
  <si>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</si>
  <si>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</si>
  <si>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</si>
  <si>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</si>
  <si>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</si>
  <si>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</si>
  <si>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</si>
  <si>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</si>
  <si>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</si>
  <si>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</si>
  <si>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</si>
  <si>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</si>
  <si>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</si>
  <si>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</si>
  <si>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</si>
  <si>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</si>
  <si>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</si>
  <si>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</si>
  <si>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</si>
  <si>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</si>
  <si>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</si>
  <si>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</si>
  <si>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</si>
  <si>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</si>
  <si>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</si>
  <si>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</si>
  <si>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</si>
  <si>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</si>
  <si>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</si>
  <si>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</si>
  <si>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</si>
  <si>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</si>
  <si>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</si>
  <si>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</si>
  <si>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</si>
  <si>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</si>
  <si>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</si>
  <si>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</si>
  <si>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</si>
  <si>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</si>
  <si>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</si>
  <si>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</si>
  <si>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</si>
  <si>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</si>
  <si>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</si>
  <si>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</si>
  <si>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</si>
  <si>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</si>
  <si>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</si>
  <si>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</si>
  <si>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</si>
  <si>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</si>
  <si>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</si>
  <si>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</si>
  <si>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</si>
  <si>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</si>
  <si>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</si>
  <si>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</si>
  <si>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</si>
  <si>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</si>
  <si>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</si>
  <si>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</si>
  <si>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</si>
  <si>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</si>
  <si>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</si>
  <si>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</si>
  <si>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</si>
  <si>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</si>
  <si>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</si>
  <si>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</si>
  <si>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</si>
  <si>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</si>
  <si>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</si>
  <si>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</si>
  <si>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</si>
  <si>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</si>
  <si>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</si>
  <si>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</si>
  <si>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</si>
  <si>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</si>
  <si>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</si>
  <si>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</si>
  <si>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</si>
  <si>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</si>
  <si>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</si>
  <si>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</si>
  <si>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</si>
  <si>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</si>
  <si>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</si>
  <si>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</si>
  <si>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</si>
  <si>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</si>
  <si>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</si>
  <si>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</si>
  <si>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</si>
  <si>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</si>
  <si>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</si>
  <si>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</si>
  <si>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</si>
  <si>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</si>
  <si>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</si>
  <si>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</si>
  <si>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</si>
  <si>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</si>
  <si>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</si>
  <si>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</si>
  <si>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</si>
  <si>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</si>
  <si>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</si>
  <si>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</si>
  <si>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</si>
  <si>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</si>
  <si>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</si>
  <si>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</si>
  <si>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</si>
  <si>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</si>
  <si>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</si>
  <si>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</si>
  <si>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</si>
  <si>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</si>
  <si>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</si>
  <si>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</si>
  <si>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</si>
  <si>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</si>
  <si>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</si>
  <si>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</si>
  <si>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</si>
  <si>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</si>
  <si>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</si>
  <si>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</si>
  <si>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</si>
  <si>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</si>
  <si>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</si>
  <si>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</si>
  <si>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</si>
  <si>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</si>
  <si>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</si>
  <si>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</si>
  <si>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</si>
  <si>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</si>
  <si>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</si>
  <si>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</si>
  <si>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</si>
  <si>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</si>
  <si>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</si>
  <si>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</si>
  <si>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</si>
  <si>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</si>
  <si>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</si>
  <si>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</si>
  <si>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</si>
  <si>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</si>
  <si>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</si>
  <si>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</si>
  <si>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</si>
  <si>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</si>
  <si>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</si>
  <si>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</si>
  <si>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</si>
  <si>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</si>
  <si>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</si>
  <si>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</si>
  <si>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</si>
  <si>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</si>
  <si>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</si>
  <si>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</si>
  <si>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</si>
  <si>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</si>
  <si>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</si>
  <si>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</si>
  <si>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</si>
  <si>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</si>
  <si>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</si>
  <si>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</si>
  <si>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</si>
  <si>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</si>
  <si>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</si>
  <si>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</si>
  <si>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</si>
  <si>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</si>
  <si>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</si>
  <si>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</si>
  <si>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</si>
  <si>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</si>
  <si>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</si>
  <si>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</si>
  <si>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</si>
  <si>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</si>
  <si>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</si>
  <si>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</si>
  <si>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</si>
  <si>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</si>
  <si>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</si>
  <si>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</si>
  <si>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</si>
  <si>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</si>
  <si>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</si>
  <si>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</si>
  <si>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</si>
  <si>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</si>
  <si>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</si>
  <si>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</si>
  <si>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</si>
  <si>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</si>
  <si>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</si>
  <si>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</si>
  <si>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</si>
  <si>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</si>
  <si>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</si>
  <si>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</si>
  <si>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</si>
  <si>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</si>
  <si>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</si>
  <si>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</si>
  <si>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</si>
  <si>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</si>
  <si>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</si>
  <si>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</si>
  <si>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</si>
  <si>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</si>
  <si>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</si>
  <si>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</si>
  <si>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</si>
  <si>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</si>
  <si>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</si>
  <si>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</si>
  <si>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</si>
  <si>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</si>
  <si>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</si>
  <si>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</si>
  <si>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</si>
  <si>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</si>
  <si>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</si>
  <si>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</si>
  <si>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</si>
  <si>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</si>
  <si>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</si>
  <si>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</si>
  <si>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</si>
  <si>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</si>
  <si>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</si>
  <si>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</si>
  <si>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</si>
  <si>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</si>
  <si>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</si>
  <si>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</si>
  <si>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</si>
  <si>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</si>
  <si>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</si>
  <si>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</si>
  <si>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</si>
  <si>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</si>
  <si>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</si>
  <si>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</si>
  <si>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</si>
  <si>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</si>
  <si>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</si>
  <si>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</si>
  <si>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</si>
  <si>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</si>
  <si>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</si>
  <si>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</si>
  <si>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</si>
  <si>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</si>
  <si>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</si>
  <si>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</si>
  <si>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</si>
  <si>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</si>
  <si>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</si>
  <si>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</si>
  <si>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</si>
  <si>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</si>
  <si>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</si>
  <si>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</si>
  <si>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</si>
  <si>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</si>
  <si>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</si>
  <si>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</si>
  <si>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</si>
  <si>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</si>
  <si>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</si>
  <si>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</si>
  <si>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</si>
  <si>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</si>
  <si>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</si>
  <si>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</si>
  <si>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</si>
  <si>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</si>
  <si>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</si>
  <si>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</si>
  <si>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</si>
  <si>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</si>
  <si>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</si>
  <si>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</si>
  <si>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</si>
  <si>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</si>
  <si>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</si>
  <si>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</si>
  <si>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</si>
  <si>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</si>
  <si>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</si>
  <si>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</si>
  <si>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</si>
  <si>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</si>
  <si>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</si>
  <si>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</si>
  <si>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</si>
  <si>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</si>
  <si>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</si>
  <si>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</si>
  <si>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</si>
  <si>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</si>
  <si>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</si>
  <si>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</si>
  <si>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</si>
  <si>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</si>
  <si>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</si>
  <si>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</si>
  <si>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</si>
  <si>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</si>
  <si>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</si>
  <si>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</si>
  <si>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</si>
  <si>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</si>
  <si>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</si>
  <si>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</si>
  <si>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</si>
  <si>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</si>
  <si>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</si>
  <si>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</si>
  <si>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</si>
  <si>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</si>
  <si>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</si>
  <si>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</si>
  <si>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</si>
  <si>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</si>
  <si>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</si>
  <si>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</si>
  <si>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</si>
  <si>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</si>
  <si>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</si>
  <si>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</si>
  <si>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</si>
  <si>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</si>
  <si>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</si>
  <si>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</si>
  <si>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</si>
  <si>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</si>
  <si>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</si>
  <si>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</si>
  <si>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</si>
  <si>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</si>
  <si>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</si>
  <si>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</si>
  <si>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</si>
  <si>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</si>
  <si>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</si>
  <si>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</si>
  <si>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</si>
  <si>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</si>
  <si>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</si>
  <si>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</si>
  <si>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</si>
  <si>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</si>
  <si>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</si>
  <si>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</si>
  <si>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</si>
  <si>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</si>
  <si>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</si>
  <si>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</si>
  <si>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</si>
  <si>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</si>
  <si>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</si>
  <si>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</si>
  <si>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</si>
  <si>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</si>
  <si>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</si>
  <si>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</si>
  <si>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</si>
  <si>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</si>
  <si>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</si>
  <si>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</si>
  <si>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</si>
  <si>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</si>
  <si>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</si>
  <si>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</si>
  <si>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</si>
  <si>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</si>
  <si>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</si>
  <si>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</si>
  <si>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</si>
  <si>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</si>
  <si>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</si>
  <si>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</si>
  <si>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</si>
  <si>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</si>
  <si>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</si>
  <si>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</si>
  <si>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</si>
  <si>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</si>
  <si>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</si>
  <si>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</si>
  <si>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</si>
  <si>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</si>
  <si>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</si>
  <si>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</si>
  <si>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</si>
  <si>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</si>
  <si>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</si>
  <si>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</si>
  <si>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</si>
  <si>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</si>
  <si>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</si>
  <si>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</si>
  <si>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</si>
  <si>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</si>
  <si>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</si>
  <si>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</si>
  <si>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</si>
  <si>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</si>
  <si>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</si>
  <si>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</si>
  <si>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</si>
  <si>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</si>
  <si>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</si>
  <si>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</si>
  <si>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</si>
  <si>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</si>
  <si>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</si>
  <si>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</si>
  <si>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</si>
  <si>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</si>
  <si>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</si>
  <si>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</si>
  <si>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</si>
  <si>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</si>
  <si>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</si>
  <si>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</si>
  <si>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</si>
  <si>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</si>
  <si>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</si>
  <si>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</si>
  <si>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</si>
  <si>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</si>
  <si>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</si>
  <si>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</si>
  <si>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</si>
  <si>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</si>
  <si>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</si>
  <si>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</si>
  <si>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</si>
  <si>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</si>
  <si>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</si>
  <si>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</si>
  <si>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</si>
  <si>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</si>
  <si>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</si>
  <si>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</si>
  <si>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</si>
  <si>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</si>
  <si>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</si>
  <si>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</si>
  <si>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</si>
  <si>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</si>
  <si>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</si>
  <si>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</si>
  <si>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</si>
  <si>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</si>
  <si>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</si>
  <si>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</si>
  <si>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</si>
  <si>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</si>
  <si>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</si>
  <si>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</si>
  <si>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</si>
  <si>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</si>
  <si>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</si>
  <si>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</si>
  <si>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</si>
  <si>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</si>
  <si>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</si>
  <si>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</si>
  <si>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</si>
  <si>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</si>
  <si>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</si>
  <si>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</si>
  <si>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</si>
  <si>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</si>
  <si>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</si>
  <si>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</si>
  <si>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</si>
  <si>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</si>
  <si>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</si>
  <si>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</si>
  <si>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</si>
  <si>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</si>
  <si>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</si>
  <si>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</si>
  <si>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</si>
  <si>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</si>
  <si>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</si>
  <si>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</si>
  <si>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</si>
  <si>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</si>
  <si>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</si>
  <si>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</si>
  <si>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</si>
  <si>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</si>
  <si>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</si>
  <si>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</si>
  <si>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</si>
  <si>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</si>
  <si>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</si>
  <si>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</si>
  <si>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</si>
  <si>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</si>
  <si>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</si>
  <si>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</si>
  <si>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</si>
  <si>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</si>
  <si>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</si>
  <si>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</si>
  <si>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</si>
  <si>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</si>
  <si>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</si>
  <si>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</si>
  <si>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</si>
  <si>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</si>
  <si>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</si>
  <si>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</si>
  <si>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</si>
  <si>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</si>
  <si>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</si>
  <si>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</si>
  <si>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</si>
  <si>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</si>
  <si>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</si>
  <si>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</si>
  <si>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</si>
  <si>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</si>
  <si>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</si>
  <si>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</si>
  <si>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</si>
  <si>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</si>
  <si>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</si>
  <si>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</si>
  <si>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</si>
  <si>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</si>
  <si>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</si>
  <si>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</si>
  <si>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</si>
  <si>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</si>
  <si>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</si>
  <si>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</si>
  <si>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</si>
  <si>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</si>
  <si>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</si>
  <si>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</si>
  <si>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</si>
  <si>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</si>
  <si>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</si>
  <si>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</si>
  <si>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</si>
  <si>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</si>
  <si>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</si>
  <si>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</si>
  <si>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</si>
  <si>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</si>
  <si>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</si>
  <si>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</si>
  <si>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</si>
  <si>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</si>
  <si>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</si>
  <si>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</si>
  <si>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</si>
  <si>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</si>
  <si>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</si>
  <si>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</si>
  <si>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</si>
  <si>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</si>
  <si>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</si>
  <si>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</si>
  <si>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</si>
  <si>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</si>
  <si>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</si>
  <si>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</si>
  <si>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</si>
  <si>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</si>
  <si>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</si>
  <si>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</si>
  <si>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</si>
  <si>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</si>
  <si>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</si>
  <si>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</si>
  <si>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</si>
  <si>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</si>
  <si>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</si>
  <si>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</si>
  <si>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</si>
  <si>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</si>
  <si>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</si>
  <si>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</si>
  <si>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</si>
  <si>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</si>
  <si>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</si>
  <si>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</si>
  <si>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</si>
  <si>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</si>
  <si>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</si>
  <si>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</si>
  <si>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</si>
  <si>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</si>
  <si>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</si>
  <si>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</si>
  <si>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</si>
  <si>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</si>
  <si>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</si>
  <si>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</si>
  <si>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</si>
  <si>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</si>
  <si>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</si>
  <si>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</si>
  <si>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</si>
  <si>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</si>
  <si>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</si>
  <si>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</si>
  <si>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</si>
  <si>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</si>
  <si>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</si>
  <si>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</si>
  <si>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</si>
  <si>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</si>
  <si>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</si>
  <si>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</si>
  <si>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</si>
  <si>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</si>
  <si>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</si>
  <si>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</si>
  <si>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</si>
  <si>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</si>
  <si>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</si>
  <si>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</si>
  <si>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</si>
  <si>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</si>
  <si>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</si>
  <si>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</si>
  <si>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</si>
  <si>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</si>
  <si>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</si>
  <si>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</si>
  <si>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</si>
  <si>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</si>
  <si>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</si>
  <si>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</si>
  <si>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</si>
  <si>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</si>
  <si>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</si>
  <si>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</si>
  <si>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</si>
  <si>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</si>
  <si>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</si>
  <si>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</si>
  <si>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</si>
  <si>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</si>
  <si>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</si>
  <si>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</si>
  <si>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</si>
  <si>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</si>
  <si>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</si>
  <si>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</si>
  <si>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</si>
  <si>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</si>
  <si>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</si>
  <si>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</si>
  <si>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</si>
  <si>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</si>
  <si>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</si>
  <si>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</si>
  <si>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</si>
  <si>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</si>
  <si>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</si>
  <si>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</si>
  <si>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</si>
  <si>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</si>
  <si>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</si>
  <si>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</si>
  <si>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</si>
  <si>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</si>
  <si>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</si>
  <si>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</si>
  <si>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</si>
  <si>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</si>
  <si>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</si>
  <si>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</si>
  <si>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</si>
  <si>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</si>
  <si>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</si>
  <si>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</si>
  <si>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</si>
  <si>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</si>
  <si>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</si>
  <si>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</si>
  <si>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</si>
  <si>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</si>
  <si>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</si>
  <si>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</si>
  <si>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</si>
  <si>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</si>
  <si>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</si>
  <si>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</si>
  <si>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</si>
  <si>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</si>
  <si>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</si>
  <si>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</si>
  <si>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</si>
  <si>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</si>
  <si>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</si>
  <si>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</si>
  <si>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</si>
  <si>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</si>
  <si>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</si>
  <si>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</si>
  <si>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</si>
  <si>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</si>
  <si>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</si>
  <si>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</si>
  <si>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</si>
  <si>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</si>
  <si>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</si>
  <si>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</si>
  <si>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</si>
  <si>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</si>
  <si>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</si>
  <si>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</si>
  <si>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</si>
  <si>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</si>
  <si>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</si>
  <si>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</si>
  <si>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</si>
  <si>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</si>
  <si>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</si>
  <si>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</si>
  <si>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</si>
  <si>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</si>
  <si>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</si>
  <si>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</si>
  <si>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</si>
  <si>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</si>
  <si>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</si>
  <si>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</si>
  <si>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</si>
  <si>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</si>
  <si>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</si>
  <si>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</si>
  <si>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</si>
  <si>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</si>
  <si>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</si>
  <si>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</si>
  <si>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</si>
  <si>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</si>
  <si>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</si>
  <si>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</si>
  <si>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</si>
  <si>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</si>
  <si>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</si>
  <si>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</si>
  <si>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</si>
  <si>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</si>
  <si>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</si>
  <si>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</si>
  <si>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</si>
  <si>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</si>
  <si>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</si>
  <si>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</si>
  <si>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</si>
  <si>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</si>
  <si>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</si>
  <si>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</si>
  <si>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</si>
  <si>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</si>
  <si>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</si>
  <si>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</si>
  <si>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</si>
  <si>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</si>
  <si>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</si>
  <si>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</si>
  <si>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</si>
  <si>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</si>
  <si>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</si>
  <si>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</si>
  <si>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</si>
  <si>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</si>
  <si>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</si>
  <si>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</si>
  <si>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</si>
  <si>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</si>
  <si>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</si>
  <si>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</si>
  <si>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</si>
  <si>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</si>
  <si>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</si>
  <si>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</si>
  <si>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</si>
  <si>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</si>
  <si>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</si>
  <si>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</si>
  <si>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</si>
  <si>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</si>
  <si>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</si>
  <si>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</si>
  <si>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</si>
  <si>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</si>
  <si>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</si>
  <si>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</si>
  <si>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</si>
  <si>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</si>
  <si>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</si>
  <si>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</si>
  <si>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</si>
  <si>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</si>
  <si>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</si>
  <si>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</si>
  <si>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</si>
  <si>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</si>
  <si>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</si>
  <si>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</si>
  <si>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</si>
  <si>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</si>
  <si>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</si>
  <si>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</si>
  <si>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</si>
  <si>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</si>
  <si>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</si>
  <si>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</si>
  <si>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</si>
  <si>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</si>
  <si>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</si>
  <si>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</si>
  <si>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王鹏</t>
  </si>
  <si>
    <t>郑燚</t>
  </si>
  <si>
    <t>扬州恒大云锦华庭未售明细（备案）</t>
  </si>
  <si>
    <t>房屋公安幢号</t>
  </si>
  <si>
    <t>房号</t>
  </si>
  <si>
    <r>
      <rPr>
        <sz val="11"/>
        <color indexed="8"/>
        <rFont val="仿宋"/>
        <family val="3"/>
        <charset val="134"/>
      </rPr>
      <t>建筑面积（ｍ</t>
    </r>
    <r>
      <rPr>
        <vertAlign val="superscript"/>
        <sz val="11"/>
        <color indexed="8"/>
        <rFont val="仿宋"/>
        <family val="3"/>
        <charset val="134"/>
      </rPr>
      <t>2</t>
    </r>
    <r>
      <rPr>
        <sz val="11"/>
        <color indexed="8"/>
        <rFont val="仿宋"/>
        <family val="3"/>
        <charset val="134"/>
      </rPr>
      <t>）</t>
    </r>
  </si>
  <si>
    <t>房屋类型</t>
  </si>
  <si>
    <t>户型</t>
  </si>
  <si>
    <r>
      <t>备案单价（元/ｍ</t>
    </r>
    <r>
      <rPr>
        <vertAlign val="superscript"/>
        <sz val="11"/>
        <color indexed="8"/>
        <rFont val="仿宋"/>
        <family val="3"/>
        <charset val="134"/>
      </rPr>
      <t>2</t>
    </r>
    <r>
      <rPr>
        <sz val="11"/>
        <color indexed="8"/>
        <rFont val="仿宋"/>
        <family val="3"/>
        <charset val="134"/>
      </rPr>
      <t>）</t>
    </r>
  </si>
  <si>
    <t>备案总价（元）</t>
  </si>
  <si>
    <t>1701</t>
  </si>
  <si>
    <t>普通商品住房</t>
  </si>
  <si>
    <t>三室二厅二卫</t>
  </si>
  <si>
    <t>二室二厅一卫</t>
  </si>
  <si>
    <t>三室二厅一卫</t>
  </si>
  <si>
    <t>中粮信托有限责任公司</t>
  </si>
  <si>
    <t>扬州正龙置业有限公司</t>
  </si>
  <si>
    <t>抵押</t>
  </si>
  <si>
    <t>房地产市场价值</t>
  </si>
  <si>
    <t>企业</t>
  </si>
  <si>
    <t>江苏省扬州市广陵区</t>
  </si>
  <si>
    <r>
      <rPr>
        <sz val="10"/>
        <color theme="9" tint="-0.249977111117893"/>
        <rFont val="宋体"/>
        <family val="3"/>
        <charset val="134"/>
      </rPr>
      <t>沙湾南路东侧、许庄路西侧（不动产单元号：</t>
    </r>
    <r>
      <rPr>
        <sz val="10"/>
        <color theme="9" tint="-0.249977111117893"/>
        <rFont val="Arial"/>
        <family val="2"/>
      </rPr>
      <t>321002006003GB00058W00000000</t>
    </r>
    <r>
      <rPr>
        <sz val="10"/>
        <color theme="9" tint="-0.249977111117893"/>
        <rFont val="宋体"/>
        <family val="3"/>
        <charset val="134"/>
      </rPr>
      <t>）</t>
    </r>
    <r>
      <rPr>
        <sz val="10"/>
        <color theme="9" tint="-0.249977111117893"/>
        <rFont val="Arial"/>
        <family val="2"/>
      </rPr>
      <t>5</t>
    </r>
    <r>
      <rPr>
        <sz val="10"/>
        <color theme="9" tint="-0.249977111117893"/>
        <rFont val="宋体"/>
        <family val="3"/>
        <charset val="134"/>
      </rPr>
      <t>套住宅用房</t>
    </r>
    <phoneticPr fontId="6" type="noConversion"/>
  </si>
  <si>
    <t>出让</t>
  </si>
  <si>
    <t>住宅</t>
  </si>
  <si>
    <t>住宅</t>
    <phoneticPr fontId="6" type="noConversion"/>
  </si>
  <si>
    <t>住宅68.85年</t>
    <phoneticPr fontId="6" type="noConversion"/>
  </si>
  <si>
    <t>《不动产权证书》[苏（2020）扬州市不动产权第0117874号]</t>
    <phoneticPr fontId="6" type="noConversion"/>
  </si>
  <si>
    <t>《扬州恒大云锦华庭未售明细》</t>
    <phoneticPr fontId="6" type="noConversion"/>
  </si>
  <si>
    <t>否</t>
  </si>
  <si>
    <t>居住项目</t>
  </si>
  <si>
    <t>无</t>
  </si>
  <si>
    <t>现房</t>
  </si>
  <si>
    <t>通路</t>
  </si>
  <si>
    <t>通电</t>
  </si>
  <si>
    <t>通讯</t>
  </si>
  <si>
    <t>通上水</t>
  </si>
  <si>
    <t>通下水</t>
  </si>
  <si>
    <t>燃气</t>
  </si>
  <si>
    <t>土地面积</t>
    <phoneticPr fontId="3" type="noConversion"/>
  </si>
  <si>
    <t>总建筑面积</t>
    <phoneticPr fontId="3" type="noConversion"/>
  </si>
  <si>
    <t>是</t>
  </si>
  <si>
    <t>地上</t>
  </si>
  <si>
    <t>分摊土地面积</t>
    <phoneticPr fontId="3" type="noConversion"/>
  </si>
  <si>
    <t>序号2</t>
  </si>
  <si>
    <t>项目名称2</t>
  </si>
  <si>
    <t>楼栋名称2</t>
  </si>
  <si>
    <t>单元2</t>
  </si>
  <si>
    <t>房号2</t>
  </si>
  <si>
    <t>客户姓名2</t>
  </si>
  <si>
    <t>成交总价2</t>
  </si>
  <si>
    <t>建筑面积2</t>
  </si>
  <si>
    <t>套内面积2</t>
  </si>
  <si>
    <t>实测建筑面积2</t>
  </si>
  <si>
    <t>实测套内面积2</t>
  </si>
  <si>
    <t>标准单价2</t>
  </si>
  <si>
    <t>标准总价2</t>
  </si>
  <si>
    <t>成交单价2</t>
  </si>
  <si>
    <t>交楼标准2</t>
  </si>
  <si>
    <t>合同编号2</t>
  </si>
  <si>
    <t>付款方式2</t>
  </si>
  <si>
    <t>按揭银行</t>
  </si>
  <si>
    <t>抵押房状态</t>
  </si>
  <si>
    <t>抵押时间</t>
  </si>
  <si>
    <t>涂销时间</t>
  </si>
  <si>
    <t>应交首期</t>
  </si>
  <si>
    <t>已交首期</t>
  </si>
  <si>
    <t>总已收楼款2</t>
  </si>
  <si>
    <t>未收楼款2</t>
  </si>
  <si>
    <t>应收按揭贷款2</t>
  </si>
  <si>
    <t>已收按揭贷款2</t>
  </si>
  <si>
    <t>未收按揭贷款2</t>
  </si>
  <si>
    <t>装修付款方式</t>
  </si>
  <si>
    <t>装修应交首期</t>
  </si>
  <si>
    <t>装修已交首期</t>
  </si>
  <si>
    <t>装修标准</t>
  </si>
  <si>
    <t>装修单价</t>
  </si>
  <si>
    <t>装修总价</t>
  </si>
  <si>
    <t>已收装修款</t>
  </si>
  <si>
    <t>成交单价带装修</t>
  </si>
  <si>
    <t>成交总价带装修</t>
  </si>
  <si>
    <t>超备案价下限优惠金额</t>
  </si>
  <si>
    <t>成交总价带装修11</t>
  </si>
  <si>
    <t>约定交楼日期</t>
  </si>
  <si>
    <t>结转日期</t>
  </si>
  <si>
    <t>已交接钥匙2</t>
  </si>
  <si>
    <t>产权服务约定完成日期</t>
  </si>
  <si>
    <t>产权服务实际完成日期</t>
  </si>
  <si>
    <t>身份证号2</t>
  </si>
  <si>
    <t>联系电话2</t>
  </si>
  <si>
    <t>联系地址2</t>
  </si>
  <si>
    <t>置业顾问2</t>
  </si>
  <si>
    <t>置业顾问21</t>
  </si>
  <si>
    <t>跟进置业顾问1</t>
  </si>
  <si>
    <t>订单备注2</t>
  </si>
  <si>
    <t>折扣说明2</t>
  </si>
  <si>
    <t>代理公司</t>
  </si>
  <si>
    <t>结佣状态</t>
  </si>
  <si>
    <t>来源公司</t>
  </si>
  <si>
    <t>来源项目</t>
  </si>
  <si>
    <t>来源渠道</t>
  </si>
  <si>
    <t>认知途径</t>
  </si>
  <si>
    <t>入住酒店</t>
  </si>
  <si>
    <t>房间全名</t>
  </si>
  <si>
    <t>岛</t>
  </si>
  <si>
    <t>区</t>
  </si>
  <si>
    <t>按揭办理进程</t>
  </si>
  <si>
    <t>公积金贷款办理进程</t>
  </si>
  <si>
    <t>未收到的资料</t>
  </si>
  <si>
    <t>预约排号</t>
  </si>
  <si>
    <t>建筑性质</t>
  </si>
  <si>
    <t>房间属性</t>
  </si>
  <si>
    <t>跟进置业顾问</t>
  </si>
  <si>
    <t>优惠券1</t>
  </si>
  <si>
    <t>优惠券2</t>
  </si>
  <si>
    <t>优惠券3</t>
  </si>
  <si>
    <t>苏宁优惠券编号</t>
  </si>
  <si>
    <t>定单创建日期</t>
  </si>
  <si>
    <t>楼栋全称</t>
  </si>
  <si>
    <t>房源类型</t>
  </si>
  <si>
    <t>WW时间</t>
  </si>
  <si>
    <t>地块编号</t>
  </si>
  <si>
    <t>栋型</t>
  </si>
  <si>
    <t>是否限价楼栋</t>
  </si>
  <si>
    <t>房号简称</t>
  </si>
  <si>
    <t>产品类型</t>
  </si>
  <si>
    <t>已收定金</t>
  </si>
  <si>
    <t>公积金银行</t>
  </si>
  <si>
    <t>云客业务员</t>
  </si>
  <si>
    <t>佣金置业顾问</t>
  </si>
  <si>
    <t>不含税总价</t>
  </si>
  <si>
    <t>会员姓名一</t>
  </si>
  <si>
    <t>会员身份证一</t>
  </si>
  <si>
    <t>会员抵扣时间一</t>
  </si>
  <si>
    <t>会员抵扣金额一</t>
  </si>
  <si>
    <t>会员姓名二</t>
  </si>
  <si>
    <t>会员身份证二</t>
  </si>
  <si>
    <t>会员抵扣时间二</t>
  </si>
  <si>
    <t>会员抵扣金额二</t>
  </si>
  <si>
    <t>集团付款方式</t>
  </si>
  <si>
    <t>交易唯一码</t>
  </si>
  <si>
    <t>经纪人类型</t>
  </si>
  <si>
    <t>订单备注</t>
  </si>
  <si>
    <t>建筑面积3</t>
  </si>
  <si>
    <t>套内面积3</t>
  </si>
  <si>
    <t>实测建筑面积3</t>
  </si>
  <si>
    <t>实测套内面积3</t>
  </si>
  <si>
    <t>标准总价3</t>
  </si>
  <si>
    <t>成交总价3</t>
  </si>
  <si>
    <t>总已收楼款3</t>
  </si>
  <si>
    <t>未收楼款3</t>
  </si>
  <si>
    <t>应收按揭贷款3</t>
  </si>
  <si>
    <t>已收按揭贷款3</t>
  </si>
  <si>
    <t>未收按揭贷款3</t>
  </si>
  <si>
    <t>Textbox55</t>
  </si>
  <si>
    <t>Textbox58</t>
  </si>
  <si>
    <t>成交单价带装修1</t>
  </si>
  <si>
    <t>成交总价带装修1</t>
  </si>
  <si>
    <t>Textbox136</t>
  </si>
  <si>
    <t>Textbox139</t>
  </si>
  <si>
    <t>Textbox125</t>
  </si>
  <si>
    <t>Textbox116</t>
  </si>
  <si>
    <t>扬州恒大云锦华庭-一期</t>
  </si>
  <si>
    <t>1-1001</t>
  </si>
  <si>
    <t>仲树妹</t>
  </si>
  <si>
    <t>豪装+</t>
  </si>
  <si>
    <t>SP202012150030</t>
  </si>
  <si>
    <t>一次性付款</t>
  </si>
  <si>
    <t>非抵押</t>
  </si>
  <si>
    <t xml:space="preserve">(M)13701444546 </t>
  </si>
  <si>
    <t>江苏省江都市小纪镇碧水家园6-31</t>
  </si>
  <si>
    <t>赵红伟</t>
  </si>
  <si>
    <t>以标准总价为基准计算: 一次性付款 99% × 渠道折扣 98% × 开盘额外优惠 97%</t>
  </si>
  <si>
    <t>恒房通兼职销售</t>
  </si>
  <si>
    <t>渠道推介-其他</t>
  </si>
  <si>
    <t>扬州恒大云锦华庭-一期-1-1001</t>
  </si>
  <si>
    <t>高层</t>
  </si>
  <si>
    <t>GZ175</t>
  </si>
  <si>
    <t>18层中高层</t>
  </si>
  <si>
    <t>5860bed6-8790-4654-a145-aaa8a6b95acd</t>
  </si>
  <si>
    <t>恒大员工(老业主)</t>
  </si>
  <si>
    <t>1-1002</t>
  </si>
  <si>
    <t>钱玉麟</t>
  </si>
  <si>
    <t>SP202011270060</t>
  </si>
  <si>
    <t>普通商业按揭</t>
  </si>
  <si>
    <t>交通银行-扬州分行</t>
  </si>
  <si>
    <t xml:space="preserve">(M)19901442717 </t>
  </si>
  <si>
    <t>江苏省扬州市顺达路金鑫花园29-101室</t>
  </si>
  <si>
    <t>龚方胜</t>
  </si>
  <si>
    <t>以标准总价为基准计算: 普通商业按揭 100% × 渠道折扣 98% × 开盘额外优惠 97%</t>
  </si>
  <si>
    <t>扬州恒大云锦华庭-一期-1-1002</t>
  </si>
  <si>
    <t>资料已齐备(可放款，已放款)</t>
  </si>
  <si>
    <t>ae77034b-95cb-45ef-a3a9-5f5c5eaf9297</t>
  </si>
  <si>
    <t>1-1003</t>
  </si>
  <si>
    <t>佀维</t>
  </si>
  <si>
    <t>SP202012140119</t>
  </si>
  <si>
    <t>普通组合贷款</t>
  </si>
  <si>
    <t>建设银行-邗江支行</t>
  </si>
  <si>
    <t xml:space="preserve">(M)15952796557 </t>
  </si>
  <si>
    <t>江苏省扬州市广陵区江都路27号5幢304室</t>
  </si>
  <si>
    <t>邵天顺</t>
  </si>
  <si>
    <t>以标准总价为基准计算: 普通组合贷款 100% × 开盘额外优惠 97% × 渠道折扣 98%</t>
  </si>
  <si>
    <t>新媒体-微信朋友圈广告</t>
  </si>
  <si>
    <t>扬州恒大云锦华庭-一期-1-1003</t>
  </si>
  <si>
    <t>d0e24d39-ba23-48a2-ae5b-7f19f81d74aa</t>
  </si>
  <si>
    <t>恒大电开拓客员</t>
  </si>
  <si>
    <t>1-1004</t>
  </si>
  <si>
    <t>王凯</t>
  </si>
  <si>
    <t>SP202012030108</t>
  </si>
  <si>
    <t xml:space="preserve">(M)17625851399 </t>
  </si>
  <si>
    <t>江苏省扬州市江都区吴桥镇李桥村钱马组3号</t>
  </si>
  <si>
    <t>裴兴</t>
  </si>
  <si>
    <t>扬州恒大云锦华庭-一期-1-1004</t>
  </si>
  <si>
    <t>e6f98c8a-b636-4b43-8ebe-a02c5e761820</t>
  </si>
  <si>
    <t>1-1101</t>
  </si>
  <si>
    <t>邓立鑫</t>
  </si>
  <si>
    <t>SP202011130026</t>
  </si>
  <si>
    <t>工商银行-琼花支行</t>
  </si>
  <si>
    <t xml:space="preserve"> 32108819941013751X </t>
  </si>
  <si>
    <t xml:space="preserve">(M)18905182653 </t>
  </si>
  <si>
    <t>江苏省扬州市江都区大桥镇光明花苑83幢1单元402室</t>
  </si>
  <si>
    <t>卜静</t>
  </si>
  <si>
    <t>以标准总价为基准计算: 普通商业按揭 100% × 开盘额外优惠 97% × 渠道折扣 98%</t>
  </si>
  <si>
    <t>渠道推介-拓客</t>
  </si>
  <si>
    <t>扬州恒大云锦华庭-一期-1-1101</t>
  </si>
  <si>
    <t>b1b1afda-0cec-47df-9555-1ac4e4c10cf8</t>
  </si>
  <si>
    <t>1-1102</t>
  </si>
  <si>
    <t>朱卫玲;吕心义</t>
  </si>
  <si>
    <t>SP202012020069</t>
  </si>
  <si>
    <t xml:space="preserve"> 410225198109294964;410225198010084975 </t>
  </si>
  <si>
    <t xml:space="preserve">(M)15262230832 </t>
  </si>
  <si>
    <t>扬州市杭集镇明星牙刷新厂;扬州市杭集镇明星牙刷新厂</t>
  </si>
  <si>
    <t>尹永胜</t>
  </si>
  <si>
    <t>自然到访</t>
  </si>
  <si>
    <t>线下推广-户外广告</t>
  </si>
  <si>
    <t>扬州恒大云锦华庭-一期-1-1102</t>
  </si>
  <si>
    <t>fd7ed220-68b0-42b0-a5ce-9e1acb843dd4</t>
  </si>
  <si>
    <t>1-1103</t>
  </si>
  <si>
    <t>王凌;刘志慧</t>
  </si>
  <si>
    <t>SP202101250045</t>
  </si>
  <si>
    <t>一年优惠分期付款</t>
  </si>
  <si>
    <t xml:space="preserve"> 32100119820224001X;321011198110191225 </t>
  </si>
  <si>
    <t xml:space="preserve">(M)18605229990 </t>
  </si>
  <si>
    <t>江苏省扬州市广陵区旧城七巷31－2号;江苏省扬州市广陵区旧城七巷31－2号</t>
  </si>
  <si>
    <t>陈亚蕾</t>
  </si>
  <si>
    <t>以标准总价为基准计算: 一年优惠分期付款 100% × 开盘额外优惠 97% × 渠道折扣 98%</t>
  </si>
  <si>
    <t>扬州恒大云锦华庭-一期-1-1103</t>
  </si>
  <si>
    <t>一年分期付款</t>
  </si>
  <si>
    <t>52c349f6-c909-4ea2-b083-6474ed3489a3</t>
  </si>
  <si>
    <t>恒大员工</t>
  </si>
  <si>
    <t>1-1104</t>
  </si>
  <si>
    <t>田金权;乔小琴</t>
  </si>
  <si>
    <t>SP202107070008</t>
  </si>
  <si>
    <t xml:space="preserve"> 321088197401144495;321088197406288121 </t>
  </si>
  <si>
    <t xml:space="preserve">(M)15905252287 </t>
  </si>
  <si>
    <t>江苏省江都市仙女镇陈庄村刘桥组59号;江苏省江都市仙女镇陈庄村刘桥组59号</t>
  </si>
  <si>
    <t>刘玉</t>
  </si>
  <si>
    <t>扬州恒大云锦华庭-一期-1-1104</t>
  </si>
  <si>
    <t>9ac41a4a-c807-4184-a9de-f613ff4e91a3</t>
  </si>
  <si>
    <t>1-1201</t>
  </si>
  <si>
    <t>姜涛;吴燕</t>
  </si>
  <si>
    <t>SP202012030056</t>
  </si>
  <si>
    <t xml:space="preserve"> 321003199211126312;341226199203143883 </t>
  </si>
  <si>
    <t xml:space="preserve">(M)18115656206 </t>
  </si>
  <si>
    <t>江苏省扬州市广陵区经济开发区五星村民委员会;江苏省扬州市广陵区沙头镇五星村蒋桥组9号</t>
  </si>
  <si>
    <t>以标准总价为基准计算: 普通组合贷款 100% × 开盘额外优惠 97% × 渠道折扣 98% × 佣金抵房款 98.5%</t>
  </si>
  <si>
    <t>渠道推介-员工推荐</t>
  </si>
  <si>
    <t>扬州恒大云锦华庭-一期-1-1201</t>
  </si>
  <si>
    <t>2d8bd60d-b453-4107-8654-00f926572534</t>
  </si>
  <si>
    <t>1-1202</t>
  </si>
  <si>
    <t>颜卫新;张树梅</t>
  </si>
  <si>
    <t>SP202012220030</t>
  </si>
  <si>
    <t xml:space="preserve"> 321027197808216910;320823197907056040 </t>
  </si>
  <si>
    <t xml:space="preserve">(M)13338862375 </t>
  </si>
  <si>
    <t>江苏省扬州市杭集镇三笑国际花园C区14排5号;江苏省扬州市邗江区杭集镇裔庙村团结组109号</t>
  </si>
  <si>
    <t>徐天照</t>
  </si>
  <si>
    <t>渠道推介-房产中介推荐</t>
  </si>
  <si>
    <t>扬州恒大云锦华庭-一期-1-1202</t>
  </si>
  <si>
    <t>a79a4f37-889f-4c3c-b8d2-9ccf49efb7f2</t>
  </si>
  <si>
    <t>1-1203</t>
  </si>
  <si>
    <t>刘元林</t>
  </si>
  <si>
    <t>SP202012230117</t>
  </si>
  <si>
    <t xml:space="preserve">(M)15952587652 </t>
  </si>
  <si>
    <t>江苏省江都区春江人家16-503</t>
  </si>
  <si>
    <t>王晓宇</t>
  </si>
  <si>
    <t>以标准总价为基准计算: 一次性付款 99% × 开盘额外优惠 97% × 渠道折扣 98%</t>
  </si>
  <si>
    <t>扬州恒大云锦华庭-一期-1-1203</t>
  </si>
  <si>
    <t>67703c37-dadc-439b-b7af-4fbeb20ac197</t>
  </si>
  <si>
    <t>恒大老业主</t>
  </si>
  <si>
    <t>1-1204</t>
  </si>
  <si>
    <t>吴娟</t>
  </si>
  <si>
    <t>NA</t>
  </si>
  <si>
    <t xml:space="preserve">(M)15366861107 </t>
  </si>
  <si>
    <t>江苏省高邮市经济开发区花王村三组160号</t>
  </si>
  <si>
    <t>扬州恒大云锦华庭-一期-1-1204</t>
  </si>
  <si>
    <t>69ea562b-c165-4757-9e4c-113ca2134015</t>
  </si>
  <si>
    <t>1-1301</t>
  </si>
  <si>
    <t>王雨;冷玉云</t>
  </si>
  <si>
    <t>SP202012020058</t>
  </si>
  <si>
    <t xml:space="preserve"> 32102719800210691X;320882198208124424 </t>
  </si>
  <si>
    <t xml:space="preserve">(M)13375276907 </t>
  </si>
  <si>
    <t>江苏省扬州市邗江区杭集镇王集村红旗组12号;江苏省扬州市广陵区杭集镇王集村红旗组12号</t>
  </si>
  <si>
    <t>曹伟</t>
  </si>
  <si>
    <t>以标准总价为基准计算: 普通组合贷款 100% × 渠道折扣 98% × 开盘额外优惠 97%</t>
  </si>
  <si>
    <t>扬州恒大云锦华庭-一期-1-1301</t>
  </si>
  <si>
    <t>809913d1-1b6b-4b10-a57d-8641cd52a0fa</t>
  </si>
  <si>
    <t>1-1302</t>
  </si>
  <si>
    <t>薛庆显;李琴</t>
  </si>
  <si>
    <t>SP202011130198</t>
  </si>
  <si>
    <t>农业银行-润扬支行</t>
  </si>
  <si>
    <t xml:space="preserve"> 410225198504194939;52252419820613082X </t>
  </si>
  <si>
    <t xml:space="preserve">(M)15052514909 </t>
  </si>
  <si>
    <t>贵州省修文县六屯镇独山村马驼田组;贵州省修文县六屯镇独山村马驼田组</t>
  </si>
  <si>
    <t>陈建宇</t>
  </si>
  <si>
    <t>扬州恒大云锦华庭-一期-1-1302</t>
  </si>
  <si>
    <t>f5002565-3c56-4bf0-b732-c16a71e36437</t>
  </si>
  <si>
    <t>1-1303</t>
  </si>
  <si>
    <t>朱凤兵;周徐燕</t>
  </si>
  <si>
    <t>SP202011120137</t>
  </si>
  <si>
    <t>邮储银行-曲江支行</t>
  </si>
  <si>
    <t xml:space="preserve"> 321281199007125494;340222199810053226 </t>
  </si>
  <si>
    <t xml:space="preserve">(M)13773540479 </t>
  </si>
  <si>
    <t>江苏省扬州市广陵区东方名城和园252栋306室;江苏省扬州市广陵区东方名城和园252栋306室</t>
  </si>
  <si>
    <t>张扬</t>
  </si>
  <si>
    <t>扬州恒大云锦华庭-一期-1-1303</t>
  </si>
  <si>
    <t>838d8ba5-03c6-4672-b895-f1dfcf456012</t>
  </si>
  <si>
    <t>1-1304</t>
  </si>
  <si>
    <t>张颖</t>
  </si>
  <si>
    <t>SP202012160215</t>
  </si>
  <si>
    <t xml:space="preserve">(M)18352705898 </t>
  </si>
  <si>
    <t>江苏省江都市宜陵镇文星南路25号</t>
  </si>
  <si>
    <t>王钟辉</t>
  </si>
  <si>
    <t>以标准总价为基准计算: 普通组合贷款 100% × 开盘额外优惠 97% × 渠道折扣 98% × 佣金抵房款 98% × 员工折扣 99%</t>
  </si>
  <si>
    <t>扬州恒大云锦华庭-一期-1-1304</t>
  </si>
  <si>
    <t>20c5ebdd-46bb-4da4-9e1a-6e40cccb09ad</t>
  </si>
  <si>
    <t>1-1401</t>
  </si>
  <si>
    <t>董雯</t>
  </si>
  <si>
    <t>SP202012230027</t>
  </si>
  <si>
    <t xml:space="preserve">(M)18551741211 </t>
  </si>
  <si>
    <t>扬州市邗江区华鼎星城</t>
  </si>
  <si>
    <t>扬州恒大云锦华庭-一期-1-1401</t>
  </si>
  <si>
    <t>资料不齐备</t>
  </si>
  <si>
    <t>不享受优惠政策;不参与提前还款统计</t>
  </si>
  <si>
    <t>7aa3d288-4c7a-49d7-bd0b-11dcd9c169d9</t>
  </si>
  <si>
    <t>1-1402</t>
  </si>
  <si>
    <t>许宇婷</t>
  </si>
  <si>
    <t>SP202012030074</t>
  </si>
  <si>
    <t xml:space="preserve">(M)18662392279 </t>
  </si>
  <si>
    <t>上海市闵行区金阳路399弄62-506</t>
  </si>
  <si>
    <t>田潇雨</t>
  </si>
  <si>
    <t>扬州恒大云锦华庭-一期-1-1402</t>
  </si>
  <si>
    <t>0ff17784-fac9-4c06-82db-38b3d03f5e88</t>
  </si>
  <si>
    <t>1-1403</t>
  </si>
  <si>
    <t>李吉</t>
  </si>
  <si>
    <t>SP202011120076</t>
  </si>
  <si>
    <t xml:space="preserve">(M)18252711874 </t>
  </si>
  <si>
    <t>江苏省高邮市卸甲镇花阳村六组9号</t>
  </si>
  <si>
    <t>朱俊生</t>
  </si>
  <si>
    <t>扬州恒大云锦华庭-一期-1-1403</t>
  </si>
  <si>
    <t>a96b40b0-c785-4d93-8957-c1ae5b8e65d8</t>
  </si>
  <si>
    <t>1-1404</t>
  </si>
  <si>
    <t>孙富林;车金霞</t>
  </si>
  <si>
    <t>SP202011260033</t>
  </si>
  <si>
    <t>普通公积金按揭</t>
  </si>
  <si>
    <t xml:space="preserve"> 321027197008176957;321027197012196985 </t>
  </si>
  <si>
    <t xml:space="preserve">(M)13951435981 </t>
  </si>
  <si>
    <t>江苏省扬州市邗江区杭集镇新生村孙庄组61－2号;江苏省扬州市邗江区杭集镇新生村孙庄组61－2号</t>
  </si>
  <si>
    <t>朱寅</t>
  </si>
  <si>
    <t>以标准总价为基准计算: 普通公积金按揭 100% × 渠道折扣 98% × 开盘额外优惠 97%</t>
  </si>
  <si>
    <t>扬州恒大云锦华庭-一期-1-1404</t>
  </si>
  <si>
    <t>88cf6d73-af9d-4c77-aad8-43fce176dbd0</t>
  </si>
  <si>
    <t>1-1501</t>
  </si>
  <si>
    <t>杨朋</t>
  </si>
  <si>
    <t>SP202012160032</t>
  </si>
  <si>
    <t xml:space="preserve">(M)15949078093 </t>
  </si>
  <si>
    <t>江苏省江都市吴桥镇金阳村杨湾组26号</t>
  </si>
  <si>
    <t>扬州恒大云锦华庭-一期-1-1501</t>
  </si>
  <si>
    <t>d0d6133f-def9-4913-85b3-2c011cb14565</t>
  </si>
  <si>
    <t>1-1502</t>
  </si>
  <si>
    <t>冷华新</t>
  </si>
  <si>
    <t>SP202011120121</t>
  </si>
  <si>
    <t xml:space="preserve"> 32102719930124601X </t>
  </si>
  <si>
    <t xml:space="preserve">(M)18550707021 </t>
  </si>
  <si>
    <t>江苏省扬州市广陵区沙头镇三星村</t>
  </si>
  <si>
    <t>扬州恒大云锦华庭-一期-1-1502</t>
  </si>
  <si>
    <t>724a9a99-a9f6-434e-98b7-6484c48d3098</t>
  </si>
  <si>
    <t>1-1503</t>
  </si>
  <si>
    <t>朱庭贵</t>
  </si>
  <si>
    <t>SP202012230061</t>
  </si>
  <si>
    <t xml:space="preserve">(M)13505258179 </t>
  </si>
  <si>
    <t>江苏省江都市鸿益千秋熙园2幢804</t>
  </si>
  <si>
    <t>扬州恒大云锦华庭-一期-1-1503</t>
  </si>
  <si>
    <t>c50f6418-e2e5-4f05-9d9c-b4bc0aa2e39e</t>
  </si>
  <si>
    <t>1-1504</t>
  </si>
  <si>
    <t>刘斌;周晓雪</t>
  </si>
  <si>
    <t>SP202012020031</t>
  </si>
  <si>
    <t xml:space="preserve"> 321281198807133893;321081198810144242 </t>
  </si>
  <si>
    <t xml:space="preserve">(M)18936229800 </t>
  </si>
  <si>
    <t>仪征市刘集镇云村光明组10号;江苏省仪征市刘集镇联云村光明组10号</t>
  </si>
  <si>
    <t>以标准总价为基准计算: 普通公积金按揭 100% × 开盘额外优惠 97% × 渠道折扣 98%</t>
  </si>
  <si>
    <t>扬州恒大云锦华庭-一期-1-1504</t>
  </si>
  <si>
    <t>b4fabd36-eb2d-41f5-8ba6-db760dc8c2ca</t>
  </si>
  <si>
    <t>1-1601</t>
  </si>
  <si>
    <t>李浩;时小莉</t>
  </si>
  <si>
    <t>SP202011120219</t>
  </si>
  <si>
    <t>紫金农商行-扬州分行</t>
  </si>
  <si>
    <t xml:space="preserve"> 320882199009252671;320882199006252625 </t>
  </si>
  <si>
    <t xml:space="preserve">(M)13179777877 </t>
  </si>
  <si>
    <t>江苏省淮安市淮安区车桥镇樊河村一组12号;江苏省淮安市淮安区车桥镇樊河村一组12号</t>
  </si>
  <si>
    <t>扬州恒大云锦华庭-一期-1-1601</t>
  </si>
  <si>
    <t>bf6ed799-63d2-452a-abc3-d2620b1d32c7</t>
  </si>
  <si>
    <t>1-1602</t>
  </si>
  <si>
    <t>李玉淑</t>
  </si>
  <si>
    <t>SP202101220111</t>
  </si>
  <si>
    <t>首付优惠按揭付款</t>
  </si>
  <si>
    <t xml:space="preserve">(M)13813186879 </t>
  </si>
  <si>
    <t>扬州市样子万象汇2幢2单元1702室</t>
  </si>
  <si>
    <t>以标准总价为基准计算: 首付优惠按揭付款 100% × 开盘额外优惠 97% × 渠道折扣 98%</t>
  </si>
  <si>
    <t>扬州恒大云锦华庭-一期-1-1602</t>
  </si>
  <si>
    <t>不享受优惠政策</t>
  </si>
  <si>
    <t>首付优惠按揭</t>
  </si>
  <si>
    <t>f1c7de23-79e1-4d23-9818-49eebc83d14e</t>
  </si>
  <si>
    <t>1-1603</t>
  </si>
  <si>
    <t>邓春锁</t>
  </si>
  <si>
    <t>SP202012160003</t>
  </si>
  <si>
    <t xml:space="preserve">(M)19952830204 </t>
  </si>
  <si>
    <t>江苏省扬州市江都区吴桥镇长庄村第三组129号</t>
  </si>
  <si>
    <t>扬州恒大云锦华庭-一期-1-1603</t>
  </si>
  <si>
    <t>dcd2e5a7-506f-48c0-b289-a9e325fd37f2</t>
  </si>
  <si>
    <t>1-1604</t>
  </si>
  <si>
    <t>荣心彤</t>
  </si>
  <si>
    <t>SP202103200015</t>
  </si>
  <si>
    <t>两年分期付款</t>
  </si>
  <si>
    <t xml:space="preserve">(M)15052521578；15805258130 </t>
  </si>
  <si>
    <t>江苏省扬州市江都区广电南巷3幢402室</t>
  </si>
  <si>
    <t>王涛</t>
  </si>
  <si>
    <t>以标准总价为基准计算: 两年分期付款 100% × 开盘额外优惠 97% × 渠道折扣 98% × 佣金抵房款 98%</t>
  </si>
  <si>
    <t>扬州恒大云锦华庭-一期-1-1604</t>
  </si>
  <si>
    <t>713c8b2b-6340-4d87-b44b-d44f56e06f37</t>
  </si>
  <si>
    <t>1-1701</t>
  </si>
  <si>
    <t>朱言伟;周娜</t>
  </si>
  <si>
    <t>SP202011120205</t>
  </si>
  <si>
    <t xml:space="preserve"> 320826199303090414;370911199002202048 </t>
  </si>
  <si>
    <t xml:space="preserve">(M)18752746265 </t>
  </si>
  <si>
    <t>江苏省扬州市广陵区杭集镇兴隆路1号重庆自主小火锅;山东省泰安市岱岳区范镇谢台头村15号</t>
  </si>
  <si>
    <t>以标准总价为基准计算: 普通商业按揭 100% × 开盘额外优惠 97% × 渠道折扣 98% × 佣金抵房款 98%</t>
  </si>
  <si>
    <t>扬州恒大云锦华庭-一期-1-1701</t>
  </si>
  <si>
    <t>0b59975c-3fdf-4a66-84fb-8ed2c296ba45</t>
  </si>
  <si>
    <t>其他</t>
  </si>
  <si>
    <t>1-1702</t>
  </si>
  <si>
    <t>杨彤</t>
  </si>
  <si>
    <t>SP202012150222</t>
  </si>
  <si>
    <t xml:space="preserve">(M)15396769659 </t>
  </si>
  <si>
    <t>江苏省扬州市广陵区李典镇长生村七组43号</t>
  </si>
  <si>
    <t>以标准总价为基准计算: (普通组合贷款 100% × 渠道折扣 99% - 总价优惠 -4086)</t>
  </si>
  <si>
    <t>扬州恒大云锦华庭-一期-1-1702</t>
  </si>
  <si>
    <t>04b97f5c-ab93-41e2-847c-4efee34298b9</t>
  </si>
  <si>
    <t>1-1703</t>
  </si>
  <si>
    <t>田浩</t>
  </si>
  <si>
    <t>SP202011270076</t>
  </si>
  <si>
    <t xml:space="preserve">(M)17336210511 </t>
  </si>
  <si>
    <t>江苏省扬州市江都区大桥镇新城花苑菜鸟驿站</t>
  </si>
  <si>
    <t>扬州恒大云锦华庭-一期-1-1703</t>
  </si>
  <si>
    <t>6318deb6-955d-4f04-9e82-a979afed7f7a</t>
  </si>
  <si>
    <t>1-1704</t>
  </si>
  <si>
    <t>张燕;陈勇</t>
  </si>
  <si>
    <t>SP202101060015</t>
  </si>
  <si>
    <t xml:space="preserve"> 321088198503085283;321088198504222016 </t>
  </si>
  <si>
    <t xml:space="preserve">(M)18118285381 </t>
  </si>
  <si>
    <t>江苏省扬州市江都区浦江东路18号6幢605室;江苏省扬州市江都区浦江东路18号6幢605室</t>
  </si>
  <si>
    <t>以标准总价为基准计算: ((普通组合贷款 100% × 年末冲刺大优惠 96% × 自然到访优惠 96% - 恒房通购房券优惠 10000) - 网上购房总价优惠2万元 20000)</t>
  </si>
  <si>
    <t>扬州恒大云锦华庭-一期-1-1704</t>
  </si>
  <si>
    <t>HFTM0557931424</t>
  </si>
  <si>
    <t>c6d74d74-7978-4c57-a849-7bf497c5a30e</t>
  </si>
  <si>
    <t>1-1801</t>
  </si>
  <si>
    <t>李忠信;张月芬</t>
  </si>
  <si>
    <t>SP202101070201</t>
  </si>
  <si>
    <t>兴业银行-扬州分行</t>
  </si>
  <si>
    <t xml:space="preserve"> 33032219780102361X;330322197904093645 </t>
  </si>
  <si>
    <t xml:space="preserve">(M)13815826299 </t>
  </si>
  <si>
    <t>江苏省扬州市广陵区明发尚筑小区;江苏省扬州市广陵区明发尚筑小区</t>
  </si>
  <si>
    <t>以标准总价为基准计算: ((首付优惠按揭付款 100% × 佣金抵房款 98.4% × 年末冲刺大优惠 95% × 房车宝推荐折扣 96% - 网上购房总价优惠2万元 20000) - 恒房通购房券优惠 10000)</t>
  </si>
  <si>
    <t>扬州恒大云锦华庭-一期-1-1801</t>
  </si>
  <si>
    <t>F489AB4FC971FA01</t>
  </si>
  <si>
    <t>035c67bf-80c1-465c-bd7a-13fb69d1718a</t>
  </si>
  <si>
    <t>1-1802</t>
  </si>
  <si>
    <t>曹加祥;祁吴娟</t>
  </si>
  <si>
    <t>SP202101210015</t>
  </si>
  <si>
    <t xml:space="preserve"> 321027198901036337;321023199309216426 </t>
  </si>
  <si>
    <t xml:space="preserve">(M)17374757930 </t>
  </si>
  <si>
    <t>江苏省扬州市广陵区沙头镇中兴村朱庄组2号;江苏省扬州市广陵区沙头镇中兴村朱庄组2号</t>
  </si>
  <si>
    <t>以标准总价为基准计算: ((普通组合贷款 100% × 年末冲刺大优惠2 96% × 房车宝推荐折扣 96% - 网上购房总价优惠2万元 20000) - 恒房通购房券优惠 10000)</t>
  </si>
  <si>
    <t>扬州恒大云锦华庭-一期-1-1802</t>
  </si>
  <si>
    <t>6B2390CF3C532E6D</t>
  </si>
  <si>
    <t>dd23f07b-5625-46a2-8c42-fbb63a87d35b</t>
  </si>
  <si>
    <t>1-1803</t>
  </si>
  <si>
    <t>张华;张月云</t>
  </si>
  <si>
    <t>SP202011260024</t>
  </si>
  <si>
    <t xml:space="preserve"> 321088198208080076;321088198110113829 </t>
  </si>
  <si>
    <t xml:space="preserve">(M)18052570155 </t>
  </si>
  <si>
    <t>江苏省扬州市江都区引江路11号;江苏省扬州市江都区长江东路50号2幢201室</t>
  </si>
  <si>
    <t>扬州恒大云锦华庭-一期-1-1803</t>
  </si>
  <si>
    <t>56f223b3-fde1-41af-bc10-f6d61bec10c0</t>
  </si>
  <si>
    <t>1-1804</t>
  </si>
  <si>
    <t>仲仁芹;李鹏</t>
  </si>
  <si>
    <t>SP202101230004</t>
  </si>
  <si>
    <t xml:space="preserve"> 321281199010093403;321027198912185418 </t>
  </si>
  <si>
    <t xml:space="preserve">(M)18052599283 </t>
  </si>
  <si>
    <t>扬州市广陵区李典镇新坝村伏兴组9号;扬州市广陵区李典镇新坝村伏兴组9号</t>
  </si>
  <si>
    <t>扬州恒大云锦华庭-一期-1-1804</t>
  </si>
  <si>
    <t>5367D81BF3FA1959</t>
  </si>
  <si>
    <t>fd51f3f0-bf30-4a8b-a51e-71cd51877f69</t>
  </si>
  <si>
    <t>1-201</t>
  </si>
  <si>
    <t>顾茂强;高彩红</t>
  </si>
  <si>
    <t>SP202011120149</t>
  </si>
  <si>
    <t xml:space="preserve"> 320325197107178133;320826197504256426 </t>
  </si>
  <si>
    <t xml:space="preserve">(M)18115094108 </t>
  </si>
  <si>
    <t>江苏省扬州市汽车东站小顾快餐店;江苏省扬州市汽车东站小顾快餐店</t>
  </si>
  <si>
    <t>扬州恒大云锦华庭-一期-1-201</t>
  </si>
  <si>
    <t>8cc4569b-8c08-41b8-9e9a-4fb338c33ce8</t>
  </si>
  <si>
    <t>1-202</t>
  </si>
  <si>
    <t>徐海峰</t>
  </si>
  <si>
    <t>SP202103060112</t>
  </si>
  <si>
    <t xml:space="preserve">(M)15952756895 </t>
  </si>
  <si>
    <t>江苏省兴化市临城镇老阁村二组5号</t>
  </si>
  <si>
    <t>陈仁杰</t>
  </si>
  <si>
    <t>以标准总价为基准计算: (普通商业按揭 100% × 清尾优惠折扣 85% × 年末冲刺大优惠3 97% × 房车宝推荐折扣 96% - 网上购房总价优惠2万元 20000)</t>
  </si>
  <si>
    <t>扬州恒大云锦华庭-一期-1-202</t>
  </si>
  <si>
    <t>Z陈仁杰</t>
  </si>
  <si>
    <t>af6d9100-c833-40c6-8b1d-799f7fd56155</t>
  </si>
  <si>
    <t>1-203</t>
  </si>
  <si>
    <t>焦忠</t>
  </si>
  <si>
    <t>SP202012150263</t>
  </si>
  <si>
    <t xml:space="preserve">(M)13852736939 </t>
  </si>
  <si>
    <t>江苏省扬州市生态科技新城泰安华丰南焦17号</t>
  </si>
  <si>
    <t>陈梦莹</t>
  </si>
  <si>
    <t>线下推广-其他</t>
  </si>
  <si>
    <t>扬州恒大云锦华庭-一期-1-203</t>
  </si>
  <si>
    <t>1d4c12a2-4166-4521-92f3-8169cffd505e</t>
  </si>
  <si>
    <t>1-204</t>
  </si>
  <si>
    <t>王帆帆;钱雅洁</t>
  </si>
  <si>
    <t>SP202011270006</t>
  </si>
  <si>
    <t xml:space="preserve"> 320826198905033236;320826198908013222 </t>
  </si>
  <si>
    <t xml:space="preserve">(M)15052505375 </t>
  </si>
  <si>
    <t>扬州市杭集镇利民路69号世纪尊园8栋305;江苏省涟水县方渡办事处马渡村九组1号</t>
  </si>
  <si>
    <t>张力</t>
  </si>
  <si>
    <t>扬州恒大云锦华庭-一期-1-204</t>
  </si>
  <si>
    <t>dc9cd4ca-8c40-4d59-8a36-c3dbff60c6cc</t>
  </si>
  <si>
    <t>1-301</t>
  </si>
  <si>
    <t>高兵;任海荣</t>
  </si>
  <si>
    <t>SP202012080066</t>
  </si>
  <si>
    <t xml:space="preserve"> 321027198006040612;320723198207074626 </t>
  </si>
  <si>
    <t xml:space="preserve">(M)18252540913 </t>
  </si>
  <si>
    <t>江苏省扬州市广陵区富右路88号;江苏省扬州市广陵区富右路88号</t>
  </si>
  <si>
    <t>以标准总价为基准计算: (普通公积金按揭 100% - 总价优惠 -5395)</t>
  </si>
  <si>
    <t>扬州恒大云锦华庭-一期-1-301</t>
  </si>
  <si>
    <t>f7344cda-3447-4575-83d6-12f829b22ef6</t>
  </si>
  <si>
    <t>1-302</t>
  </si>
  <si>
    <t>孙称英;何加海</t>
  </si>
  <si>
    <t>SP202011130165</t>
  </si>
  <si>
    <t xml:space="preserve"> 321084197708313825;32108419761229341X </t>
  </si>
  <si>
    <t xml:space="preserve">(M)18805271268 </t>
  </si>
  <si>
    <t>江苏省高邮市汤庄镇沙堰路152号;江苏省高邮市汤庄镇沙堰路152号</t>
  </si>
  <si>
    <t>扬州恒大云锦华庭-一期-1-302</t>
  </si>
  <si>
    <t>c8a9d23e-8887-42fd-91bc-b803d9ad4aea</t>
  </si>
  <si>
    <t>1-303</t>
  </si>
  <si>
    <t>查明国</t>
  </si>
  <si>
    <t>SP202012030018</t>
  </si>
  <si>
    <t xml:space="preserve">(M)13952788186 </t>
  </si>
  <si>
    <t>江苏省扬州市广陵区运河北路10号5幢202室</t>
  </si>
  <si>
    <t>朱启金</t>
  </si>
  <si>
    <t>扬州恒大云锦华庭-一期-1-303</t>
  </si>
  <si>
    <t>3cad5933-77d4-4696-9bc0-fc688c30557b</t>
  </si>
  <si>
    <t>1-304</t>
  </si>
  <si>
    <t>管正军;徐红岩</t>
  </si>
  <si>
    <t>SP202011120181</t>
  </si>
  <si>
    <t xml:space="preserve"> 320923197301224279;412827196908301209 </t>
  </si>
  <si>
    <t xml:space="preserve">(M)13813187395 </t>
  </si>
  <si>
    <t>江苏省阜宁县芦蒲镇沿淮村十组70号;河南省平舆县杨埠镇陈凡村委徐庄</t>
  </si>
  <si>
    <t>扬州恒大云锦华庭-一期-1-304</t>
  </si>
  <si>
    <t>6fb45ca5-5650-4b44-bb01-b00ff7d43c15</t>
  </si>
  <si>
    <t>1-401</t>
  </si>
  <si>
    <t>孔令伟</t>
  </si>
  <si>
    <t>SP202012090049</t>
  </si>
  <si>
    <t xml:space="preserve">(M)15366872702 </t>
  </si>
  <si>
    <t>江苏省扬州市邗江区八里镇经济开发区春江路218号潍柴动力扬州柴油机公司蜂巢</t>
  </si>
  <si>
    <t>冯新</t>
  </si>
  <si>
    <t>扬州恒大云锦华庭-一期-1-401</t>
  </si>
  <si>
    <t>f477c4ac-b26c-42f3-b7a5-d49d2c80ad13</t>
  </si>
  <si>
    <t>1-402</t>
  </si>
  <si>
    <t>戴开楠</t>
  </si>
  <si>
    <t>SP202011120203</t>
  </si>
  <si>
    <t xml:space="preserve">(M)18205250553 </t>
  </si>
  <si>
    <t>江苏省扬州市广陵区泰安镇金湾村戴东组31号</t>
  </si>
  <si>
    <t>裴伟伟</t>
  </si>
  <si>
    <t>扬州恒大云锦华庭-一期-1-402</t>
  </si>
  <si>
    <t>0ca1bd7c-23d7-4af1-a7c0-41c35d246b34</t>
  </si>
  <si>
    <t>1-403</t>
  </si>
  <si>
    <t>吴红梅;金小华</t>
  </si>
  <si>
    <t>SP202011120150</t>
  </si>
  <si>
    <t xml:space="preserve"> 321088198009292404;32108819760416201X </t>
  </si>
  <si>
    <t xml:space="preserve">(M)17318898385 </t>
  </si>
  <si>
    <t>江苏省扬州市江都区樊川镇联丰村郭东组25号;江苏省扬州市江都区樊川镇联丰村郭东组25号</t>
  </si>
  <si>
    <t>扬州恒大云锦华庭-一期-1-403</t>
  </si>
  <si>
    <t>2a5508d2-02ad-40c3-8209-a0d129507863</t>
  </si>
  <si>
    <t>兼职精英员工</t>
  </si>
  <si>
    <t>1-404</t>
  </si>
  <si>
    <t>汤治行</t>
  </si>
  <si>
    <t>SP202101090214</t>
  </si>
  <si>
    <t xml:space="preserve">(M)18652589276 </t>
  </si>
  <si>
    <t>北京市海淀区上园村3号院2016级经管学院</t>
  </si>
  <si>
    <t>扬州恒大云锦华庭-一期-1-404</t>
  </si>
  <si>
    <t>102f7752-d767-49c7-98f7-a77cced2fda9</t>
  </si>
  <si>
    <t>1-501</t>
  </si>
  <si>
    <t>夏满;卢馨</t>
  </si>
  <si>
    <t>SP202011260114</t>
  </si>
  <si>
    <t xml:space="preserve"> 321027198406285416;321027198612287228 </t>
  </si>
  <si>
    <t xml:space="preserve">(M)13338841478 </t>
  </si>
  <si>
    <t>江苏省扬州市广陵区李典镇沿江村江湾片组13号;江苏省扬州市广陵区李典镇沿江村江湾片组13号</t>
  </si>
  <si>
    <t>陈健</t>
  </si>
  <si>
    <t>渠道推介-朋友介绍</t>
  </si>
  <si>
    <t>扬州恒大云锦华庭-一期-1-501</t>
  </si>
  <si>
    <t>004e03ea-64f4-4c8f-a6e8-7213124739c6</t>
  </si>
  <si>
    <t>1-502</t>
  </si>
  <si>
    <t>朱林成;吉文婷</t>
  </si>
  <si>
    <t>SP202012150271</t>
  </si>
  <si>
    <t xml:space="preserve"> 320826198603062250;321088199009216924 </t>
  </si>
  <si>
    <t xml:space="preserve">(M)13815840167 </t>
  </si>
  <si>
    <t>江苏省扬州市广陵区运河人家南区26-2-104;江苏省扬州市广陵区运河人家南区26-2-104</t>
  </si>
  <si>
    <t>扬州恒大云锦华庭-一期-1-502</t>
  </si>
  <si>
    <t>9b542a34-d6b9-431c-b68d-db417666b289</t>
  </si>
  <si>
    <t>1-503</t>
  </si>
  <si>
    <t>彭雪梅;郭颖</t>
  </si>
  <si>
    <t>SP202011270003</t>
  </si>
  <si>
    <t xml:space="preserve"> 360123199305060323;360123199310170332 </t>
  </si>
  <si>
    <t xml:space="preserve">(M)13665236748 </t>
  </si>
  <si>
    <t>江苏省扬州市广陵区明发江湾城2-206;江西省南昌市安义县新民乡白田村彭家自然村16号</t>
  </si>
  <si>
    <t>朱旭</t>
  </si>
  <si>
    <t>扬州恒大云锦华庭-一期-1-503</t>
  </si>
  <si>
    <t>45aa35cd-136b-45d3-958f-014baa323a3e</t>
  </si>
  <si>
    <t>1-504</t>
  </si>
  <si>
    <t>王婷</t>
  </si>
  <si>
    <t>SP202011260094</t>
  </si>
  <si>
    <t xml:space="preserve">(M)15152735091 </t>
  </si>
  <si>
    <t>江苏省扬州市杉湾花园96幢406室</t>
  </si>
  <si>
    <t>扬州恒大云锦华庭-一期-1-504</t>
  </si>
  <si>
    <t>8b9d3c2e-bf82-49e7-9a7f-c052001c1f73</t>
  </si>
  <si>
    <t>1-601</t>
  </si>
  <si>
    <t>蒋海健</t>
  </si>
  <si>
    <t>SP202011130204</t>
  </si>
  <si>
    <t xml:space="preserve">(M)13245846331 </t>
  </si>
  <si>
    <t>江苏省淮安市淮阴区西宋集镇汤集村九组1号</t>
  </si>
  <si>
    <t>扬州恒大云锦华庭-一期-1-601</t>
  </si>
  <si>
    <t>88b6eaea-884c-4c55-9fa6-6ccec4a66ee8</t>
  </si>
  <si>
    <t>1-602</t>
  </si>
  <si>
    <t>张顺良;张锦珍</t>
  </si>
  <si>
    <t>SP202012030022</t>
  </si>
  <si>
    <t xml:space="preserve"> 321023197908104638;321023198004014626 </t>
  </si>
  <si>
    <t xml:space="preserve">(M)15991634925 </t>
  </si>
  <si>
    <t>江苏省宝应县氾水镇长沙村仓房组10号;江苏省宝应县氾水镇长沙村仓房组10号</t>
  </si>
  <si>
    <t>张嵘蓉</t>
  </si>
  <si>
    <t>扬州恒大云锦华庭-一期-1-602</t>
  </si>
  <si>
    <t>4209d63c-a6bf-46ed-9984-66f95786574f</t>
  </si>
  <si>
    <t>1-603</t>
  </si>
  <si>
    <t>王向东</t>
  </si>
  <si>
    <t>SP202011130171</t>
  </si>
  <si>
    <t xml:space="preserve">(M)17327955597 (O)18805257878 </t>
  </si>
  <si>
    <t>扬州市邗江区汇金广场3-331</t>
  </si>
  <si>
    <t>扬州恒大云锦华庭-一期-1-603</t>
  </si>
  <si>
    <t>cc43b9cf-9797-480e-8aeb-d385cee3dec2</t>
  </si>
  <si>
    <t>1-604</t>
  </si>
  <si>
    <t>占宇</t>
  </si>
  <si>
    <t>SP202011120118</t>
  </si>
  <si>
    <t xml:space="preserve">(M)13365102086 </t>
  </si>
  <si>
    <t>江苏省扬州市广陵区杭集镇龙王村季东组43号</t>
  </si>
  <si>
    <t>扬州恒大云锦华庭-一期-1-604</t>
  </si>
  <si>
    <t>bb48ac5c-3abf-4555-b848-5bb1ccf60d9f</t>
  </si>
  <si>
    <t>1-701</t>
  </si>
  <si>
    <t>王奕</t>
  </si>
  <si>
    <t>SP202011130106</t>
  </si>
  <si>
    <t xml:space="preserve">(M)18652791238 </t>
  </si>
  <si>
    <t>江苏省扬州市江都区邵伯镇孙桥村团庄组9号</t>
  </si>
  <si>
    <t>扬州恒大云锦华庭-一期-1-701</t>
  </si>
  <si>
    <t>d532e758-0185-404a-8c22-d3fbec886b63</t>
  </si>
  <si>
    <t>1-702</t>
  </si>
  <si>
    <t>李秀华;陈源</t>
  </si>
  <si>
    <t>SP202012160220</t>
  </si>
  <si>
    <t xml:space="preserve"> 320923198609156342;321027198311085753 </t>
  </si>
  <si>
    <t xml:space="preserve">(M)13338858326 </t>
  </si>
  <si>
    <t>江苏省扬州市广陵区头桥镇迎新村乾丰六组27号;江苏省扬州市广陵区头桥镇迎新村乾丰六组27号</t>
  </si>
  <si>
    <t>扬州恒大云锦华庭-一期-1-702</t>
  </si>
  <si>
    <t>0af05433-a346-4c09-bd23-92c8f3d87716</t>
  </si>
  <si>
    <t>1-703</t>
  </si>
  <si>
    <t>仇爱珍;佘国兵</t>
  </si>
  <si>
    <t>SP202011130192</t>
  </si>
  <si>
    <t xml:space="preserve"> 321088197008153782;321088196910053773 </t>
  </si>
  <si>
    <t xml:space="preserve">(M)15189861863 </t>
  </si>
  <si>
    <t>江苏省江都市丁沟镇丁西村佘家组64号;江苏省江都市丁沟镇丁西村丁西组64号</t>
  </si>
  <si>
    <t>莫言</t>
  </si>
  <si>
    <t>扬州恒大云锦华庭-一期-1-703</t>
  </si>
  <si>
    <t>978f22fb-0df9-48e8-9201-40fd94ee7ffb</t>
  </si>
  <si>
    <t>1-704</t>
  </si>
  <si>
    <t>姚蕾</t>
  </si>
  <si>
    <t>SP202012020007</t>
  </si>
  <si>
    <t xml:space="preserve">(M)15050710732 </t>
  </si>
  <si>
    <t>江苏省扬州市广陵区李典镇李典村后姚组19号</t>
  </si>
  <si>
    <t>扬州恒大云锦华庭-一期-1-704</t>
  </si>
  <si>
    <t>0e00a8f3-3d68-415a-89c0-8c2a44972370</t>
  </si>
  <si>
    <t>1-801</t>
  </si>
  <si>
    <t>张革凤;张学庆</t>
  </si>
  <si>
    <t>SP202011260044</t>
  </si>
  <si>
    <t xml:space="preserve"> 422432196902254326;321026197203252031 </t>
  </si>
  <si>
    <t xml:space="preserve">(M)13951149046 </t>
  </si>
  <si>
    <t>江苏省江都市樊川镇陆巷村张于组7号;江苏省江都市樊川镇陆巷村张于组7号</t>
  </si>
  <si>
    <t>扬州恒大云锦华庭-一期-1-801</t>
  </si>
  <si>
    <t>12553494-3630-4a01-a6d6-4bfe31c710d4</t>
  </si>
  <si>
    <t>1-802</t>
  </si>
  <si>
    <t>金淘淘;代二银</t>
  </si>
  <si>
    <t>SP202011270067</t>
  </si>
  <si>
    <t xml:space="preserve"> 341126198909112317;341125199204084342 </t>
  </si>
  <si>
    <t xml:space="preserve">(M)18136477382 </t>
  </si>
  <si>
    <t>扬州市广陵区明发江湾城53幢102;安徽省定远县能仁乡农科村小代组４８号</t>
  </si>
  <si>
    <t>扬州恒大云锦华庭-一期-1-802</t>
  </si>
  <si>
    <t>d5a9a11c-b7bc-4ff2-8ee4-2807efdfa8b2</t>
  </si>
  <si>
    <t>1-803</t>
  </si>
  <si>
    <t>刘萍;袁华忠</t>
  </si>
  <si>
    <t>SP202012310045</t>
  </si>
  <si>
    <t xml:space="preserve"> 321088197910234886;321027197602038119 </t>
  </si>
  <si>
    <t xml:space="preserve">(M)15905253233 </t>
  </si>
  <si>
    <t>江苏省扬州市江都区邵伯镇学林雅苑5-104;江苏省扬州市江都区邵伯镇学林雅苑5-104</t>
  </si>
  <si>
    <t>以标准总价为基准计算: (一次性付款 99% × 开盘额外优惠 97% × 渠道折扣 98% - 总价优惠 -1)</t>
  </si>
  <si>
    <t>扬州恒大云锦华庭-一期-1-803</t>
  </si>
  <si>
    <t>d71dd410-3fda-460c-9f4b-230c9fbd51ac</t>
  </si>
  <si>
    <t>1-804</t>
  </si>
  <si>
    <t>陈文滔;彭宇航</t>
  </si>
  <si>
    <t>SP202012230119</t>
  </si>
  <si>
    <t xml:space="preserve"> 320282199403167667;321088199302176511 </t>
  </si>
  <si>
    <t xml:space="preserve">(M)17301531513 </t>
  </si>
  <si>
    <t>江苏省扬州市江都区金奥文昌公馆观澜庭7-1401;江苏省扬州市江都区郭村镇大彭村二组14号</t>
  </si>
  <si>
    <t>扬州恒大云锦华庭-一期-1-804</t>
  </si>
  <si>
    <t>acd8a689-e10c-4bd7-95f2-6070af6e298e</t>
  </si>
  <si>
    <t>1-901</t>
  </si>
  <si>
    <t>杨林;周方</t>
  </si>
  <si>
    <t>SP202012020003</t>
  </si>
  <si>
    <t xml:space="preserve"> 321027198304135417;320722198608047729 </t>
  </si>
  <si>
    <t xml:space="preserve">(M)18852712683 </t>
  </si>
  <si>
    <t>江苏省扬州市广陵区李典镇新滩村新滩组15号;江苏省扬州市广陵区李典镇新滩村新滩组15号</t>
  </si>
  <si>
    <t>扬州恒大云锦华庭-一期-1-901</t>
  </si>
  <si>
    <t>d217561d-3b41-43ec-954d-5c1a83b8493d</t>
  </si>
  <si>
    <t>1-902</t>
  </si>
  <si>
    <t>杜海燕;徐斌;徐影</t>
  </si>
  <si>
    <t>SP202012160226</t>
  </si>
  <si>
    <t xml:space="preserve"> 321088197112305264;321088196908235252;321088199411155269 </t>
  </si>
  <si>
    <t xml:space="preserve">(M)19962575850 </t>
  </si>
  <si>
    <t>江苏省扬州市江都区丁伙镇双华村卫向组28号;江苏省扬州市江都区丁伙镇双华村卫向组28号;江苏省江都市丁伙镇广场路18号</t>
  </si>
  <si>
    <t>扬州恒大云锦华庭-一期-1-902</t>
  </si>
  <si>
    <t>57499cc6-9d32-4d7d-8ec9-1891d6c18ddd</t>
  </si>
  <si>
    <t>1-903</t>
  </si>
  <si>
    <t>刘伟;李雨</t>
  </si>
  <si>
    <t>SP202012030026</t>
  </si>
  <si>
    <t xml:space="preserve"> 321088198105174854;321088198107171841 </t>
  </si>
  <si>
    <t xml:space="preserve">(M)15861377798 </t>
  </si>
  <si>
    <t>江苏省江都市光明路10号7幢301室;江苏省扬州市江都区小纪镇郜庄村联合组79号</t>
  </si>
  <si>
    <t>扬州恒大云锦华庭-一期-1-903</t>
  </si>
  <si>
    <t>82213010-74ca-41cc-abc4-fdd65e97df0a</t>
  </si>
  <si>
    <t>1-904</t>
  </si>
  <si>
    <t>乐云鹏</t>
  </si>
  <si>
    <t>SP202101300074</t>
  </si>
  <si>
    <t xml:space="preserve">(M)15252561212 </t>
  </si>
  <si>
    <t>江苏省江都市仙女镇陈庄村阚庄组34号</t>
  </si>
  <si>
    <t>扬州恒大云锦华庭-一期-1-904</t>
  </si>
  <si>
    <t>d344aa5b-763b-482b-95c9-fe4321c61c54</t>
  </si>
  <si>
    <t>10-1001</t>
  </si>
  <si>
    <t>王春;詹花梅</t>
  </si>
  <si>
    <t>SP202012150035</t>
  </si>
  <si>
    <t xml:space="preserve"> 321027197904225438;430522198211241480 </t>
  </si>
  <si>
    <t xml:space="preserve">(M)13615227913 </t>
  </si>
  <si>
    <t>江苏省扬州市邗江区李典镇秀清村勤丰组12号;江苏省扬州市邗江区李典镇秀清村勤丰组12号</t>
  </si>
  <si>
    <t>扬州恒大云锦华庭-一期-10-1001</t>
  </si>
  <si>
    <t>10-</t>
  </si>
  <si>
    <t>43ab6b86-9051-49d6-a43a-36640541fb20</t>
  </si>
  <si>
    <t>10-1002</t>
  </si>
  <si>
    <t>梁序</t>
  </si>
  <si>
    <t>SP202011260029</t>
  </si>
  <si>
    <t xml:space="preserve">(M)13665217098 </t>
  </si>
  <si>
    <t>江苏省扬州市维扬区玉器街60号301室</t>
  </si>
  <si>
    <t>扬州恒大云锦华庭-一期-10-1002</t>
  </si>
  <si>
    <t>d7939c71-657e-44c7-9604-7ad9083ef270</t>
  </si>
  <si>
    <t>10-1003</t>
  </si>
  <si>
    <t>陈健;石元妹</t>
  </si>
  <si>
    <t>SP202012100135</t>
  </si>
  <si>
    <t xml:space="preserve"> 321084198212068015;422326198701201320 </t>
  </si>
  <si>
    <t xml:space="preserve">(M)15951043838 </t>
  </si>
  <si>
    <t>江苏省扬州市开发区顺达路59号名兴花园27幢503室;江苏省扬州市开发区顺达路59号名兴花园27幢503室</t>
  </si>
  <si>
    <t>徐志鹏</t>
  </si>
  <si>
    <t>扬州恒大云锦华庭-一期-10-1003</t>
  </si>
  <si>
    <t>668f9ab6-5ddf-4821-999a-a2dc87943a8c</t>
  </si>
  <si>
    <t>10-1004</t>
  </si>
  <si>
    <t>田小明;陈来</t>
  </si>
  <si>
    <t>SP202011120067</t>
  </si>
  <si>
    <t xml:space="preserve"> 360403197502191826;32108819700403003X </t>
  </si>
  <si>
    <t xml:space="preserve">(M)13328133398 </t>
  </si>
  <si>
    <t>江苏省江都市龙桥路33-2号;江苏省江都市龙桥路33-2号</t>
  </si>
  <si>
    <t>扬州恒大云锦华庭-一期-10-1004</t>
  </si>
  <si>
    <t>85d5bd29-72cf-4ec5-8dac-ee50094cd375</t>
  </si>
  <si>
    <t>10-101</t>
  </si>
  <si>
    <t>张丹;杨万里</t>
  </si>
  <si>
    <t>SP202011260064</t>
  </si>
  <si>
    <t xml:space="preserve"> 610115199009104768;320882199208073836 </t>
  </si>
  <si>
    <t xml:space="preserve">(M)13373675037 </t>
  </si>
  <si>
    <t>扬州市广陵区杭集镇创业园民生刷业;江苏省淮安市淮安区苏嘴镇大单村二组86号</t>
  </si>
  <si>
    <t>扬州恒大云锦华庭-一期-10-101</t>
  </si>
  <si>
    <t>0c6bf6de-1307-41ce-b3b2-e801eadc5fee</t>
  </si>
  <si>
    <t>10-104</t>
  </si>
  <si>
    <t>王春香</t>
  </si>
  <si>
    <t>SP202103120095</t>
  </si>
  <si>
    <t>普通商业按揭（首付5成）</t>
  </si>
  <si>
    <t xml:space="preserve">(M)15189855711 </t>
  </si>
  <si>
    <t>江苏省扬州市广陵区湾头镇西街55号</t>
  </si>
  <si>
    <t>以标准总价为基准计算: (普通商业按揭（首付5成） 100% × 网购优惠折扣 90% × 一口价首顶层优惠 70% - 网上购房总价优惠 30000)</t>
  </si>
  <si>
    <t>扬州恒大云锦华庭-一期-10-104</t>
  </si>
  <si>
    <t>苏鑫</t>
  </si>
  <si>
    <t>101518bf-b5e0-4f2b-9a6c-5930c1740162</t>
  </si>
  <si>
    <t>10-1101</t>
  </si>
  <si>
    <t>沈玲;李响</t>
  </si>
  <si>
    <t>SP202011270078</t>
  </si>
  <si>
    <t xml:space="preserve"> 320724198605212445;320826198609070438 </t>
  </si>
  <si>
    <t xml:space="preserve">(M)15052520771 </t>
  </si>
  <si>
    <t>扬州市杭集镇吉发富巷42号;扬州市杭集镇吉发富巷42号</t>
  </si>
  <si>
    <t>扬州恒大云锦华庭-一期-10-1101</t>
  </si>
  <si>
    <t>刘从俊</t>
  </si>
  <si>
    <t>d55aaae1-1d18-44d6-95a3-25e0ca2cd1d2</t>
  </si>
  <si>
    <t>10-1102</t>
  </si>
  <si>
    <t>付金枝;王涛</t>
  </si>
  <si>
    <t>SP202011120081</t>
  </si>
  <si>
    <t xml:space="preserve"> 622421199305031329;321084199608103416 </t>
  </si>
  <si>
    <t xml:space="preserve">(M)13369490503 </t>
  </si>
  <si>
    <t>江苏省扬州市江都区武坚镇金鑫电器有限公司;江苏省扬州市江都区武坚镇金鑫电器有限公司</t>
  </si>
  <si>
    <t>扬州恒大云锦华庭-一期-10-1102</t>
  </si>
  <si>
    <t>6bb997d2-b51f-450f-9374-4a4987724943</t>
  </si>
  <si>
    <t>10-1103</t>
  </si>
  <si>
    <t>曾庆彬</t>
  </si>
  <si>
    <t>SP202012250043</t>
  </si>
  <si>
    <t xml:space="preserve">(M)15358545301 </t>
  </si>
  <si>
    <t>仪征市真州镇五一花苑2-3-1209</t>
  </si>
  <si>
    <t>以标准总价为基准计算: (首付优惠按揭付款 100% × 年末冲刺大优惠 96% × 房车宝推荐折扣 96% - 网上购房总价优惠2万元 20000)</t>
  </si>
  <si>
    <t>扬州恒大云锦华庭-一期-10-1103</t>
  </si>
  <si>
    <t>0e383796-7323-4668-b2e6-5bd52e00b933</t>
  </si>
  <si>
    <t>10-1104</t>
  </si>
  <si>
    <t>朱宜山</t>
  </si>
  <si>
    <t>SP202011120211</t>
  </si>
  <si>
    <t xml:space="preserve"> 32101119761201091X </t>
  </si>
  <si>
    <t xml:space="preserve">(M)13328132677 </t>
  </si>
  <si>
    <t>江苏省扬州市邗江区泰安镇勤俭村焦庄组27号</t>
  </si>
  <si>
    <t>扬州恒大云锦华庭-一期-10-1104</t>
  </si>
  <si>
    <t>b45bec7a-dea7-443a-a6d4-4837aa8a2b46</t>
  </si>
  <si>
    <t>10-1201</t>
  </si>
  <si>
    <t>殷庆伟</t>
  </si>
  <si>
    <t>SP202012230032</t>
  </si>
  <si>
    <t xml:space="preserve">(M)17348381312 </t>
  </si>
  <si>
    <t>江苏省扬州市邗江区鸿福三村35幢303室</t>
  </si>
  <si>
    <t>扬州恒大云锦华庭-一期-10-1201</t>
  </si>
  <si>
    <t>611ea534-3a65-4214-80af-485ded63acd9</t>
  </si>
  <si>
    <t>10-1202</t>
  </si>
  <si>
    <t>蒋丽颖;唐鸣</t>
  </si>
  <si>
    <t>SP202012030041</t>
  </si>
  <si>
    <t xml:space="preserve"> 342224198204101427;321027198107086011 </t>
  </si>
  <si>
    <t xml:space="preserve">(M)17351373566 </t>
  </si>
  <si>
    <t>江苏省扬州市邗江区沙头镇育新村新村组32号;江苏省扬州市广陵区沙头镇育新村新村组32号</t>
  </si>
  <si>
    <t>扬州恒大云锦华庭-一期-10-1202</t>
  </si>
  <si>
    <t>66a2930d-f84c-41d3-a257-fcbe1718f242</t>
  </si>
  <si>
    <t>10-1203</t>
  </si>
  <si>
    <t>王柳;高飞</t>
  </si>
  <si>
    <t>SP202012030082</t>
  </si>
  <si>
    <t xml:space="preserve"> 321011198605031223;321027198107096957 </t>
  </si>
  <si>
    <t xml:space="preserve">(M)15995148976 </t>
  </si>
  <si>
    <t>扬州市生态科技新城杭集镇新生村兴隆组4号;江苏省扬州市广陵区杭集镇新生村兴隆组4号</t>
  </si>
  <si>
    <t>扬州恒大云锦华庭-一期-10-1203</t>
  </si>
  <si>
    <t>adfa7b9a-b15a-45a8-9d4d-8130e7ad2eee</t>
  </si>
  <si>
    <t>10-1204</t>
  </si>
  <si>
    <t>葛雨;王娜</t>
  </si>
  <si>
    <t>SP202012020009</t>
  </si>
  <si>
    <t xml:space="preserve"> 32038119850725441X;320382198903183445 </t>
  </si>
  <si>
    <t xml:space="preserve">(M)18021727092 </t>
  </si>
  <si>
    <t>广陵产业园大众港路1号奔多新材料有限公司;江苏省邳州市铁富镇半店村3组201号</t>
  </si>
  <si>
    <t>扬州恒大云锦华庭-一期-10-1204</t>
  </si>
  <si>
    <t>694caedf-133f-4ea9-9946-1945263146ed</t>
  </si>
  <si>
    <t>10-1301</t>
  </si>
  <si>
    <t>石荟</t>
  </si>
  <si>
    <t>SP202012150147</t>
  </si>
  <si>
    <t xml:space="preserve">(M)17721673685 </t>
  </si>
  <si>
    <t>江苏省江都市邵伯镇孙桥村薛庄组24号</t>
  </si>
  <si>
    <t>赵杰</t>
  </si>
  <si>
    <t>以标准总价为基准计算: (普通商业按揭 100% - 总价优惠 -5898)</t>
  </si>
  <si>
    <t>扬州恒大云锦华庭-一期-10-1301</t>
  </si>
  <si>
    <t>Z赵杰</t>
  </si>
  <si>
    <t>78a3f6ec-6f04-4899-b381-761dc4352416</t>
  </si>
  <si>
    <t>10-1302</t>
  </si>
  <si>
    <t>丁绪红;瞿廷民</t>
  </si>
  <si>
    <t>SP202011130025</t>
  </si>
  <si>
    <t xml:space="preserve"> 321027197511015122;321027196904235113 </t>
  </si>
  <si>
    <t xml:space="preserve">(M)15371336862 </t>
  </si>
  <si>
    <t>江苏省扬州市华星医疗器械公司;江苏省扬州市邗江区头桥镇安帖村破圩组25号</t>
  </si>
  <si>
    <t>扬州恒大云锦华庭-一期-10-1302</t>
  </si>
  <si>
    <t>9cf516a8-b449-4d1d-ab3c-a6eb80d2558a</t>
  </si>
  <si>
    <t>10-1303</t>
  </si>
  <si>
    <t>尹艳梅;丁勇</t>
  </si>
  <si>
    <t>SP202011130097</t>
  </si>
  <si>
    <t xml:space="preserve"> 320724198805010661;321027198705286013 </t>
  </si>
  <si>
    <t xml:space="preserve">(M)15190408497 </t>
  </si>
  <si>
    <t>江苏省扬州市邗江区沙头镇三星东路三星佳苑4幢306室;江苏省扬州市广陵区沙头镇小虹桥村邬小组6号</t>
  </si>
  <si>
    <t>扬州恒大云锦华庭-一期-10-1303</t>
  </si>
  <si>
    <t>f4abfb84-3e7e-4bc2-b1e2-9ea630e059da</t>
  </si>
  <si>
    <t>10-1304</t>
  </si>
  <si>
    <t>田俊;代菊</t>
  </si>
  <si>
    <t>SP202101250082</t>
  </si>
  <si>
    <t xml:space="preserve"> 32108819760901223X;320826197811246420 </t>
  </si>
  <si>
    <t xml:space="preserve">(M)13328123916 </t>
  </si>
  <si>
    <t>江苏省扬州市邗江区沙头镇强民村梁庄组13号;江苏省扬州市邗江区沙头镇强民村梁庄组13号</t>
  </si>
  <si>
    <t>张春龙</t>
  </si>
  <si>
    <t>以标准总价为基准计算: ((普通组合贷款 100% × 年末冲刺大优惠2 96% × 房车宝推荐折扣 96% - 恒房通购房券优惠 10000) - 网上购房总价优惠2万元 20000)</t>
  </si>
  <si>
    <t>扬州恒大云锦华庭-一期-10-1304</t>
  </si>
  <si>
    <t>03C7D00377205DAF</t>
  </si>
  <si>
    <t>Z4张春龙</t>
  </si>
  <si>
    <t>Z张春龙</t>
  </si>
  <si>
    <t>0a35d473-f144-477b-961d-b43cdb17987f</t>
  </si>
  <si>
    <t>10-1401</t>
  </si>
  <si>
    <t>谢月娣;吴永兵</t>
  </si>
  <si>
    <t>SP202102030042</t>
  </si>
  <si>
    <t>两年优惠分期付款（适用2、3、5、6、7、8、9栋）</t>
  </si>
  <si>
    <t xml:space="preserve"> 321011197212211229;321023196911232919 </t>
  </si>
  <si>
    <t xml:space="preserve">(M)13773559365 </t>
  </si>
  <si>
    <t>江苏省扬州市广陵区湾头镇万寿村板桥四组39号;江苏省扬州市广陵区湾头镇万寿村板桥四组39号</t>
  </si>
  <si>
    <t>以标准总价为基准计算: (两年优惠分期付款（适用2、3、5、6、7、8、9栋） 100% × 清尾优惠折扣 90% × 年末冲刺大优惠3 97% × 自然到访优惠 96% - 网上购房总价优惠2万元 20000)</t>
  </si>
  <si>
    <t>扬州恒大云锦华庭-一期-10-1401</t>
  </si>
  <si>
    <t>40a28138-1647-4dd5-9e79-e2c6c4287f35</t>
  </si>
  <si>
    <t>10-1402</t>
  </si>
  <si>
    <t>王伟伟</t>
  </si>
  <si>
    <t>SP202011120192</t>
  </si>
  <si>
    <t xml:space="preserve">(M)13773391963 </t>
  </si>
  <si>
    <t>江苏省江都市邵伯镇东南村王厦组12号</t>
  </si>
  <si>
    <t>扬州恒大云锦华庭-一期-10-1402</t>
  </si>
  <si>
    <t>22fbce17-31b0-4cad-9c03-9f311af6c63a</t>
  </si>
  <si>
    <t>10-1403</t>
  </si>
  <si>
    <t>苏健;张梓墨</t>
  </si>
  <si>
    <t>SP202011270016</t>
  </si>
  <si>
    <t xml:space="preserve"> 321084199103231316;321084199212131322 </t>
  </si>
  <si>
    <t xml:space="preserve">(M)13179753958 </t>
  </si>
  <si>
    <t>江苏省高邮市龙腾花苑13幢403室;江苏省高邮市卸甲镇周邶墩村兴隆组29号</t>
  </si>
  <si>
    <t>扬州恒大云锦华庭-一期-10-1403</t>
  </si>
  <si>
    <t>2fc0773b-d772-4bbd-ac2a-510b3db06f7b</t>
  </si>
  <si>
    <t>10-1404</t>
  </si>
  <si>
    <t>李云;居金元</t>
  </si>
  <si>
    <t>SP202102190093</t>
  </si>
  <si>
    <t xml:space="preserve"> 321027195005156628;321027194712136613 </t>
  </si>
  <si>
    <t xml:space="preserve">(M)18052753155 </t>
  </si>
  <si>
    <t>江苏省扬州市邗江区泰安镇凤凰村凤凰组13号;江苏省扬州市邗江区泰安镇凤凰村凤凰组13号</t>
  </si>
  <si>
    <t>罗运然</t>
  </si>
  <si>
    <t>以标准总价为基准计算: (两年优惠分期付款（适用2、3、5、6、7、8、9栋） 100% × 清尾优惠折扣 95% × 年末冲刺大优惠3 97% × 房车宝推荐折扣 96% - 网上购房总价优惠2万元 20000)</t>
  </si>
  <si>
    <t>扬州恒大云锦华庭-一期-10-1404</t>
  </si>
  <si>
    <t>Z罗运然</t>
  </si>
  <si>
    <t>61997914-c1c2-4bf8-a72c-e34e52fedbc9</t>
  </si>
  <si>
    <t>10-1501</t>
  </si>
  <si>
    <t>李峰;仲波云</t>
  </si>
  <si>
    <t>SP202011270073</t>
  </si>
  <si>
    <t xml:space="preserve"> 321027197705141514;320823197703096446 </t>
  </si>
  <si>
    <t xml:space="preserve">(M)13773401958 </t>
  </si>
  <si>
    <t>江苏省扬州市经济开发区八里镇金山花园57幢304室;江苏省扬州市经济开发区八里镇金山花园57幢304室</t>
  </si>
  <si>
    <t>扬州恒大云锦华庭-一期-10-1501</t>
  </si>
  <si>
    <t>226d9fb6-949f-41ca-ba17-40080d652264</t>
  </si>
  <si>
    <t>10-1502</t>
  </si>
  <si>
    <t>王永亮;阮明健</t>
  </si>
  <si>
    <t>SP202012030072</t>
  </si>
  <si>
    <t xml:space="preserve"> 321088198012221375;321088198107063787 </t>
  </si>
  <si>
    <t xml:space="preserve">(M)13511714497 </t>
  </si>
  <si>
    <t>江苏省扬州市江都区宜陵镇殡仪馆;江苏省扬州市江都区宜陵镇殡仪馆</t>
  </si>
  <si>
    <t>扬州恒大云锦华庭-一期-10-1502</t>
  </si>
  <si>
    <t>b7ec4e30-22c3-47ef-bc27-21556e285b60</t>
  </si>
  <si>
    <t>10-1503</t>
  </si>
  <si>
    <t>姚军</t>
  </si>
  <si>
    <t>SP202012150118</t>
  </si>
  <si>
    <t xml:space="preserve">(M)15905271660 </t>
  </si>
  <si>
    <t>江苏省扬州市广陵区沙头镇强民村方滩组4号</t>
  </si>
  <si>
    <t>扬州恒大云锦华庭-一期-10-1503</t>
  </si>
  <si>
    <t>f428661f-32d4-4654-967e-7dcb379ce152</t>
  </si>
  <si>
    <t>10-1504</t>
  </si>
  <si>
    <t>陈萍;王昌盛</t>
  </si>
  <si>
    <t>SP202101260203</t>
  </si>
  <si>
    <t xml:space="preserve"> 321027198011085428;321027197601300613 </t>
  </si>
  <si>
    <t xml:space="preserve">(M)17844561956 </t>
  </si>
  <si>
    <t>江苏省扬州市邗江区李典镇伏业村冒二组3号;江苏省扬州市广陵区李典镇伏业村冒二组3号</t>
  </si>
  <si>
    <t>以标准总价为基准计算: (((普通商业按揭 100% × 年末冲刺大优惠2 96% × 房车宝推荐折扣 96% - 恒房通购房券优惠 10000) - 网上购房总价优惠2万元 20000) - 注册南瓜会员3000元优惠 3000)</t>
  </si>
  <si>
    <t>扬州恒大云锦华庭-一期-10-1504</t>
  </si>
  <si>
    <t>98F442BB91918134</t>
  </si>
  <si>
    <t>Z刘从俊</t>
  </si>
  <si>
    <t>5f1cd1aa-2be4-4455-83ae-421b8dc76402</t>
  </si>
  <si>
    <t>10-1601</t>
  </si>
  <si>
    <t>阮钦;阮建平</t>
  </si>
  <si>
    <t>SP202104150001</t>
  </si>
  <si>
    <t>两年优惠分期付款</t>
  </si>
  <si>
    <t xml:space="preserve"> 321088199609173390;321088197201313434 </t>
  </si>
  <si>
    <t xml:space="preserve">(M)15161408040 </t>
  </si>
  <si>
    <t>江苏省扬州市江都区宜陵镇宜东村十组27号;江苏省扬州市江都区宜陵镇宜东村十组27号</t>
  </si>
  <si>
    <t>夏长城</t>
  </si>
  <si>
    <t>以标准总价为基准计算: (两年优惠分期付款 100% × 网购优惠折扣 90% - 网上购房总价优惠 30000)</t>
  </si>
  <si>
    <t>扬州恒大云锦华庭-一期-10-1601</t>
  </si>
  <si>
    <t>Z4夏长城</t>
  </si>
  <si>
    <t>3dd10f20-c473-47f7-8326-b03487fa5a5f</t>
  </si>
  <si>
    <t>10-1602</t>
  </si>
  <si>
    <t>王相礼;石雪晴</t>
  </si>
  <si>
    <t>SP202011270059</t>
  </si>
  <si>
    <t xml:space="preserve"> 321088196806274891;321088196902014862 </t>
  </si>
  <si>
    <t xml:space="preserve">(M)15312814532 </t>
  </si>
  <si>
    <t>江苏省江都市邵伯镇高篷村任跳组8号;江苏省江都市邵伯镇高篷村任跳组8号</t>
  </si>
  <si>
    <t>扬州恒大云锦华庭-一期-10-1602</t>
  </si>
  <si>
    <t>ecd06fe5-3199-4286-bb19-f5e8b1972a50</t>
  </si>
  <si>
    <t>10-1603</t>
  </si>
  <si>
    <t>韩广才;甘志红</t>
  </si>
  <si>
    <t>SP202101010038</t>
  </si>
  <si>
    <t xml:space="preserve"> 321088196503258130;321088196508137549 </t>
  </si>
  <si>
    <t xml:space="preserve">(M)18901442662 </t>
  </si>
  <si>
    <t>江苏省江都市仙女镇三和村韩山组33号;江苏省江都市仙女镇三和村韩山组33号</t>
  </si>
  <si>
    <t>梁露</t>
  </si>
  <si>
    <t>扬州恒大云锦华庭-一期-10-1603</t>
  </si>
  <si>
    <t>3ab149aa-89dd-4f78-b890-334b5a7b15a6</t>
  </si>
  <si>
    <t>10-1604</t>
  </si>
  <si>
    <t>范平山;葛莲英</t>
  </si>
  <si>
    <t>SP202011260028</t>
  </si>
  <si>
    <t xml:space="preserve"> 321026196207262013;321026196201312024 </t>
  </si>
  <si>
    <t xml:space="preserve">(M)13852570380 </t>
  </si>
  <si>
    <t>江苏省江都市樊川镇樊南村周家组47号;江苏省江都市樊川镇樊南村周家组47号</t>
  </si>
  <si>
    <t>扬州恒大云锦华庭-一期-10-1604</t>
  </si>
  <si>
    <t>8b550aff-29a4-4823-b688-aacff80b25a6</t>
  </si>
  <si>
    <t>10-1701</t>
  </si>
  <si>
    <t>肖建鹏</t>
  </si>
  <si>
    <t>SP202103100268</t>
  </si>
  <si>
    <t xml:space="preserve">(M)17625865531 </t>
  </si>
  <si>
    <t>江苏省扬州市江都区樊川镇友爱村肖刘组31号</t>
  </si>
  <si>
    <t>韩倩倩</t>
  </si>
  <si>
    <t>以标准总价为基准计算: (普通商业按揭 100% × 清尾优惠折扣 90% × 自然到访优惠 96% × 年末冲刺大优惠3 97% - 网上购房总价优惠2万元 20000)</t>
  </si>
  <si>
    <t>扬州恒大云锦华庭-一期-10-1701</t>
  </si>
  <si>
    <t>c9c50a59-f326-4501-8dfb-20713b3ad97a</t>
  </si>
  <si>
    <t>10-1702</t>
  </si>
  <si>
    <t>薛银;顾彩萍</t>
  </si>
  <si>
    <t>SP202012020001</t>
  </si>
  <si>
    <t xml:space="preserve"> 321002198902077619;321084198910285025 </t>
  </si>
  <si>
    <t xml:space="preserve">(M)15805270842 </t>
  </si>
  <si>
    <t>江苏省扬州市广陵区翠月东苑9-404;江苏省高邮市甘垛镇振兴村五组82号</t>
  </si>
  <si>
    <t>扬州恒大云锦华庭-一期-10-1702</t>
  </si>
  <si>
    <t>e177fba8-36fe-4291-bb0b-00243de7defa</t>
  </si>
  <si>
    <t>10-1703</t>
  </si>
  <si>
    <t>杨杰</t>
  </si>
  <si>
    <t>SP202101280170</t>
  </si>
  <si>
    <t xml:space="preserve">(M)17714927198；15371339916 </t>
  </si>
  <si>
    <t>江苏省扬州市广陵区杭集镇行生村红旗组2号</t>
  </si>
  <si>
    <t>以标准总价为基准计算: ((两年分期付款 100% × 年末冲刺大优惠2 96% × 房车宝推荐折扣 96% - 恒房通购房券优惠 10000) - 网上购房总价优惠2万元 20000)</t>
  </si>
  <si>
    <t>扬州恒大云锦华庭-一期-10-1703</t>
  </si>
  <si>
    <t>45c36e48-e418-4e30-b968-b06f013fd79c</t>
  </si>
  <si>
    <t>10-1704</t>
  </si>
  <si>
    <t>王伟;张亚秀</t>
  </si>
  <si>
    <t>SP202102040057</t>
  </si>
  <si>
    <t xml:space="preserve"> 321281198809153070;321281199009113382 </t>
  </si>
  <si>
    <t xml:space="preserve">(M)18155543568 </t>
  </si>
  <si>
    <t>江苏省兴化市海南镇集镇8890号;江苏省兴化市钓鱼镇春景村新孙132号</t>
  </si>
  <si>
    <t>以标准总价为基准计算: (普通商业按揭 100% × 清尾优惠折扣 92% × 年末冲刺大优惠3 97% × 房车宝推荐折扣 96% - 网上购房总价优惠2万元 20000)</t>
  </si>
  <si>
    <t>扬州恒大云锦华庭-一期-10-1704</t>
  </si>
  <si>
    <t>63ac1487-c8c7-406c-9884-711b7fc0c67c</t>
  </si>
  <si>
    <t>10-1801</t>
  </si>
  <si>
    <t>SP202103120264</t>
  </si>
  <si>
    <t xml:space="preserve">(M)15152731923 </t>
  </si>
  <si>
    <t>扬州市广陵区中海十里丹堤22栋202</t>
  </si>
  <si>
    <t>以标准总价为基准计算: (((普通商业按揭（首付5成） 100% × 网购优惠折扣 90% × 一口价首顶层优惠 70% - 网上购房总价优惠 30000) - 房车宝购房券优惠 10000) - 注册南瓜会员优惠 20000)</t>
  </si>
  <si>
    <t>扬州恒大云锦华庭-一期-10-1801</t>
  </si>
  <si>
    <t>3A9D8F7F5C633D28</t>
  </si>
  <si>
    <t>3BDAFB34EE37B3EC</t>
  </si>
  <si>
    <t>5D7EB6E0C1A01D78</t>
  </si>
  <si>
    <t>Z4罗运然</t>
  </si>
  <si>
    <t>362140ed-deaf-45e2-ab3b-46f2a53f6ba7</t>
  </si>
  <si>
    <t>10-1802</t>
  </si>
  <si>
    <t>张日军</t>
  </si>
  <si>
    <t>SP202101260163</t>
  </si>
  <si>
    <t xml:space="preserve">(M)13852594895 </t>
  </si>
  <si>
    <t>江苏省江都市小纪镇马凌村凌家组129号</t>
  </si>
  <si>
    <t>以标准总价为基准计算: (两年优惠分期付款（适用2、3、5、6、7、8、9栋） 100% × 清尾优惠折扣 90% × 年末冲刺大优惠3 97% × 房车宝推荐折扣 96% - 网上购房总价优惠2万元 20000)</t>
  </si>
  <si>
    <t>扬州恒大云锦华庭-一期-10-1802</t>
  </si>
  <si>
    <t>140ac945-60a0-485c-902d-adf5ad4727ef</t>
  </si>
  <si>
    <t>10-1803</t>
  </si>
  <si>
    <t>张华银</t>
  </si>
  <si>
    <t>SP202102200007</t>
  </si>
  <si>
    <t xml:space="preserve">(M)18061837637 </t>
  </si>
  <si>
    <t>江苏省扬州市邗江区汊河街道薛楼村薛楼组37号</t>
  </si>
  <si>
    <t>扬州恒大云锦华庭-一期-10-1803</t>
  </si>
  <si>
    <t>28e651a6-8651-42b1-9684-9f4e25f18c29</t>
  </si>
  <si>
    <t>10-1804</t>
  </si>
  <si>
    <t>冯萍;易同国</t>
  </si>
  <si>
    <t>SP202103120198</t>
  </si>
  <si>
    <t>两年优惠分期付款（首付5成）</t>
  </si>
  <si>
    <t xml:space="preserve"> 321083197409261889;321083197203151879 </t>
  </si>
  <si>
    <t xml:space="preserve">(M)13625194492 </t>
  </si>
  <si>
    <t>江苏省兴化市安丰镇汪家垛92号;江苏省兴化市安丰镇汪家垛92号</t>
  </si>
  <si>
    <t>以标准总价为基准计算: (((两年优惠分期付款（首付5成） 100% × 一口价首顶层优惠 70% × 网购优惠折扣 90% - 网上购房总价优惠 30000) - 房车宝购房券优惠 10000) - 注册南瓜会员优惠 20000)</t>
  </si>
  <si>
    <t>扬州恒大云锦华庭-一期-10-1804</t>
  </si>
  <si>
    <t>91BFEECC1B20BD91</t>
  </si>
  <si>
    <t>931754E44DA44147</t>
  </si>
  <si>
    <t>E6043AC5F463E858</t>
  </si>
  <si>
    <t>Z2夏长城</t>
  </si>
  <si>
    <t>ae99524c-80d1-4ae8-878c-9d412643d07c</t>
  </si>
  <si>
    <t>10-201</t>
  </si>
  <si>
    <t>华祥;严先翠</t>
  </si>
  <si>
    <t>SP202103010020</t>
  </si>
  <si>
    <t xml:space="preserve"> 321023197411264417;510723197110103102 </t>
  </si>
  <si>
    <t xml:space="preserve">(M)18066984318 </t>
  </si>
  <si>
    <t>江苏省扬州市宝应县范水镇汜西村齐心组9号;江苏省扬州市宝应县范水镇汜西村齐心组9号</t>
  </si>
  <si>
    <t>以标准总价为基准计算: (普通商业按揭 100% × 网购优惠折扣 90% - 网上购房总价优惠 30000)</t>
  </si>
  <si>
    <t>扬州恒大云锦华庭-一期-10-201</t>
  </si>
  <si>
    <t>f640a0fd-7a95-4492-91e0-f3c7ead1ece7</t>
  </si>
  <si>
    <t>10-202</t>
  </si>
  <si>
    <t>周涛;张香辉</t>
  </si>
  <si>
    <t>SP202102030130</t>
  </si>
  <si>
    <t xml:space="preserve"> 321081200003110329;440225197502097941 </t>
  </si>
  <si>
    <t xml:space="preserve">(M)13101957720 </t>
  </si>
  <si>
    <t>江苏省仪征市沿山河东路6号3幢405室;江苏省仪征市沿山河东路6号3幢405室</t>
  </si>
  <si>
    <t>以标准总价为基准计算: (普通商业按揭 100% × 清尾优惠折扣 95% × 年末冲刺大优惠3 97% × 自然到访优惠 96% - 网上购房总价优惠2万元 20000)</t>
  </si>
  <si>
    <t>扬州恒大云锦华庭-一期-10-202</t>
  </si>
  <si>
    <t>c6638b9a-c7bc-439b-87a7-b61b127e1fd0</t>
  </si>
  <si>
    <t>10-203</t>
  </si>
  <si>
    <t>陆国军</t>
  </si>
  <si>
    <t xml:space="preserve">(M)15050781678 </t>
  </si>
  <si>
    <t>江苏省泰兴市新街镇杏陆村陆野四组70号</t>
  </si>
  <si>
    <t>扬州恒大云锦华庭-一期-10-203</t>
  </si>
  <si>
    <t>493bd4b8-f718-4853-9f6e-1c63c2f37d25</t>
  </si>
  <si>
    <t>10-204</t>
  </si>
  <si>
    <t>吴小波;陈迪春</t>
  </si>
  <si>
    <t>SP202103070140</t>
  </si>
  <si>
    <t xml:space="preserve"> 321023199610260020;32072119941011383X </t>
  </si>
  <si>
    <t xml:space="preserve">(M)15252731280 </t>
  </si>
  <si>
    <t>江苏省赣榆县黑林镇富林村陈旦头八队83号;江苏省宝应县白田中路9号亲亲家园小区12幢108室</t>
  </si>
  <si>
    <t>以标准总价为基准计算: (普通组合贷款 100% × 网购优惠折扣 90% - 网上购房总价优惠 30000)</t>
  </si>
  <si>
    <t>扬州恒大云锦华庭-一期-10-204</t>
  </si>
  <si>
    <t>8448afb7-0888-4cb9-b337-ab427305ef0e</t>
  </si>
  <si>
    <t>10-301</t>
  </si>
  <si>
    <t>杨圣青;林年昌</t>
  </si>
  <si>
    <t>SP202102020158</t>
  </si>
  <si>
    <t xml:space="preserve"> 321088197703183959;321088197602093989 </t>
  </si>
  <si>
    <t xml:space="preserve">(M)15895720182 </t>
  </si>
  <si>
    <t>江苏省江都市丁沟镇麾中村坝口组29号;江苏省江都市丁沟镇麾中村坝口组29号</t>
  </si>
  <si>
    <t>丁雪梅</t>
  </si>
  <si>
    <t>以标准总价为基准计算: (普通商业按揭 100% × 清尾优惠折扣 94% × 年末冲刺大优惠3 97% × 房车宝推荐折扣 96% - 网上购房总价优惠2万元 20000)</t>
  </si>
  <si>
    <t>扬州恒大云锦华庭-一期-10-301</t>
  </si>
  <si>
    <t>Z丁雪梅</t>
  </si>
  <si>
    <t>13821836-cab2-416d-86c6-4227520ee4f6</t>
  </si>
  <si>
    <t>10-302</t>
  </si>
  <si>
    <t>刘伟伟;戴翠英</t>
  </si>
  <si>
    <t>SP202012090128</t>
  </si>
  <si>
    <t xml:space="preserve"> 341181199504147414;342321196812057420 </t>
  </si>
  <si>
    <t xml:space="preserve">(M)18118259052 </t>
  </si>
  <si>
    <t>扬州市杭集镇利民路2号华侨旅游用品厂;安徽省天长市便益乡东村西营队17号</t>
  </si>
  <si>
    <t>扬州恒大云锦华庭-一期-10-302</t>
  </si>
  <si>
    <t>992dc6f4-76f8-4026-bc67-97e44cf301f0</t>
  </si>
  <si>
    <t>10-303</t>
  </si>
  <si>
    <t>朱彩云;朱中惠</t>
  </si>
  <si>
    <t>SP202011120105</t>
  </si>
  <si>
    <t xml:space="preserve"> 320923197908294820;320923198001074859 </t>
  </si>
  <si>
    <t xml:space="preserve">(M)15195555786 </t>
  </si>
  <si>
    <t>扬州市天顺花园301幢401室;扬州市天顺花园301幢401室</t>
  </si>
  <si>
    <t>扬州恒大云锦华庭-一期-10-303</t>
  </si>
  <si>
    <t>4a4ca645-15b1-4396-9338-fffe2528e82f</t>
  </si>
  <si>
    <t>10-304</t>
  </si>
  <si>
    <t>刘超</t>
  </si>
  <si>
    <t>SP202102210003</t>
  </si>
  <si>
    <t xml:space="preserve">(M)19941745653 </t>
  </si>
  <si>
    <t>江苏省泗阳县三庄乡梨园村十五组38号</t>
  </si>
  <si>
    <t>以标准总价为基准计算: (自然到访优惠 96% × 两年优惠分期付款（适用2、3、5、6、7、8、9栋） 100% × 年末冲刺大优惠3 97% × 清尾优惠折扣 90% - 网上购房总价优惠2万元 20000)</t>
  </si>
  <si>
    <t>扬州恒大云锦华庭-一期-10-304</t>
  </si>
  <si>
    <t>5972e7b5-5256-4d0b-ae2a-759274e1f343</t>
  </si>
  <si>
    <t>10-401</t>
  </si>
  <si>
    <t>唐巧云</t>
  </si>
  <si>
    <t xml:space="preserve">(M)18652542985 </t>
  </si>
  <si>
    <t>江苏省扬州市邗江区京华城路99号怡景苑48幢101室</t>
  </si>
  <si>
    <t>扬州恒大云锦华庭-一期-10-401</t>
  </si>
  <si>
    <t>Z夏长城</t>
  </si>
  <si>
    <t>72bed47f-9da8-4501-a000-64caced99ef6</t>
  </si>
  <si>
    <t>10-402</t>
  </si>
  <si>
    <t>黄跃;卜冬梅</t>
  </si>
  <si>
    <t>SP202012160039</t>
  </si>
  <si>
    <t xml:space="preserve"> 320826198412082697;320826198612032643 </t>
  </si>
  <si>
    <t xml:space="preserve">(M)18936224036 </t>
  </si>
  <si>
    <t>江苏省涟水县涟城镇安东路6号;江苏省扬州市邗江区史可法东路42号4幢604室</t>
  </si>
  <si>
    <t>扬州恒大云锦华庭-一期-10-402</t>
  </si>
  <si>
    <t>ed6b6e83-0de7-42a2-90fd-98f7b084dde7</t>
  </si>
  <si>
    <t>10-403</t>
  </si>
  <si>
    <t>唐忠玉;朱菊平</t>
  </si>
  <si>
    <t>SP202011270001</t>
  </si>
  <si>
    <t xml:space="preserve"> 321027196409226930;32102719630902694X </t>
  </si>
  <si>
    <t xml:space="preserve">(M)13815835580 </t>
  </si>
  <si>
    <t>江苏省扬州市邗江区杭集镇杭府街124号;江苏省扬州市邗江区杭集镇杭府街102号</t>
  </si>
  <si>
    <t>扬州恒大云锦华庭-一期-10-403</t>
  </si>
  <si>
    <t>6dd4b6d0-e071-413f-9b93-975c6c8487f8</t>
  </si>
  <si>
    <t>10-404</t>
  </si>
  <si>
    <t>袁卫祥</t>
  </si>
  <si>
    <t>SP202103290117</t>
  </si>
  <si>
    <t xml:space="preserve">(M)13301451786 </t>
  </si>
  <si>
    <t>江苏省江都市大桥镇太字村大荡组65号</t>
  </si>
  <si>
    <t>姜恒</t>
  </si>
  <si>
    <t>以标准总价为基准计算: (((两年优惠分期付款 100% × 网购优惠折扣 90% - 网上购房总价优惠 30000) - 房车宝购房券优惠 10000) - 注册南瓜会员优惠 18500)</t>
  </si>
  <si>
    <t>渠道推介-筹带筹</t>
  </si>
  <si>
    <t>扬州恒大云锦华庭-一期-10-404</t>
  </si>
  <si>
    <t>C290C0BA5297910D</t>
  </si>
  <si>
    <t>5F2D8C28568012DA</t>
  </si>
  <si>
    <t>48079BAB174AE01D</t>
  </si>
  <si>
    <t>7a9b7805-640a-4d4e-9a39-432a6b134488</t>
  </si>
  <si>
    <t>10-501</t>
  </si>
  <si>
    <t>杨强</t>
  </si>
  <si>
    <t>SP202012020042</t>
  </si>
  <si>
    <t xml:space="preserve">(M)18556205889 </t>
  </si>
  <si>
    <t>江苏省邳州市铁富镇艾山后村9组1122号</t>
  </si>
  <si>
    <t>扬州恒大云锦华庭-一期-10-501</t>
  </si>
  <si>
    <t>ebe00c04-7205-406d-a42c-0934cc51a1f7</t>
  </si>
  <si>
    <t>10-502</t>
  </si>
  <si>
    <t>杨元林</t>
  </si>
  <si>
    <t>SP202012220187</t>
  </si>
  <si>
    <t xml:space="preserve">(M)13301456999 </t>
  </si>
  <si>
    <t>江苏省扬州市广陵区观巷47号</t>
  </si>
  <si>
    <t>以标准总价为基准计算: 一年优惠分期付款 100% × 开盘额外优惠 97% × 渠道折扣 98% × 佣金抵房款 98%</t>
  </si>
  <si>
    <t>扬州恒大云锦华庭-一期-10-502</t>
  </si>
  <si>
    <t>77698bc0-bc3c-4765-8eb5-30e16ac528a4</t>
  </si>
  <si>
    <t>10-503</t>
  </si>
  <si>
    <t>景震</t>
  </si>
  <si>
    <t>SP202012020056</t>
  </si>
  <si>
    <t xml:space="preserve">(M)18936269036 </t>
  </si>
  <si>
    <t>江苏省扬州市扬泰机场</t>
  </si>
  <si>
    <t>扬州恒大云锦华庭-一期-10-503</t>
  </si>
  <si>
    <t>2c56b9d1-856a-44d4-bdd2-629481a69563</t>
  </si>
  <si>
    <t>10-504</t>
  </si>
  <si>
    <t>刘腾飞;邱莉莉</t>
  </si>
  <si>
    <t>SP202103050271</t>
  </si>
  <si>
    <t xml:space="preserve"> 321302199112212012;310230198801304169 </t>
  </si>
  <si>
    <t xml:space="preserve">(M)15821467145 </t>
  </si>
  <si>
    <t>江苏省宿迁市宿城区双庄镇陆刘居委会五组93号;江苏省宿迁市宿城区双庄镇陆刘居委会五组93号</t>
  </si>
  <si>
    <t>以标准总价为基准计算: (普通商业按揭 100% × 清尾优惠折扣 92% × 年末冲刺大优惠3 99% × 房车宝推荐折扣 96% - 网上购房总价优惠2万元 20000)</t>
  </si>
  <si>
    <t>扬州恒大云锦华庭-一期-10-504</t>
  </si>
  <si>
    <t>Z苏鑫</t>
  </si>
  <si>
    <t>d4ac3cb8-6dc9-4832-b900-8b89c3098505</t>
  </si>
  <si>
    <t>10-601</t>
  </si>
  <si>
    <t>朱立俊;栾德云</t>
  </si>
  <si>
    <t>SP202012030002</t>
  </si>
  <si>
    <t xml:space="preserve"> 321027198406246011;320121198310213940 </t>
  </si>
  <si>
    <t xml:space="preserve">(M)13952535858 </t>
  </si>
  <si>
    <t>江苏省扬州市广陵区沙头镇三星村金二组20号;南京市江宁区江宁街道陆郎社区栾村40号</t>
  </si>
  <si>
    <t>扬州恒大云锦华庭-一期-10-601</t>
  </si>
  <si>
    <t>5b16f9f2-b1b5-45be-8198-cab108ddbc24</t>
  </si>
  <si>
    <t>10-602</t>
  </si>
  <si>
    <t>洪海玲;夏晓诚</t>
  </si>
  <si>
    <t>SP202012080080</t>
  </si>
  <si>
    <t xml:space="preserve"> 32128419871210444X;321284198501144433 </t>
  </si>
  <si>
    <t xml:space="preserve">(M)17715839606 </t>
  </si>
  <si>
    <t>江苏省扬州市广陵区东花园东路7号2-103;江苏省扬州市广陵区东花园东路7号2幢103室</t>
  </si>
  <si>
    <t>扬州恒大云锦华庭-一期-10-602</t>
  </si>
  <si>
    <t>7d66cea0-3288-44a7-94ad-3bcca01730ee</t>
  </si>
  <si>
    <t>10-603</t>
  </si>
  <si>
    <t>丁为民;颜慧</t>
  </si>
  <si>
    <t>SP202012080089</t>
  </si>
  <si>
    <t xml:space="preserve"> 321001198501100033;320982198810076467 </t>
  </si>
  <si>
    <t xml:space="preserve">(M)13665217493 </t>
  </si>
  <si>
    <t>江苏省扬州市广陵区文峰街道联谊花园宜泰苑36-204;江苏省扬州市广陵区南门外大街193号104室</t>
  </si>
  <si>
    <t>扬州恒大云锦华庭-一期-10-603</t>
  </si>
  <si>
    <t>a6cd8e4f-1daa-4235-ae14-6e3178fab726</t>
  </si>
  <si>
    <t>10-604</t>
  </si>
  <si>
    <t>唐勇;顾桂萍</t>
  </si>
  <si>
    <t>SP202102190098</t>
  </si>
  <si>
    <t xml:space="preserve"> 321088197712167379;321088197702197320 </t>
  </si>
  <si>
    <t xml:space="preserve">(M)15952544380 </t>
  </si>
  <si>
    <t>江苏省江都市大桥镇乔梓村乔东组30号;江苏省江都市大桥镇乔梓村乔东组30号</t>
  </si>
  <si>
    <t>以标准总价为基准计算: (两年优惠分期付款（适用2、3、5、6、7、8、9栋） 100% × 年末冲刺大优惠3 97% × 房车宝推荐折扣 96% × 清尾优惠折扣 94% - 网上购房总价优惠2万元 20000)</t>
  </si>
  <si>
    <t>扬州恒大云锦华庭-一期-10-604</t>
  </si>
  <si>
    <t>760fa251-e45e-49ed-bd6b-09a3b056ae9f</t>
  </si>
  <si>
    <t>10-701</t>
  </si>
  <si>
    <t>陆公平;肖庆宏</t>
  </si>
  <si>
    <t>SP202012020063</t>
  </si>
  <si>
    <t xml:space="preserve"> 321027197712066938;321027197805146929 </t>
  </si>
  <si>
    <t xml:space="preserve">(M)13301457703 </t>
  </si>
  <si>
    <t>江苏省扬州市广陵区杭集镇翟庄路兴隆商厦238号专营润滑油;江苏省扬州市广陵区杭集镇翟庄路兴隆商厦238号专营润滑油</t>
  </si>
  <si>
    <t>扬州恒大云锦华庭-一期-10-701</t>
  </si>
  <si>
    <t>5b5cb06e-f6a4-4ec7-8e59-bd52c8af97e5</t>
  </si>
  <si>
    <t>10-702</t>
  </si>
  <si>
    <t>李俊</t>
  </si>
  <si>
    <t>SP202012020053</t>
  </si>
  <si>
    <t xml:space="preserve">(M)18151440660 </t>
  </si>
  <si>
    <t>扬州市江都区邵伯镇工农南路桃源小区9幢402</t>
  </si>
  <si>
    <t>扬州恒大云锦华庭-一期-10-702</t>
  </si>
  <si>
    <t>d21f4f45-3d4a-4092-9e40-5469e772ca5f</t>
  </si>
  <si>
    <t>10-703</t>
  </si>
  <si>
    <t>孟浩宇</t>
  </si>
  <si>
    <t>SP202101020098</t>
  </si>
  <si>
    <t xml:space="preserve"> 37072519990523331X </t>
  </si>
  <si>
    <t xml:space="preserve">(M)13665256941 </t>
  </si>
  <si>
    <t>扬州市翠月嘉苑16-103</t>
  </si>
  <si>
    <t>以标准总价为基准计算: 普通商业按揭 100% × 渠道折扣 98% × 开盘额外优惠 97% × 佣金抵房款 98%</t>
  </si>
  <si>
    <t>扬州恒大云锦华庭-一期-10-703</t>
  </si>
  <si>
    <t>de3d3a2d-911a-4423-8905-ad2d38b4f157</t>
  </si>
  <si>
    <t>10-704</t>
  </si>
  <si>
    <t>陈大兵;王倩</t>
  </si>
  <si>
    <t>SP202101010143</t>
  </si>
  <si>
    <t xml:space="preserve"> 321027197410233315;32100219791013122X </t>
  </si>
  <si>
    <t xml:space="preserve">(M)18912130371 </t>
  </si>
  <si>
    <t>扬州广陵区江阳东路129号7幢605室;扬州</t>
  </si>
  <si>
    <t>扬州恒大云锦华庭-一期-10-704</t>
  </si>
  <si>
    <t>79139B34954D79F9</t>
  </si>
  <si>
    <t>41a844eb-43af-4fd1-b363-bdaaeb6f25c3</t>
  </si>
  <si>
    <t>10-801</t>
  </si>
  <si>
    <t>叶建峰;刘敏</t>
  </si>
  <si>
    <t>SP202012150237</t>
  </si>
  <si>
    <t xml:space="preserve"> 321281199502204878;321281199710172428 </t>
  </si>
  <si>
    <t xml:space="preserve">(M)18862602309 </t>
  </si>
  <si>
    <t>扬州市广陵区文峰街道联谊路银泰商务中心公寓605室;江苏省兴化市新城北村24幢403室</t>
  </si>
  <si>
    <t>扬州恒大云锦华庭-一期-10-801</t>
  </si>
  <si>
    <t>503f5dfa-8e3e-49d8-9850-732e12a61cfa</t>
  </si>
  <si>
    <t>10-802</t>
  </si>
  <si>
    <t>陈桂荣;程春泉</t>
  </si>
  <si>
    <t>SP202011130048</t>
  </si>
  <si>
    <t xml:space="preserve"> 321002196807141863;321002196301113339 </t>
  </si>
  <si>
    <t xml:space="preserve">(M)18752746856 </t>
  </si>
  <si>
    <t>扬州市邗江区城北黄金苑9幢301室;江苏省扬州市维扬区竹西路29号2排6室</t>
  </si>
  <si>
    <t>扬州恒大云锦华庭-一期-10-802</t>
  </si>
  <si>
    <t>6b12e2eb-7cd4-4a34-aec8-89ed5a0078b2</t>
  </si>
  <si>
    <t>10-803</t>
  </si>
  <si>
    <t>孙紫薇;张华</t>
  </si>
  <si>
    <t>SP202012220088</t>
  </si>
  <si>
    <t xml:space="preserve"> 321084198906208043;321011198710031516 </t>
  </si>
  <si>
    <t xml:space="preserve">(M)18036243585 </t>
  </si>
  <si>
    <t>江苏省扬州市广陵区联谊路18号9幢103室;江苏省扬州市广陵区联谊路18号9幢103室</t>
  </si>
  <si>
    <t>扬州恒大云锦华庭-一期-10-803</t>
  </si>
  <si>
    <t>87109edb-0b24-4319-91c9-84c2fe4e2674</t>
  </si>
  <si>
    <t>10-804</t>
  </si>
  <si>
    <t>刘昌晶;陈华</t>
  </si>
  <si>
    <t>SP202011120165</t>
  </si>
  <si>
    <t xml:space="preserve"> 32101119871210124X;511621198605041035 </t>
  </si>
  <si>
    <t xml:space="preserve">(M)15952736282 </t>
  </si>
  <si>
    <t>江苏省扬州市广陵区翠月西苑14-603;四川省岳池县朝阳乡高店子村1组6号</t>
  </si>
  <si>
    <t>扬州恒大云锦华庭-一期-10-804</t>
  </si>
  <si>
    <t>28cdc044-3d8e-4b3d-b55a-c49df1ac0e29</t>
  </si>
  <si>
    <t>10-901</t>
  </si>
  <si>
    <t>朱德守</t>
  </si>
  <si>
    <t>SP202102080023</t>
  </si>
  <si>
    <t xml:space="preserve">(M)15950991956 </t>
  </si>
  <si>
    <t>安徽省巢湖市无为县严桥镇尚礼社区立新自然村</t>
  </si>
  <si>
    <t>扬州恒大云锦华庭-一期-10-901</t>
  </si>
  <si>
    <t>d8c6c9ec-4f11-4550-bfbe-5864ffc670c8</t>
  </si>
  <si>
    <t>10-902</t>
  </si>
  <si>
    <t>冯雪芹;孙明志;孙家豪</t>
  </si>
  <si>
    <t>SP202012030146</t>
  </si>
  <si>
    <t xml:space="preserve"> 321027197403246927;321011197204211237;321011199612181216 </t>
  </si>
  <si>
    <t xml:space="preserve">(M)13952568675 </t>
  </si>
  <si>
    <t>江苏省扬州市广陵区湾头镇沙联村朱东组39号;江苏省扬州市广陵区湾头镇沙联村朱东组39号;江苏省扬州市广陵区湾头镇沙联村朱东组39号</t>
  </si>
  <si>
    <t>扬州恒大云锦华庭-一期-10-902</t>
  </si>
  <si>
    <t>d16559ca-109d-4bf8-84ee-6c993a832d61</t>
  </si>
  <si>
    <t>10-903</t>
  </si>
  <si>
    <t>田欢</t>
  </si>
  <si>
    <t>SP202011130211</t>
  </si>
  <si>
    <t xml:space="preserve">(M)13773522230 </t>
  </si>
  <si>
    <t>江苏省扬州市广陵区沙头镇迎宾路博雅美容</t>
  </si>
  <si>
    <t>扬州恒大云锦华庭-一期-10-903</t>
  </si>
  <si>
    <t>43e905ad-e3c1-4f4d-b536-ff7cf38be414</t>
  </si>
  <si>
    <t>10-904</t>
  </si>
  <si>
    <t>王心童</t>
  </si>
  <si>
    <t>SP202012220095</t>
  </si>
  <si>
    <t xml:space="preserve">(M)17712368785 </t>
  </si>
  <si>
    <t>江苏省扬州市邗江区沙头镇强民村大九组19-3号</t>
  </si>
  <si>
    <t>以标准总价为基准计算: (普通商业按揭 100% × 房车宝推荐折扣 96% × 年末冲刺大优惠 95% - 网上购房总价优惠2万元 20000)</t>
  </si>
  <si>
    <t>扬州恒大云锦华庭-一期-10-904</t>
  </si>
  <si>
    <t>bdd9aa34-0a0a-47e7-a165-28143aea7e0a</t>
  </si>
  <si>
    <t>12-1001</t>
  </si>
  <si>
    <t>李新伟</t>
  </si>
  <si>
    <t>SP202012020046</t>
  </si>
  <si>
    <t xml:space="preserve">(M)17605142996 (O)18952575216 </t>
  </si>
  <si>
    <t>江苏省江都市仙女镇新河村贾庄组29号</t>
  </si>
  <si>
    <t>扬州恒大云锦华庭-一期-12-1001</t>
  </si>
  <si>
    <t>12-</t>
  </si>
  <si>
    <t>c32cafcf-e9c7-49f6-879f-90c09cf8d5b6</t>
  </si>
  <si>
    <t>12-1002</t>
  </si>
  <si>
    <t>吴润龙;朱满红</t>
  </si>
  <si>
    <t>SP202012160002</t>
  </si>
  <si>
    <t xml:space="preserve"> 321023196805260019;321023196912250246 </t>
  </si>
  <si>
    <t xml:space="preserve">(M)15305255226 </t>
  </si>
  <si>
    <t>江苏省宝应县东方范园A-3-48#;江苏省宝应县泰山西路桃园三村1幢306室</t>
  </si>
  <si>
    <t>扬州恒大云锦华庭-一期-12-1002</t>
  </si>
  <si>
    <t>727f8d50-ad2e-4758-ae2f-b35dbc58561c</t>
  </si>
  <si>
    <t>12-1003</t>
  </si>
  <si>
    <t>夏飞</t>
  </si>
  <si>
    <t>SP202011260052</t>
  </si>
  <si>
    <t xml:space="preserve">(M)17605148800 </t>
  </si>
  <si>
    <t>江苏省扬州市邗江区凤凰桥东巷20号1幢203室</t>
  </si>
  <si>
    <t>扬州恒大云锦华庭-一期-12-1003</t>
  </si>
  <si>
    <t>db2937a9-3110-4113-85b7-0305bb6c9a73</t>
  </si>
  <si>
    <t>12-1004</t>
  </si>
  <si>
    <t>余燕平</t>
  </si>
  <si>
    <t xml:space="preserve">(M)13151505576 </t>
  </si>
  <si>
    <t>江苏省扬州市广陵区曲江街道太平村桥南组11号</t>
  </si>
  <si>
    <t>以标准总价为基准计算: (两年分期付款 100% × 清尾优惠折扣 90% × 年末冲刺大优惠3 97% × 房车宝推荐折扣 96% - 网上购房总价优惠2万元 20000)</t>
  </si>
  <si>
    <t>扬州恒大云锦华庭-一期-12-1004</t>
  </si>
  <si>
    <t>Z5陈仁杰</t>
  </si>
  <si>
    <t>b37226a1-fd61-40aa-8cbd-5571ee3baf2f</t>
  </si>
  <si>
    <t>12-1101</t>
  </si>
  <si>
    <t>许信富;刘国清</t>
  </si>
  <si>
    <t>SP202011130114</t>
  </si>
  <si>
    <t xml:space="preserve"> 321011196610051238;321011196508011221 </t>
  </si>
  <si>
    <t xml:space="preserve">(M)15995117776 </t>
  </si>
  <si>
    <t>江苏省扬州市广陵区行政服务中心泰达广场12号楼;江苏省扬州市广陵区湾头镇沙联村姜庄组8号</t>
  </si>
  <si>
    <t>扬州恒大云锦华庭-一期-12-1101</t>
  </si>
  <si>
    <t>1302ddbb-38d6-44a5-b07f-8d1fd10d813f</t>
  </si>
  <si>
    <t>12-1102</t>
  </si>
  <si>
    <t>董进;王强</t>
  </si>
  <si>
    <t>SP202101030038</t>
  </si>
  <si>
    <t xml:space="preserve"> 32108419790829282X;321084197911241919 </t>
  </si>
  <si>
    <t xml:space="preserve">(M)15651056578 </t>
  </si>
  <si>
    <t>江苏省扬州市广陵区安康路顾庄新村67幢301室;江苏省扬州市广陵区安康路顾庄新村67幢301室</t>
  </si>
  <si>
    <t>以标准总价为基准计算: (普通商业按揭 100% × 年末冲刺大优惠 95% × 房车宝推荐折扣 96% - 网上购房总价优惠2万元 20000)</t>
  </si>
  <si>
    <t>扬州恒大云锦华庭-一期-12-1102</t>
  </si>
  <si>
    <t>52de4d83-8f88-4941-ad29-1286303b4e7e</t>
  </si>
  <si>
    <t>12-1103</t>
  </si>
  <si>
    <t>高飞</t>
  </si>
  <si>
    <t>SP202011270029</t>
  </si>
  <si>
    <t xml:space="preserve">(M)18252540308 </t>
  </si>
  <si>
    <t>江苏省扬州市广陵区泰安镇金泰村西院组4号</t>
  </si>
  <si>
    <t>扬州恒大云锦华庭-一期-12-1103</t>
  </si>
  <si>
    <t>73457488-8e39-4fdf-b1bc-f6531a93a5cf</t>
  </si>
  <si>
    <t>12-1104</t>
  </si>
  <si>
    <t>孙志祥;李朝萍</t>
  </si>
  <si>
    <t>SP202102080026</t>
  </si>
  <si>
    <t xml:space="preserve"> 321088197602174877;321088197702172967 </t>
  </si>
  <si>
    <t xml:space="preserve">(M)15952582648 </t>
  </si>
  <si>
    <t>江苏省江都市邵伯镇南渡村南二组7号;江苏省江都市邵伯镇南渡村南二组7号</t>
  </si>
  <si>
    <t>以标准总价为基准计算: (普通商业按揭 100% × 清尾优惠折扣 90% × 年末冲刺大优惠3 97% × 自然到访优惠 96% - 网上购房总价优惠2万元 20000)</t>
  </si>
  <si>
    <t>扬州恒大云锦华庭-一期-12-1104</t>
  </si>
  <si>
    <t>b53134ec-8f2f-473e-987b-dafe7c873b73</t>
  </si>
  <si>
    <t>12-1201</t>
  </si>
  <si>
    <t>吴元宵</t>
  </si>
  <si>
    <t>SP202012210147</t>
  </si>
  <si>
    <t xml:space="preserve"> 32108419970413671X </t>
  </si>
  <si>
    <t xml:space="preserve">(M)17605145217 </t>
  </si>
  <si>
    <t>扬州市瘦西湖景苑14幢103室</t>
  </si>
  <si>
    <t>扬州恒大云锦华庭-一期-12-1201</t>
  </si>
  <si>
    <t>430c9f76-1de1-4929-82b5-7111242af1c6</t>
  </si>
  <si>
    <t>12-1202</t>
  </si>
  <si>
    <t>汪文齐;陈云霞</t>
  </si>
  <si>
    <t>SP202011120152</t>
  </si>
  <si>
    <t xml:space="preserve"> 320828197910283836;320925198412113923 </t>
  </si>
  <si>
    <t xml:space="preserve">(M)15161448466 </t>
  </si>
  <si>
    <t>江苏省扬州市生态新城杭集镇双隆村纪东组20号;江苏省扬州市生态新城杭集镇双隆村纪东组20号</t>
  </si>
  <si>
    <t>扬州恒大云锦华庭-一期-12-1202</t>
  </si>
  <si>
    <t>40f85667-0b72-4231-a22f-ded5842d9f1d</t>
  </si>
  <si>
    <t>12-1203</t>
  </si>
  <si>
    <t>张玉红;张成松</t>
  </si>
  <si>
    <t>SP202011120222</t>
  </si>
  <si>
    <t xml:space="preserve"> 321088198107146945;32108819771202735X </t>
  </si>
  <si>
    <t xml:space="preserve">(M)18796621283 </t>
  </si>
  <si>
    <t>江苏省扬州市江都区浦头镇环镇东路112号;江苏省扬州市江都区浦头镇环镇东路112号</t>
  </si>
  <si>
    <t>扬州恒大云锦华庭-一期-12-1203</t>
  </si>
  <si>
    <t>fe375d08-89f9-4669-84fb-85c7a1b9939c</t>
  </si>
  <si>
    <t>12-1204</t>
  </si>
  <si>
    <t>鲍雯雯;刘桂华</t>
  </si>
  <si>
    <t>SP202101260049</t>
  </si>
  <si>
    <t xml:space="preserve"> 321084199601132847;32108819960428485X </t>
  </si>
  <si>
    <t xml:space="preserve">(M)18021715867 </t>
  </si>
  <si>
    <t>江苏省高邮市卸甲镇陈堡村七组65号;江苏省扬州市江都区邵伯镇梁庄村砖桥组11号</t>
  </si>
  <si>
    <t>刘培</t>
  </si>
  <si>
    <t>以标准总价为基准计算: (两年分期付款 100% × 年末冲刺大优惠3 97% × 房车宝推荐折扣 96% × 清尾优惠折扣 97% - 网上购房总价优惠2万元 20000)</t>
  </si>
  <si>
    <t>扬州恒大云锦华庭-一期-12-1204</t>
  </si>
  <si>
    <t>3204d7ac-9723-4070-85c1-a1d4caaeac91</t>
  </si>
  <si>
    <t>12-1301</t>
  </si>
  <si>
    <t>刘逸飞;姚兰</t>
  </si>
  <si>
    <t>SP202012160008</t>
  </si>
  <si>
    <t xml:space="preserve"> 321011200002121510;321002197412143383 </t>
  </si>
  <si>
    <t xml:space="preserve">(M)13092009948 </t>
  </si>
  <si>
    <t>江苏省扬州市邗江区黄金坝路75号佳家北园17幢805室;江苏省扬州市邗江区史可法路28号1幢306室</t>
  </si>
  <si>
    <t>扬州恒大云锦华庭-一期-12-1301</t>
  </si>
  <si>
    <t>6c446d6d-9e69-4ece-acf2-668258312188</t>
  </si>
  <si>
    <t>12-1302</t>
  </si>
  <si>
    <t>韦正东;胡国銮</t>
  </si>
  <si>
    <t>SP202102080025</t>
  </si>
  <si>
    <t xml:space="preserve"> 321084197801155219;321023197811294826 </t>
  </si>
  <si>
    <t xml:space="preserve">(M)15050787188 </t>
  </si>
  <si>
    <t>江苏省高邮市临泽镇蒋颜村三组65号;江苏省高邮市临泽镇蒋颜村三组65号</t>
  </si>
  <si>
    <t>Z韩倩倩</t>
  </si>
  <si>
    <t>扬州恒大云锦华庭-一期-12-1302</t>
  </si>
  <si>
    <t>7dff930e-da97-4664-a619-6b2c0e20fa60</t>
  </si>
  <si>
    <t>12-1303</t>
  </si>
  <si>
    <t>刘敏;冯凌飞</t>
  </si>
  <si>
    <t>SP202011130152</t>
  </si>
  <si>
    <t xml:space="preserve"> 321027198107296924;321027198012046914 </t>
  </si>
  <si>
    <t xml:space="preserve">(M)18952740648 </t>
  </si>
  <si>
    <t>江苏省扬州市广陵区杭集镇裔庙村三星组23号;江苏省扬州市广陵区杭集镇裔庙村三星组23号</t>
  </si>
  <si>
    <t>扬州恒大云锦华庭-一期-12-1303</t>
  </si>
  <si>
    <t>c583991d-db66-4f2a-b4d1-d0c2a7fdaeb7</t>
  </si>
  <si>
    <t>12-1304</t>
  </si>
  <si>
    <t>张德伟;胡雪磊</t>
  </si>
  <si>
    <t>SP202012110066</t>
  </si>
  <si>
    <t xml:space="preserve"> 321027198611146933;320321198406052441 </t>
  </si>
  <si>
    <t xml:space="preserve">(M)13813141509 </t>
  </si>
  <si>
    <t>江苏省扬州市广陵区杭集镇王桥村庙桥组12号;江苏省扬州市广陵区杭集镇王桥村庙桥组12号</t>
  </si>
  <si>
    <t>扬州恒大云锦华庭-一期-12-1304</t>
  </si>
  <si>
    <t>80e6d9db-08ad-4b43-9e66-fecb2da4e4c1</t>
  </si>
  <si>
    <t>12-1401</t>
  </si>
  <si>
    <t>范月会;段永昌</t>
  </si>
  <si>
    <t>SP202102080036</t>
  </si>
  <si>
    <t xml:space="preserve"> 320722198206297741;320722198004077716 </t>
  </si>
  <si>
    <t xml:space="preserve">(M)15952505623 </t>
  </si>
  <si>
    <t>江苏省东海县平明镇安营村11-29号;江苏省东海县平明镇安营村11-29号</t>
  </si>
  <si>
    <t>以标准总价为基准计算: (普通商业按揭 100% × 清尾优惠折扣 90% × 年末冲刺大优惠3 97% × 房车宝推荐折扣 96% - 网上购房总价优惠2万元 20000)</t>
  </si>
  <si>
    <t>扬州恒大云锦华庭-一期-12-1401</t>
  </si>
  <si>
    <t>f289f2b1-0000-4cb1-ba4b-749d9af0c7a1</t>
  </si>
  <si>
    <t>12-1402</t>
  </si>
  <si>
    <t>严翔宇</t>
  </si>
  <si>
    <t>SP202011120179</t>
  </si>
  <si>
    <t xml:space="preserve">(M)18021316930 </t>
  </si>
  <si>
    <t>江苏省扬州市广陵区杭集镇新生村严桥组4号</t>
  </si>
  <si>
    <t>渠道推介-老业主推荐</t>
  </si>
  <si>
    <t>扬州恒大云锦华庭-一期-12-1402</t>
  </si>
  <si>
    <t>34cd24c9-9825-4ad1-8d85-4276d4f0531e</t>
  </si>
  <si>
    <t>12-1403</t>
  </si>
  <si>
    <t>刁建楼;沈秀娟</t>
  </si>
  <si>
    <t>SP202011120193</t>
  </si>
  <si>
    <t xml:space="preserve"> 321027198704026631;320882198712303843 </t>
  </si>
  <si>
    <t xml:space="preserve">(M)15852884316 </t>
  </si>
  <si>
    <t>扬州市生态科技新城广陵区泰安镇金泰村陈西组4号;扬州市生态科技新城广陵区泰安镇金泰村陈西组4号</t>
  </si>
  <si>
    <t>扬州恒大云锦华庭-一期-12-1403</t>
  </si>
  <si>
    <t>6434b6dc-8154-41ec-8b93-9abd65d0fbbb</t>
  </si>
  <si>
    <t>12-1404</t>
  </si>
  <si>
    <t>杨正</t>
  </si>
  <si>
    <t>SP202102200009</t>
  </si>
  <si>
    <t xml:space="preserve">(M)18036818413 </t>
  </si>
  <si>
    <t>江苏省扬州市江都区小纪镇朱合村石家组15号</t>
  </si>
  <si>
    <t>以标准总价为基准计算: (两年分期付款 100% × 清尾优惠折扣 96% × 自然到访优惠 96% × 年末冲刺大优惠3 97% - 网上购房总价优惠2万元 20000)</t>
  </si>
  <si>
    <t>扬州恒大云锦华庭-一期-12-1404</t>
  </si>
  <si>
    <t>2536776c-d6aa-412b-a120-1989e6ba3512</t>
  </si>
  <si>
    <t>12-1501</t>
  </si>
  <si>
    <t>陈爱琴;华兴</t>
  </si>
  <si>
    <t>SP202011270030</t>
  </si>
  <si>
    <t xml:space="preserve"> 321023199003285023;321023198910111815 </t>
  </si>
  <si>
    <t xml:space="preserve">(M)18136600399 </t>
  </si>
  <si>
    <t>扬州市宝应县蓝爵庄园5#1203;扬州市宝应县蓝爵庄园5#1203</t>
  </si>
  <si>
    <t>扬州恒大云锦华庭-一期-12-1501</t>
  </si>
  <si>
    <t>8c158248-fbcf-46e8-8d30-a1bf9fd14f5a</t>
  </si>
  <si>
    <t>12-1502</t>
  </si>
  <si>
    <t>尤俊</t>
  </si>
  <si>
    <t>SP202012090020</t>
  </si>
  <si>
    <t xml:space="preserve">(M)15052508716 </t>
  </si>
  <si>
    <t>扬州市和昌运河湾4-1201</t>
  </si>
  <si>
    <t>扬州恒大云锦华庭-一期-12-1502</t>
  </si>
  <si>
    <t>0d2b3b79-7afc-4b33-97fc-d3f8232e8e9f</t>
  </si>
  <si>
    <t>12-1503</t>
  </si>
  <si>
    <t>姚琴;梁明锦</t>
  </si>
  <si>
    <t>SP202012220082</t>
  </si>
  <si>
    <t xml:space="preserve"> 321027197806267829;321027197403100610 </t>
  </si>
  <si>
    <t xml:space="preserve">(M)18061835626 </t>
  </si>
  <si>
    <t>江苏省扬州市开发区兴城东路98号南宝带新村26幢504室;江苏省扬州市开发区兴城东路98号南宝带新村26幢504室</t>
  </si>
  <si>
    <t>唐宏亮</t>
  </si>
  <si>
    <t>以标准总价为基准计算: ((普通组合贷款 100% × 年末冲刺大优惠 95% × 房车宝推荐折扣 96% - 恒房通购房券优惠 10000) - 网上购房总价优惠2万元 20000)</t>
  </si>
  <si>
    <t>扬州恒大云锦华庭-一期-12-1503</t>
  </si>
  <si>
    <t>HFTM3734139183</t>
  </si>
  <si>
    <t>e1b7ff89-5be4-4f8d-a40f-61a12274378a</t>
  </si>
  <si>
    <t>12-1504</t>
  </si>
  <si>
    <t>刘广祥;贾晨</t>
  </si>
  <si>
    <t>SP202101280068</t>
  </si>
  <si>
    <t xml:space="preserve"> 321027198902106931;321027199201016989 </t>
  </si>
  <si>
    <t xml:space="preserve">(M)16605140210 </t>
  </si>
  <si>
    <t>江苏省扬州市广陵区杭集镇龙王村朱庄组44号;江苏省扬州市广陵区杭集镇王桥村韦庄组16号</t>
  </si>
  <si>
    <t>以标准总价为基准计算: (两年分期付款 100% × 清尾优惠折扣 95% × 年末冲刺大优惠3 97% × 房车宝推荐折扣 96% - 网上购房总价优惠2万元 20000)</t>
  </si>
  <si>
    <t>兼职销售(不结佣)</t>
  </si>
  <si>
    <t>扬州恒大云锦华庭-一期-12-1504</t>
  </si>
  <si>
    <t>6e029c3b-68cf-4e35-abfe-48e0301748cd</t>
  </si>
  <si>
    <t>12-1601</t>
  </si>
  <si>
    <t>刁品标;冯芳</t>
  </si>
  <si>
    <t xml:space="preserve"> 321023197001300219;321023197606080423 </t>
  </si>
  <si>
    <t xml:space="preserve">(M)15952528568 </t>
  </si>
  <si>
    <t>江苏省宝应县朱家巷47-3号;江苏省宝应县朱家巷47-3号</t>
  </si>
  <si>
    <t>以标准总价为基准计算: (两年分期付款 100% × 清尾优惠折扣 90% × 年末冲刺大优惠2 96% × 自然到访优惠 96% - 网上购房总价优惠2万元 20000)</t>
  </si>
  <si>
    <t>扬州恒大云锦华庭-一期-12-1601</t>
  </si>
  <si>
    <t>ZY陈仁杰</t>
  </si>
  <si>
    <t>3b4001b9-0e4e-473a-9f58-458753d09557</t>
  </si>
  <si>
    <t>12-1602</t>
  </si>
  <si>
    <t>柏文峰</t>
  </si>
  <si>
    <t>SP202012080177</t>
  </si>
  <si>
    <t xml:space="preserve"> 32102619771019485X </t>
  </si>
  <si>
    <t xml:space="preserve">(M)13773552398 </t>
  </si>
  <si>
    <t>江苏省江都市邵伯镇公路村孙庄组38号</t>
  </si>
  <si>
    <t>扬州恒大云锦华庭-一期-12-1602</t>
  </si>
  <si>
    <t>67fea483-9e40-4053-aa61-56672ea16acc</t>
  </si>
  <si>
    <t>12-1603</t>
  </si>
  <si>
    <t>李珊珊;陈鹏</t>
  </si>
  <si>
    <t>SP202012220230</t>
  </si>
  <si>
    <t xml:space="preserve"> 321088198811164346;321011198701171218 </t>
  </si>
  <si>
    <t xml:space="preserve">(M)15062839727 </t>
  </si>
  <si>
    <t>江苏省扬州市广陵区湾头镇天福花园8幢203;江苏省扬州市广陵区湾头镇天福花园8幢203</t>
  </si>
  <si>
    <t>扬州恒大云锦华庭-一期-12-1603</t>
  </si>
  <si>
    <t>b4d82075-2d4c-4ff4-b66f-257c81246e51</t>
  </si>
  <si>
    <t>12-1604</t>
  </si>
  <si>
    <t>王倩妮</t>
  </si>
  <si>
    <t>SP202103070004</t>
  </si>
  <si>
    <t xml:space="preserve">(M)18652548297 </t>
  </si>
  <si>
    <t>江苏省扬州市广陵区汤汪乡高桥村束二组26号</t>
  </si>
  <si>
    <t>以标准总价为基准计算: (两年分期付款 100% × 清尾优惠折扣 93% × 年末冲刺大优惠3 97% × 自然到访优惠 96% - 网上购房总价优惠2万元 20000)</t>
  </si>
  <si>
    <t>扬州恒大云锦华庭-一期-12-1604</t>
  </si>
  <si>
    <t>Z姜恒</t>
  </si>
  <si>
    <t>8bfefc50-1275-450e-93b2-40895fbb32ac</t>
  </si>
  <si>
    <t>12-1701</t>
  </si>
  <si>
    <t>周才良</t>
  </si>
  <si>
    <t>SP202101190113</t>
  </si>
  <si>
    <t xml:space="preserve">(M)18862090228 </t>
  </si>
  <si>
    <t>江苏省响水县响水镇幸福南路怡园小区78号</t>
  </si>
  <si>
    <t>以标准总价为基准计算: ((两年分期付款 100% × 年末冲刺大优惠2 96% × 房车宝推荐折扣 96% - 网上购房总价优惠2万元 20000) - 恒房通购房券优惠 10000)</t>
  </si>
  <si>
    <t>扬州恒大云锦华庭-一期-12-1701</t>
  </si>
  <si>
    <t>EAF9715668CFE0A0</t>
  </si>
  <si>
    <t>20b2bb4d-e83a-4a0e-b989-9ec89af85c03</t>
  </si>
  <si>
    <t>12-1702</t>
  </si>
  <si>
    <t>王沿</t>
  </si>
  <si>
    <t>SP202012160043</t>
  </si>
  <si>
    <t xml:space="preserve">(M)18305254300 </t>
  </si>
  <si>
    <t>江苏省扬州市江都区大桥镇光明村年丰组1号</t>
  </si>
  <si>
    <t>以标准总价为基准计算: (普通商业按揭 100% - 总价优惠 -5246)</t>
  </si>
  <si>
    <t>扬州恒大云锦华庭-一期-12-1702</t>
  </si>
  <si>
    <t>6bf48960-73d2-46f9-8358-d0ff0103a2be</t>
  </si>
  <si>
    <t>12-1703</t>
  </si>
  <si>
    <t>张建新;张益玲</t>
  </si>
  <si>
    <t>SP202011130081</t>
  </si>
  <si>
    <t xml:space="preserve"> 320802198506122054;320882198512205421 </t>
  </si>
  <si>
    <t xml:space="preserve">(M)18036770070 </t>
  </si>
  <si>
    <t>淮安市清江浦区生态文旅区中天翡丽湾小区36#1404;淮安市清江浦区生态文旅区中天翡丽湾小区36#1404</t>
  </si>
  <si>
    <t>扬州恒大云锦华庭-一期-12-1703</t>
  </si>
  <si>
    <t>8d78ab5d-6bca-432d-b5dc-427308866c11</t>
  </si>
  <si>
    <t>12-1704</t>
  </si>
  <si>
    <t>王开勇;王静</t>
  </si>
  <si>
    <t>SP202103070138</t>
  </si>
  <si>
    <t xml:space="preserve"> 321023198311175016;320925198601196123 </t>
  </si>
  <si>
    <t xml:space="preserve">(M)18360845483 </t>
  </si>
  <si>
    <t>江苏省宝应县柳堡镇团庄村王家组41号;江苏省宝应县柳堡镇团庄村王家组41号</t>
  </si>
  <si>
    <t>扬州恒大云锦华庭-一期-12-1704</t>
  </si>
  <si>
    <t>2f72a384-598b-4dd7-bc2b-40486a9e646a</t>
  </si>
  <si>
    <t>12-1801</t>
  </si>
  <si>
    <t>林望京;徐诗兰</t>
  </si>
  <si>
    <t>SP202103050214</t>
  </si>
  <si>
    <t xml:space="preserve"> 321027197304086016;342422197401157802 </t>
  </si>
  <si>
    <t xml:space="preserve">(M)13303408257 </t>
  </si>
  <si>
    <t>江苏省扬州市邗江区沙头镇人民滩村七组11号;江苏省主要是邗江区沙头镇人民滩村七组11号</t>
  </si>
  <si>
    <t>房超</t>
  </si>
  <si>
    <t>以标准总价为基准计算: (((普通商业按揭（首付5成） 100% × 网购优惠折扣 90% × 一口价首顶层优惠 77% - 网上购房总价优惠 30000) - 房车宝购房券优惠 10000) - 注册南瓜会员优惠 20000)</t>
  </si>
  <si>
    <t>扬州恒大云锦华庭-一期-12-1801</t>
  </si>
  <si>
    <t>31BAF08689C17D45</t>
  </si>
  <si>
    <t>78D8DC72BF394B3D</t>
  </si>
  <si>
    <t>AE618D6E8FDB2BF6</t>
  </si>
  <si>
    <t>fb3388a3-4eaa-4351-ac2b-edfb4c619d04</t>
  </si>
  <si>
    <t>12-1802</t>
  </si>
  <si>
    <t>徐庆佳</t>
  </si>
  <si>
    <t>SP202102190063</t>
  </si>
  <si>
    <t xml:space="preserve">(M)18112145155 </t>
  </si>
  <si>
    <t>江苏省扬州市江都区长江东路149号</t>
  </si>
  <si>
    <t>扬州恒大云锦华庭-一期-12-1802</t>
  </si>
  <si>
    <t>ce8fafd4-91bf-47c6-b734-2c1e02dafd03</t>
  </si>
  <si>
    <t>12-1803</t>
  </si>
  <si>
    <t>赵润泽</t>
  </si>
  <si>
    <t>SP202102080046</t>
  </si>
  <si>
    <t xml:space="preserve">(M)18360349857 </t>
  </si>
  <si>
    <t>江苏省洪泽县高良涧街道办事处砚台村砚台南路88号</t>
  </si>
  <si>
    <t>以标准总价为基准计算: (普通组合贷款 100% × 清尾优惠折扣 95% × 年末冲刺大优惠3 97% × 房车宝推荐折扣 96% - 网上购房总价优惠2万元 20000)</t>
  </si>
  <si>
    <t>扬州恒大云锦华庭-一期-12-1803</t>
  </si>
  <si>
    <t>54e14cf8-1b1c-40f6-8d6c-699203748595</t>
  </si>
  <si>
    <t>12-1804</t>
  </si>
  <si>
    <t>杨蕾</t>
  </si>
  <si>
    <t>SP202103190168</t>
  </si>
  <si>
    <t xml:space="preserve"> 32108819941112514X </t>
  </si>
  <si>
    <t xml:space="preserve">(M)18936254359 </t>
  </si>
  <si>
    <t>江苏省江都市邵伯镇渌洋湖村扬西九组36号</t>
  </si>
  <si>
    <t>以标准总价为基准计算: (普通商业按揭（首付5成） 100% × 网购优惠折扣 90% × 一口价首顶层优惠 85% - 网上购房总价优惠 30000)</t>
  </si>
  <si>
    <t>扬州恒大云锦华庭-一期-12-1804</t>
  </si>
  <si>
    <t>Z4陈仁杰</t>
  </si>
  <si>
    <t>b05f25bf-c040-4deb-8e12-c3389e2f9744</t>
  </si>
  <si>
    <t>12-201</t>
  </si>
  <si>
    <t>崔晓东</t>
  </si>
  <si>
    <t xml:space="preserve">  </t>
  </si>
  <si>
    <t xml:space="preserve">(M)13952537620 </t>
  </si>
  <si>
    <t>江苏省扬州市广陵区渡江南路46号7幢601室</t>
  </si>
  <si>
    <t>扬州恒大云锦华庭-一期-12-201</t>
  </si>
  <si>
    <t>4b6bb2dd-a71f-4b99-8e5d-df5c84f6d795</t>
  </si>
  <si>
    <t>12-202</t>
  </si>
  <si>
    <t>张培;高华娟</t>
  </si>
  <si>
    <t>SP202012230005</t>
  </si>
  <si>
    <t xml:space="preserve"> 321027198901296614;36022219850901442X </t>
  </si>
  <si>
    <t xml:space="preserve">(M)17372727897 </t>
  </si>
  <si>
    <t>江苏省扬州市广陵区泰安镇金泰东路学府小区045号;江苏省扬州市广陵区泰安镇金泰东路学府小区045号</t>
  </si>
  <si>
    <t>以标准总价为基准计算: ((普通组合贷款 100% × 佣金抵房款 98% × 年末冲刺大优惠 95% × 房车宝推荐折扣 96% - 网上购房总价优惠2万元 20000) - 恒房通购房券优惠 10000)</t>
  </si>
  <si>
    <t>扬州恒大云锦华庭-一期-12-202</t>
  </si>
  <si>
    <t>HFTM4610268034</t>
  </si>
  <si>
    <t>ccd5ea3b-7455-4104-ad13-4a1a42bec89b</t>
  </si>
  <si>
    <t>12-203</t>
  </si>
  <si>
    <t>徐祥;高华婷</t>
  </si>
  <si>
    <t>SP202012230004</t>
  </si>
  <si>
    <t xml:space="preserve"> 321027198804196611;360222198709114425 </t>
  </si>
  <si>
    <t xml:space="preserve">(M)15252790298 </t>
  </si>
  <si>
    <t>江苏省扬州市广陵区泰安镇金泰村西胡组5号;江苏省扬州市广陵区泰州镇金泰村西胡组5号</t>
  </si>
  <si>
    <t>以标准总价为基准计算: ((普通商业按揭 100% × 年末冲刺大优惠 95% × 房车宝推荐折扣 96% × 佣金抵房款 98.4% - 网上购房总价优惠2万元 20000) - 恒房通购房券优惠 10000)</t>
  </si>
  <si>
    <t>扬州恒大云锦华庭-一期-12-203</t>
  </si>
  <si>
    <t>29F8F0D323CC6743</t>
  </si>
  <si>
    <t>48e02fa2-4d63-4daf-8aa3-db39273fd234</t>
  </si>
  <si>
    <t>12-204</t>
  </si>
  <si>
    <t>李辰鑫</t>
  </si>
  <si>
    <t>SP202101200068</t>
  </si>
  <si>
    <t xml:space="preserve">(M)13356751993 </t>
  </si>
  <si>
    <t>扬州广陵区扬霍路168号</t>
  </si>
  <si>
    <t>以标准总价为基准计算: ((首付优惠按揭付款 100% × 年末冲刺大优惠2 96% × 自然到访优惠 96% - 网上购房总价优惠2万元 20000) - 恒房通购房券优惠 10000)</t>
  </si>
  <si>
    <t>扬州恒大云锦华庭-一期-12-204</t>
  </si>
  <si>
    <t>4C5F7324BB0F6CED</t>
  </si>
  <si>
    <t>9f4c6c07-0a02-4c54-8530-3774e6e35822</t>
  </si>
  <si>
    <t>12-301</t>
  </si>
  <si>
    <t>龚双文;蔡银秋</t>
  </si>
  <si>
    <t>SP202102080014</t>
  </si>
  <si>
    <t xml:space="preserve"> 421126198006144852;421126198506084761 </t>
  </si>
  <si>
    <t xml:space="preserve">(M)13625210491 </t>
  </si>
  <si>
    <t>江苏省扬州市江都区大桥镇福润花苑3-102;</t>
  </si>
  <si>
    <t>以标准总价为基准计算: (普通组合贷款 100% × 清尾优惠折扣 92% × 自然到访优惠 96% × 年末冲刺大优惠3 97% - 网上购房总价优惠2万元 20000)</t>
  </si>
  <si>
    <t>扬州恒大云锦华庭-一期-12-301</t>
  </si>
  <si>
    <t>ac319a04-1c80-463a-98ae-6722afad8cb5</t>
  </si>
  <si>
    <t>12-302</t>
  </si>
  <si>
    <t>钱玉莲;周广普</t>
  </si>
  <si>
    <t>SP202011270010</t>
  </si>
  <si>
    <t xml:space="preserve"> 420381197909207949;320829197505102014 </t>
  </si>
  <si>
    <t xml:space="preserve">(M)18112147860 </t>
  </si>
  <si>
    <t>湖北省丹江口市土台乡石门沟村１组８号;江苏省扬州市江都区邵伯镇甘棠路101号32幢104室</t>
  </si>
  <si>
    <t>扬州恒大云锦华庭-一期-12-302</t>
  </si>
  <si>
    <t>de60dfe2-335f-4148-8989-dd217c59faa6</t>
  </si>
  <si>
    <t>12-303</t>
  </si>
  <si>
    <t>范恩年</t>
  </si>
  <si>
    <t>SP202101210025</t>
  </si>
  <si>
    <t xml:space="preserve">(M)13773540451 </t>
  </si>
  <si>
    <t>江苏省扬州市广陵区盐阜东路6号治淮新村30幢207室</t>
  </si>
  <si>
    <t>以标准总价为基准计算: ((普通商业按揭 100% × 年末冲刺大优惠 96% × 房车宝推荐折扣 96% - 网上购房总价优惠2万元 20000) - 恒房通购房券优惠 10000)</t>
  </si>
  <si>
    <t>扬州恒大云锦华庭-一期-12-303</t>
  </si>
  <si>
    <t>D6A766AC265FC147</t>
  </si>
  <si>
    <t>28e4ee10-952e-4a48-b5a0-e67264909033</t>
  </si>
  <si>
    <t>12-304</t>
  </si>
  <si>
    <t>缪光辉</t>
  </si>
  <si>
    <t xml:space="preserve">(M)13701193846 </t>
  </si>
  <si>
    <t>江苏省江都市小纪镇纪西村家桥组36号</t>
  </si>
  <si>
    <t>以标准总价为基准计算: (两年分期付款 100% × 年末冲刺大优惠3 99% × 房车宝推荐折扣 96% × 清尾优惠折扣 91% - 网上购房总价优惠2万元 20000)</t>
  </si>
  <si>
    <t>扬州恒大云锦华庭-一期-12-304</t>
  </si>
  <si>
    <t>17b65af5-2ba5-4c18-beaf-931ab5e9ec75</t>
  </si>
  <si>
    <t>12-401</t>
  </si>
  <si>
    <t>郭琦;高长萍</t>
  </si>
  <si>
    <t>SP202104090056</t>
  </si>
  <si>
    <t xml:space="preserve"> 321002199306195816;321023199606075228 </t>
  </si>
  <si>
    <t xml:space="preserve">(M)18932372860 </t>
  </si>
  <si>
    <t>江苏省扬州市广陵区南门外大街63号;江苏省宝应县安宜镇刘堡村鲁庄组55号</t>
  </si>
  <si>
    <t>以标准总价为基准计算: (普通组合贷款 100% × 清尾优惠折扣 93% × 年末冲刺大优惠3 97% × 房车宝推荐折扣 96% - 网上购房总价优惠2万元 20000)</t>
  </si>
  <si>
    <t>扬州恒大云锦华庭-一期-12-401</t>
  </si>
  <si>
    <t>4f830009-20f5-4d6e-b26c-2e6865a5a983</t>
  </si>
  <si>
    <t>12-402</t>
  </si>
  <si>
    <t>李玉兰;胡玉军</t>
  </si>
  <si>
    <t>SP202011260047</t>
  </si>
  <si>
    <t xml:space="preserve"> 321027197702196624;321027197611286632 </t>
  </si>
  <si>
    <t xml:space="preserve">(M)13358121351 </t>
  </si>
  <si>
    <t>江苏省扬州市广陵区泰安镇金泰村泰安组59号;江苏省扬州市广陵区泰安镇金泰村泰安组59号</t>
  </si>
  <si>
    <t>扬州恒大云锦华庭-一期-12-402</t>
  </si>
  <si>
    <t>a77eeb26-c8ac-4ae4-8f95-2b1c5333d254</t>
  </si>
  <si>
    <t>12-403</t>
  </si>
  <si>
    <t>贾学军;晏梅;贾成华</t>
  </si>
  <si>
    <t>SP202012210140</t>
  </si>
  <si>
    <t xml:space="preserve"> 321023198306182633;32102319580902262X;32102319551227261X </t>
  </si>
  <si>
    <t xml:space="preserve">(M)15366907373 </t>
  </si>
  <si>
    <t>扬州市君悦蓝庭22-1106;扬州市君悦蓝庭22-1106;扬州市君悦蓝庭22-1106</t>
  </si>
  <si>
    <t>扬州恒大云锦华庭-一期-12-403</t>
  </si>
  <si>
    <t>4d5cb056-8cc0-49f8-a7d7-89af37e49292</t>
  </si>
  <si>
    <t>12-404</t>
  </si>
  <si>
    <t>吴佳力</t>
  </si>
  <si>
    <t>SP202102240108</t>
  </si>
  <si>
    <t xml:space="preserve">(M)13773394269 </t>
  </si>
  <si>
    <t>江苏省扬州市江都区大桥镇三义村姚沟组2号</t>
  </si>
  <si>
    <t>扬州恒大云锦华庭-一期-12-404</t>
  </si>
  <si>
    <t>6b77a1cf-b29c-4e1a-8048-fe4c21be3c49</t>
  </si>
  <si>
    <t>12-501</t>
  </si>
  <si>
    <t>徐晓宇</t>
  </si>
  <si>
    <t>SP202012220111</t>
  </si>
  <si>
    <t xml:space="preserve"> 32108819880214671x </t>
  </si>
  <si>
    <t xml:space="preserve">(M)13997069508 </t>
  </si>
  <si>
    <t>江苏省江都区浦头镇长流路89号</t>
  </si>
  <si>
    <t>以标准总价为基准计算: ((普通商业按揭 100% × 房车宝推荐折扣 96% × 年末冲刺大优惠 95% - 恒房通购房券优惠 10000) - 网上购房总价优惠2万元 20000)</t>
  </si>
  <si>
    <t>扬州恒大云锦华庭-一期-12-501</t>
  </si>
  <si>
    <t>HFTM776072263</t>
  </si>
  <si>
    <t>b00d0b7c-769e-4ec8-8efc-50c5319931f7</t>
  </si>
  <si>
    <t>12-502</t>
  </si>
  <si>
    <t>夏小兵;蒋红兰</t>
  </si>
  <si>
    <t>SP202011260030</t>
  </si>
  <si>
    <t xml:space="preserve"> 321083197211278255;321083197709015022 </t>
  </si>
  <si>
    <t xml:space="preserve">(M)13815909198 </t>
  </si>
  <si>
    <t>江苏省兴化市美饰街68号;江苏省兴化市美饰街68号</t>
  </si>
  <si>
    <t>扬州恒大云锦华庭-一期-12-502</t>
  </si>
  <si>
    <t>a4fe5a5b-3458-433e-8757-863d12e5df21</t>
  </si>
  <si>
    <t>12-503</t>
  </si>
  <si>
    <t>龚振;朱青</t>
  </si>
  <si>
    <t>SP202011260034</t>
  </si>
  <si>
    <t xml:space="preserve"> 321027198612135777;320826198502163423 </t>
  </si>
  <si>
    <t xml:space="preserve">(M)13323665528 </t>
  </si>
  <si>
    <t>河南省卢氏县城关镇八一路一街坊12号;江苏省涟水县朱码镇文俊村圩里组24号</t>
  </si>
  <si>
    <t>扬州恒大云锦华庭-一期-12-503</t>
  </si>
  <si>
    <t>446dd9e6-c809-419f-b9ac-8b5c7c8675db</t>
  </si>
  <si>
    <t>12-504</t>
  </si>
  <si>
    <t>马思羽</t>
  </si>
  <si>
    <t xml:space="preserve">(M)13805250978 </t>
  </si>
  <si>
    <t>江苏省扬州市江都区人民路26号503室</t>
  </si>
  <si>
    <t>以标准总价为基准计算: (两年分期付款 100% × 清尾优惠折扣 91% × 年末冲刺大优惠3 99% × 自然到访优惠 96% - 网上购房总价优惠2万元 20000)</t>
  </si>
  <si>
    <t>扬州恒大云锦华庭-一期-12-504</t>
  </si>
  <si>
    <t>eebf5822-f31f-4294-b1f5-38ad669d5fc1</t>
  </si>
  <si>
    <t>12-601</t>
  </si>
  <si>
    <t>赵发;刘冬梅</t>
  </si>
  <si>
    <t>SP202012080079</t>
  </si>
  <si>
    <t xml:space="preserve"> 321088198204074859;321088198512205566 </t>
  </si>
  <si>
    <t xml:space="preserve">(M)15366420484 </t>
  </si>
  <si>
    <t>江苏省扬州市江都区邵伯镇高蓬村柏庄组67号;江苏省江都市邵伯镇高蓬村柏庄组67号</t>
  </si>
  <si>
    <t>扬州恒大云锦华庭-一期-12-601</t>
  </si>
  <si>
    <t>ffefdfbd-f892-4c64-b48e-36d011353e1b</t>
  </si>
  <si>
    <t>12-602</t>
  </si>
  <si>
    <t>林志军;秦小妹</t>
  </si>
  <si>
    <t>SP202011270070</t>
  </si>
  <si>
    <t xml:space="preserve"> 321011198406071214;321324198804023021 </t>
  </si>
  <si>
    <t xml:space="preserve">(M)17501591288 </t>
  </si>
  <si>
    <t>江苏省扬州市广陵区江广智慧城慧景苑6幢804室;江苏省扬州市广陵区江广智慧城慧景苑6幢804室</t>
  </si>
  <si>
    <t>扬州恒大云锦华庭-一期-12-602</t>
  </si>
  <si>
    <t>91d53638-eb7c-4a92-afc0-dea6e235c1fa</t>
  </si>
  <si>
    <t>12-603</t>
  </si>
  <si>
    <t>李万里;汪艳</t>
  </si>
  <si>
    <t>SP202011130079</t>
  </si>
  <si>
    <t xml:space="preserve"> 32038219861015363X;320724199210090927 </t>
  </si>
  <si>
    <t xml:space="preserve">(M)13338853531 </t>
  </si>
  <si>
    <t>扬州市杭集镇九圩路2-3;江苏省灌南县张店镇马台村三组255号</t>
  </si>
  <si>
    <t>扬州恒大云锦华庭-一期-12-603</t>
  </si>
  <si>
    <t>79b2a1a7-031c-4bda-9fb2-ec808a172900</t>
  </si>
  <si>
    <t>12-604</t>
  </si>
  <si>
    <t>唐俊;韩春梅</t>
  </si>
  <si>
    <t>SP202102260061</t>
  </si>
  <si>
    <t xml:space="preserve"> 321088198708270319;450330198404051344 </t>
  </si>
  <si>
    <t xml:space="preserve">(M)13813152668 </t>
  </si>
  <si>
    <t>江苏省扬州市江都区小纪镇纪西村北河组42号;江苏省扬州市江都区小纪镇纪西村北河组42号</t>
  </si>
  <si>
    <t>Z房超</t>
  </si>
  <si>
    <t>以标准总价为基准计算: (首付优惠按揭付款 100% × 清尾优惠折扣 96% × 年末冲刺大优惠3 97% × 房车宝推荐折扣 96% - 网上购房总价优惠2万元 20000)</t>
  </si>
  <si>
    <t>扬州恒大云锦华庭-一期-12-604</t>
  </si>
  <si>
    <t>bf423630-7313-4d5f-9e94-b1306f579548</t>
  </si>
  <si>
    <t>12-701</t>
  </si>
  <si>
    <t>向圣雄;任爱民</t>
  </si>
  <si>
    <t>SP202011130016</t>
  </si>
  <si>
    <t xml:space="preserve"> 511226197901196803;321088197802274856 </t>
  </si>
  <si>
    <t xml:space="preserve">(M)18136467093 </t>
  </si>
  <si>
    <t>扬州市江都区邵伯镇高蓬村柏庄组62号;江苏省江都市邵伯镇高蓬村柏庄组62号</t>
  </si>
  <si>
    <t>扬州恒大云锦华庭-一期-12-701</t>
  </si>
  <si>
    <t>f380cc7f-16ed-4b1d-bd3e-e130b32c5589</t>
  </si>
  <si>
    <t>12-702</t>
  </si>
  <si>
    <t>李吉祥;李竹青</t>
  </si>
  <si>
    <t>SP202011130146</t>
  </si>
  <si>
    <t xml:space="preserve"> 32108819800805413X;321088197911034149 </t>
  </si>
  <si>
    <t xml:space="preserve">(M)18115118809 </t>
  </si>
  <si>
    <t>江苏省扬州市江都区郭村镇振兴路10－5号;江苏省扬州市江都区郭村镇振兴路10－5号</t>
  </si>
  <si>
    <t>扬州恒大云锦华庭-一期-12-702</t>
  </si>
  <si>
    <t>2991dc69-750b-4a3b-ad20-db7be57f82d7</t>
  </si>
  <si>
    <t>12-703</t>
  </si>
  <si>
    <t>王俊;翟云霞</t>
  </si>
  <si>
    <t>SP202012020016</t>
  </si>
  <si>
    <t xml:space="preserve"> 32108819700203693X;321088197203153446 </t>
  </si>
  <si>
    <t xml:space="preserve">(M)13338149996 </t>
  </si>
  <si>
    <t>江苏省扬州市江都区浦头镇王庄村新民组8号;江苏省江都市浦头镇扬子路96号203室</t>
  </si>
  <si>
    <t>扬州恒大云锦华庭-一期-12-703</t>
  </si>
  <si>
    <t>4ef43c6e-8b7b-4c40-ad2d-dc8f66838526</t>
  </si>
  <si>
    <t>12-704</t>
  </si>
  <si>
    <t>李德喜</t>
  </si>
  <si>
    <t>SP202102210037</t>
  </si>
  <si>
    <t xml:space="preserve">(M)13815832788 </t>
  </si>
  <si>
    <t>江苏省扬州市邗江区沙头镇中兴村王家组29号</t>
  </si>
  <si>
    <t>以标准总价为基准计算: (两年分期付款 100% × 清尾优惠折扣 92% × 年末冲刺大优惠3 99% × 房车宝推荐折扣 96% - 网上购房总价优惠2万元 20000)</t>
  </si>
  <si>
    <t>扬州恒大云锦华庭-一期-12-704</t>
  </si>
  <si>
    <t>ebe5d236-e524-40e7-b077-40fb968150a2</t>
  </si>
  <si>
    <t>12-801</t>
  </si>
  <si>
    <t>郭春霞</t>
  </si>
  <si>
    <t>SP202101250079</t>
  </si>
  <si>
    <t xml:space="preserve">(M)15262239780 </t>
  </si>
  <si>
    <t>扬州市杭集镇新生村王庄</t>
  </si>
  <si>
    <t>以标准总价为基准计算: (两年分期付款 100% × 清尾优惠折扣 96% × 年末冲刺大优惠3 97% × 房车宝推荐折扣 96% - 网上购房总价优惠2万元 20000)</t>
  </si>
  <si>
    <t>扬州恒大云锦华庭-一期-12-801</t>
  </si>
  <si>
    <t>38529505-5979-496e-b77f-c7f32e06bbb3</t>
  </si>
  <si>
    <t>12-802</t>
  </si>
  <si>
    <t>周远安</t>
  </si>
  <si>
    <t>SP202011270079</t>
  </si>
  <si>
    <t xml:space="preserve">(M)13116718585 </t>
  </si>
  <si>
    <t>江苏省杭州市拱墅区康园路16号隽维中心C座230室</t>
  </si>
  <si>
    <t>扬州恒大云锦华庭-一期-12-802</t>
  </si>
  <si>
    <t>18d8006d-e533-4b93-8167-c3b1b67f2c2b</t>
  </si>
  <si>
    <t>12-803</t>
  </si>
  <si>
    <t>张善利;许峰</t>
  </si>
  <si>
    <t>SP202011130011</t>
  </si>
  <si>
    <t xml:space="preserve"> 321026197611303408;321088197503244315 </t>
  </si>
  <si>
    <t xml:space="preserve">(M)15952564159 </t>
  </si>
  <si>
    <t>江苏省扬州市江都区郭村镇南荀村许巷组13号;江苏省江都市郭村镇南荀村许巷组13号</t>
  </si>
  <si>
    <t>扬州恒大云锦华庭-一期-12-803</t>
  </si>
  <si>
    <t>39228849-c6ee-4ed2-89eb-69a8d5ed14a8</t>
  </si>
  <si>
    <t>12-804</t>
  </si>
  <si>
    <t>倪祥林;林红梅</t>
  </si>
  <si>
    <t>SP202011260119</t>
  </si>
  <si>
    <t xml:space="preserve"> 321088197606050054;321027197902196928 </t>
  </si>
  <si>
    <t xml:space="preserve">(M)15861367230 </t>
  </si>
  <si>
    <t>江苏省扬州市邗江区杭集镇新生村孙庄组37号;江苏省扬州市广陵区杭集镇新生村孙庄组37号</t>
  </si>
  <si>
    <t>扬州恒大云锦华庭-一期-12-804</t>
  </si>
  <si>
    <t>d6f27c85-bc73-4a4c-ad99-f9eee6240f29</t>
  </si>
  <si>
    <t>12-901</t>
  </si>
  <si>
    <t>屠磊</t>
  </si>
  <si>
    <t>SP202012030066</t>
  </si>
  <si>
    <t xml:space="preserve">(M)13235271708 </t>
  </si>
  <si>
    <t>扬州市广陵区杭集镇车五小区105号</t>
  </si>
  <si>
    <t>扬州恒大云锦华庭-一期-12-901</t>
  </si>
  <si>
    <t>f810fbfa-95f0-493b-bc79-eec45b381994</t>
  </si>
  <si>
    <t>12-902</t>
  </si>
  <si>
    <t>张杰</t>
  </si>
  <si>
    <t>SP202012030052</t>
  </si>
  <si>
    <t xml:space="preserve">(M)18368497494 </t>
  </si>
  <si>
    <t>扬州市江都区仙女镇北国新村</t>
  </si>
  <si>
    <t>扬州恒大云锦华庭-一期-12-902</t>
  </si>
  <si>
    <t>9548fc60-2779-4262-8b86-fe948280462f</t>
  </si>
  <si>
    <t>12-903</t>
  </si>
  <si>
    <t>张勇;张子晨</t>
  </si>
  <si>
    <t>SP202012030077</t>
  </si>
  <si>
    <t xml:space="preserve"> 321081196607117530;321081199609247818 </t>
  </si>
  <si>
    <t xml:space="preserve">(M)15949093130 </t>
  </si>
  <si>
    <t>江苏省仪征市胥浦沿河四村16#506;江苏省仪征市胥浦沿河四村16#506</t>
  </si>
  <si>
    <t>扬州恒大云锦华庭-一期-12-903</t>
  </si>
  <si>
    <t>13dedf3b-6be6-4242-b4dd-af765bb44d89</t>
  </si>
  <si>
    <t>12-904</t>
  </si>
  <si>
    <t>李清</t>
  </si>
  <si>
    <t>SP202101270221</t>
  </si>
  <si>
    <t xml:space="preserve">(M)15094364505 </t>
  </si>
  <si>
    <t>江苏省扬州市江都区引江路35号</t>
  </si>
  <si>
    <t>以标准总价为基准计算: (普通组合贷款 100% × 清尾优惠折扣 94% × 年末冲刺大优惠3 97% × 房车宝推荐折扣 96% - 网上购房总价优惠2万元 20000)</t>
  </si>
  <si>
    <t>扬州恒大云锦华庭-一期-12-904</t>
  </si>
  <si>
    <t>240377d9-778d-4f5d-b717-f3f8d0609843</t>
  </si>
  <si>
    <t>2-1001</t>
  </si>
  <si>
    <t>刘之剑;安新梅</t>
  </si>
  <si>
    <t>SP202012030048</t>
  </si>
  <si>
    <t xml:space="preserve"> 321088197912246135;642102197809092466 </t>
  </si>
  <si>
    <t xml:space="preserve">(M)18921946975 </t>
  </si>
  <si>
    <t>江苏省江都市吴桥镇红河村友爱组30号;江苏省扬州市江都区吴桥镇红河村友爱组30号</t>
  </si>
  <si>
    <t>扬州恒大云锦华庭-一期-2-1001</t>
  </si>
  <si>
    <t>8568f667-00b6-4a73-8d8a-65299784ba23</t>
  </si>
  <si>
    <t>2-1002</t>
  </si>
  <si>
    <t>张晓宇</t>
  </si>
  <si>
    <t>SP202103040113</t>
  </si>
  <si>
    <t xml:space="preserve">(M)13390657369 </t>
  </si>
  <si>
    <t>江苏省淮安市淮安区三堡乡陈庄村一组32号</t>
  </si>
  <si>
    <t>以标准总价为基准计算: 两年分期付款 100% × 渠道折扣 98% × 开盘额外优惠 97%</t>
  </si>
  <si>
    <t>扬州恒大云锦华庭-一期-2-1002</t>
  </si>
  <si>
    <t>dd5e45f2-7b9e-4956-ad70-2cef4acd1db3</t>
  </si>
  <si>
    <t>2-1003</t>
  </si>
  <si>
    <t>王雨璐</t>
  </si>
  <si>
    <t>SP202012230122</t>
  </si>
  <si>
    <t xml:space="preserve">(M)18952786008 </t>
  </si>
  <si>
    <t>江苏省扬州市广陵区康山街24-4号</t>
  </si>
  <si>
    <t>扬州恒大云锦华庭-一期-2-1003</t>
  </si>
  <si>
    <t>c3957a08-9c7d-4b1d-9d70-e43ee10266b8</t>
  </si>
  <si>
    <t>2-1004</t>
  </si>
  <si>
    <t>徐华凯</t>
  </si>
  <si>
    <t>SP202101280100</t>
  </si>
  <si>
    <t xml:space="preserve">(M)13813178360 </t>
  </si>
  <si>
    <t>江苏省扬州市邗江区杨庙镇花瓶村花桥组8号</t>
  </si>
  <si>
    <t>以标准总价为基准计算: (普通商业按揭 100% × 清尾优惠折扣 95% × 年末冲刺大优惠2 96% × 房车宝推荐折扣 96% - 网上购房总价优惠2万元 20000)</t>
  </si>
  <si>
    <t>扬州恒大云锦华庭-一期-2-1004</t>
  </si>
  <si>
    <t>d8566537-cf2f-4f94-b43a-2da545fc8443</t>
  </si>
  <si>
    <t>2-104</t>
  </si>
  <si>
    <t>唐朝</t>
  </si>
  <si>
    <t>SP202103240041</t>
  </si>
  <si>
    <t xml:space="preserve">(M)13665213530 </t>
  </si>
  <si>
    <t>江苏省扬州市邗江区老虎山路4-9号</t>
  </si>
  <si>
    <t>扬州恒大云锦华庭-一期-2-104</t>
  </si>
  <si>
    <t>1cc5f43e-d318-46bc-b2e7-a25490c9c50f</t>
  </si>
  <si>
    <t>2-1101</t>
  </si>
  <si>
    <t>蒋存英;唐卫华</t>
  </si>
  <si>
    <t>SP202011130017</t>
  </si>
  <si>
    <t xml:space="preserve"> 321002198003055520;370826198104031678 </t>
  </si>
  <si>
    <t xml:space="preserve">(M)13773573705 </t>
  </si>
  <si>
    <t>江苏省扬州市广陵区沙北四村6-103;江苏省扬州市广陵区沙北四村6-103</t>
  </si>
  <si>
    <t>扬州恒大云锦华庭-一期-2-1101</t>
  </si>
  <si>
    <t>8b2f0260-6fd4-497a-a48b-968f92b3a6bf</t>
  </si>
  <si>
    <t>2-1102</t>
  </si>
  <si>
    <t>刘逸</t>
  </si>
  <si>
    <t>SP202104280065</t>
  </si>
  <si>
    <t xml:space="preserve">(M)13270506792 </t>
  </si>
  <si>
    <t>江苏省扬州市江都区邵伯镇高蓬村红旗一组6号</t>
  </si>
  <si>
    <t>以标准总价为基准计算: 两年分期付款 100% × 渠道折扣 98%</t>
  </si>
  <si>
    <t>扬州恒大云锦华庭-一期-2-1102</t>
  </si>
  <si>
    <t>bf4c8249-716c-48c4-9059-1fe111d1187b</t>
  </si>
  <si>
    <t>2-1103</t>
  </si>
  <si>
    <t>周玉涵;索家敏</t>
  </si>
  <si>
    <t>SP202011130090</t>
  </si>
  <si>
    <t xml:space="preserve"> 321023199705031642;321023199507044012 </t>
  </si>
  <si>
    <t xml:space="preserve">(M)18936462686 </t>
  </si>
  <si>
    <t>江苏省宝应县夏集镇果园村同心组15号;江苏省宝应县夏集镇双琚村索墩组36号</t>
  </si>
  <si>
    <t>扬州恒大云锦华庭-一期-2-1103</t>
  </si>
  <si>
    <t>29e5b0e5-19f0-43bd-984d-f541cde554d5</t>
  </si>
  <si>
    <t>2-1104</t>
  </si>
  <si>
    <t>孙旋;周晓春</t>
  </si>
  <si>
    <t>SP202102280095</t>
  </si>
  <si>
    <t xml:space="preserve"> 320324198907212123;321084199003276111 </t>
  </si>
  <si>
    <t xml:space="preserve">(M)15050764992 </t>
  </si>
  <si>
    <t>江苏省扬州市广陵区秦邮南路翠月东苑22栋1105;江苏省扬州市广陵区秦邮南路翠月东苑22栋1105</t>
  </si>
  <si>
    <t>以标准总价为基准计算: (普通商业按揭 100% × 年末冲刺大优惠2 96% × 房车宝推荐折扣 97% × 清尾优惠折扣 92% - 网上购房总价优惠2万元 20000)</t>
  </si>
  <si>
    <t>扬州恒大云锦华庭-一期-2-1104</t>
  </si>
  <si>
    <t>740f654e-cfd8-4a09-8921-b23339420d46</t>
  </si>
  <si>
    <t>2-1201</t>
  </si>
  <si>
    <t>顾晋洋</t>
  </si>
  <si>
    <t>SP202011270038</t>
  </si>
  <si>
    <t xml:space="preserve">(M)18635592672 </t>
  </si>
  <si>
    <t>扬州市广陵区头桥镇西贝电子</t>
  </si>
  <si>
    <t>扬州恒大云锦华庭-一期-2-1201</t>
  </si>
  <si>
    <t>9c14f209-4b16-44a3-b251-9fd48f23b466</t>
  </si>
  <si>
    <t>2-1202</t>
  </si>
  <si>
    <t>郭正娟;王玉明</t>
  </si>
  <si>
    <t>SP202011120117</t>
  </si>
  <si>
    <t xml:space="preserve"> 321022197706094623;321084197502244414 </t>
  </si>
  <si>
    <t xml:space="preserve">(M)18786748221 </t>
  </si>
  <si>
    <t>江苏省高邮市三垛镇司徒村13组32号;江苏省高邮市三垛镇司徒村十三组32号</t>
  </si>
  <si>
    <t>扬州恒大云锦华庭-一期-2-1202</t>
  </si>
  <si>
    <t>446e9705-b7e1-4fcd-8db5-723f49a241d3</t>
  </si>
  <si>
    <t>2-1203</t>
  </si>
  <si>
    <t>秦定和;童兆坤</t>
  </si>
  <si>
    <t>SP202012150122</t>
  </si>
  <si>
    <t xml:space="preserve"> 32108819650228816X;321088196412048154 </t>
  </si>
  <si>
    <t xml:space="preserve">(M)13805258999 </t>
  </si>
  <si>
    <t>江苏省扬州市江都区香江滨江园8幢903;江苏省江都市仙女镇三和村顾一组28号</t>
  </si>
  <si>
    <t>扬州恒大云锦华庭-一期-2-1203</t>
  </si>
  <si>
    <t>a73cf7a6-72b9-4c92-b1cd-933e7a439ae9</t>
  </si>
  <si>
    <t>2-1204</t>
  </si>
  <si>
    <t>张慧</t>
  </si>
  <si>
    <t>SP202101270220</t>
  </si>
  <si>
    <t xml:space="preserve">(M)18901455349 </t>
  </si>
  <si>
    <t>江苏省扬州市江都区浦头镇建安北路10号</t>
  </si>
  <si>
    <t>扬州恒大云锦华庭-一期-2-1204</t>
  </si>
  <si>
    <t>fe3f7fcd-f5d8-4ac0-bb44-2a3077358c48</t>
  </si>
  <si>
    <t>2-1301</t>
  </si>
  <si>
    <t>吴善明;高玉萍</t>
  </si>
  <si>
    <t>SP202012020021</t>
  </si>
  <si>
    <t xml:space="preserve"> 321088197512105253;321088197810085262 </t>
  </si>
  <si>
    <t xml:space="preserve">(M)13338148613 </t>
  </si>
  <si>
    <t>江苏省江都市丁伙镇西环路磊燕百货;江苏省江都市丁伙镇丁南村新风组30号</t>
  </si>
  <si>
    <t>尹阿慧</t>
  </si>
  <si>
    <t>扬州恒大云锦华庭-一期-2-1301</t>
  </si>
  <si>
    <t>5cd80054-ca2e-47fb-883d-71361fbc7683</t>
  </si>
  <si>
    <t>2-1302</t>
  </si>
  <si>
    <t>SP202011130051</t>
  </si>
  <si>
    <t xml:space="preserve">(M)15861312637 (O)15995837324 </t>
  </si>
  <si>
    <t>江苏省扬州市广陵区泰安镇金湾村曹庄组22号</t>
  </si>
  <si>
    <t>扬州恒大云锦华庭-一期-2-1302</t>
  </si>
  <si>
    <t>e4cc0640-e7bf-44ce-b4ed-df496f6bfb97</t>
  </si>
  <si>
    <t>2-1303</t>
  </si>
  <si>
    <t>王菊兰;王云鹤</t>
  </si>
  <si>
    <t>SP202011260038</t>
  </si>
  <si>
    <t xml:space="preserve"> 32102719721024604X;321027197109135417 </t>
  </si>
  <si>
    <t xml:space="preserve">(M)13615245175 </t>
  </si>
  <si>
    <t>江苏省扬州市邗江区李典镇新滩村新滩组4号;江苏省扬州市邗江区李典镇新滩村新滩组4号</t>
  </si>
  <si>
    <t>扬州恒大云锦华庭-一期-2-1303</t>
  </si>
  <si>
    <t>2cb22b72-420f-4c6d-8b4a-5abef43b81b7</t>
  </si>
  <si>
    <t>2-1304</t>
  </si>
  <si>
    <t>李兆晨</t>
  </si>
  <si>
    <t>SP202101260195</t>
  </si>
  <si>
    <t xml:space="preserve">(M)15655091010 </t>
  </si>
  <si>
    <t>江苏省扬州市广陵区大草小区14幢605室</t>
  </si>
  <si>
    <t>以标准总价为基准计算: (普通组合贷款 100% × 清尾优惠折扣 92% × 年末冲刺大优惠2 96% × 房车宝推荐折扣 96% - 网上购房总价优惠2万元 20000)</t>
  </si>
  <si>
    <t>扬州恒大云锦华庭-一期-2-1304</t>
  </si>
  <si>
    <t>b8792ab4-6263-470a-859c-59e4e1db61a9</t>
  </si>
  <si>
    <t>2-1401</t>
  </si>
  <si>
    <t>段永昌;范月会</t>
  </si>
  <si>
    <t>SP202102060034</t>
  </si>
  <si>
    <t xml:space="preserve"> 320722198004077716;320722198206297741 </t>
  </si>
  <si>
    <t xml:space="preserve">(M)15952516161 </t>
  </si>
  <si>
    <t>江苏省高邮市汤庄镇汉留村汉中路2号;江苏省高邮市汤庄镇汉留村汉中路2号</t>
  </si>
  <si>
    <t>以标准总价为基准计算: (普通商业按揭 100% × 年末冲刺大优惠3 97% × 房车宝推荐折扣 96% × 清尾优惠折扣 90% - 网上购房总价优惠2万元 20000)</t>
  </si>
  <si>
    <t>扬州恒大云锦华庭-一期-2-1401</t>
  </si>
  <si>
    <t>c56324b6-1f11-4e83-a424-72d2c1854b55</t>
  </si>
  <si>
    <t>2-1402</t>
  </si>
  <si>
    <t>龚圣兰;刘建冬</t>
  </si>
  <si>
    <t>SP202012030047</t>
  </si>
  <si>
    <t xml:space="preserve"> 321088198605017126;321088198701036132 </t>
  </si>
  <si>
    <t xml:space="preserve">(M)15052544773 </t>
  </si>
  <si>
    <t>江苏省扬州市江都区吴桥镇红河村友爱组54号;江苏省扬州市江都区吴桥镇红河村友爱组54号</t>
  </si>
  <si>
    <t>扬州恒大云锦华庭-一期-2-1402</t>
  </si>
  <si>
    <t>c7ceaa8a-ec79-4924-bcfd-51cc45cb2723</t>
  </si>
  <si>
    <t>2-1403</t>
  </si>
  <si>
    <t>孙保玉;杨艳玲</t>
  </si>
  <si>
    <t>SP202101100134</t>
  </si>
  <si>
    <t xml:space="preserve"> 341282197809124371;342129198110044341 </t>
  </si>
  <si>
    <t xml:space="preserve">(M)15861337783 </t>
  </si>
  <si>
    <t>安徽省界首市陶庙镇黄庄行政村孙大庄177号;安徽省界首市陶庙镇黄庄行政村孙大庄177号</t>
  </si>
  <si>
    <t>印浩</t>
  </si>
  <si>
    <t>以标准总价为基准计算: (普通商业按揭 100% × 渠道折扣 99% - 总价优惠 -4703) × 佣金抵房款 98%</t>
  </si>
  <si>
    <t>扬州恒大云锦华庭-一期-2-1403</t>
  </si>
  <si>
    <t>416ebe62-dda8-4fe3-bef0-6b03f747adf3</t>
  </si>
  <si>
    <t>2-1404</t>
  </si>
  <si>
    <t>杭超</t>
  </si>
  <si>
    <t xml:space="preserve">(M)13773376533 </t>
  </si>
  <si>
    <t>江苏省扬州市江都区龙川北路世纪花园130幢一单元1408室</t>
  </si>
  <si>
    <t>以标准总价为基准计算: (两年优惠分期付款（适用2、3、5、6、7、8、9栋） 100% × 房车宝推荐折扣 96% × 年末冲刺大优惠3 97% × 清尾优惠折扣 90% - 网上购房总价优惠2万元 20000)</t>
  </si>
  <si>
    <t>扬州恒大云锦华庭-一期-2-1404</t>
  </si>
  <si>
    <t>Z5房超</t>
  </si>
  <si>
    <t>6e0273a8-116a-4e96-aeff-815662b053cd</t>
  </si>
  <si>
    <t>2-1501</t>
  </si>
  <si>
    <t>季贤峰;郭丽丽</t>
  </si>
  <si>
    <t>SP202012150098</t>
  </si>
  <si>
    <t xml:space="preserve"> 321027198503276917;321027198501286927 </t>
  </si>
  <si>
    <t xml:space="preserve">(M)17768559769 </t>
  </si>
  <si>
    <t>江苏省扬州市广陵区杭集镇徐桥小区232号;江苏省扬州市广陵区杭集镇徐桥小区232号</t>
  </si>
  <si>
    <t>扬州恒大云锦华庭-一期-2-1501</t>
  </si>
  <si>
    <t>3bd71166-fe52-47db-9f45-871f1a57f84a</t>
  </si>
  <si>
    <t>2-1502</t>
  </si>
  <si>
    <t>李艳芬;徐峰</t>
  </si>
  <si>
    <t>SP202012030042</t>
  </si>
  <si>
    <t xml:space="preserve"> 410802197712052541;321027197706256313 </t>
  </si>
  <si>
    <t xml:space="preserve">(M)15305277335 </t>
  </si>
  <si>
    <t>江苏省扬州市广陵区泰达MSD行政服务中心10楼1005;江苏省扬州市邗江区润扬中路100号奥都花城2幢506室</t>
  </si>
  <si>
    <t>扬州恒大云锦华庭-一期-2-1502</t>
  </si>
  <si>
    <t>2cbb0e7c-a40a-4348-825b-e92d4a760960</t>
  </si>
  <si>
    <t>2-1503</t>
  </si>
  <si>
    <t>周霞;门艳庄</t>
  </si>
  <si>
    <t>SP202011120102</t>
  </si>
  <si>
    <t xml:space="preserve"> 321088199003223963;410224198905063255 </t>
  </si>
  <si>
    <t xml:space="preserve">(M)18118232830 </t>
  </si>
  <si>
    <t>扬州市江都区丁沟镇麾村兴民小区;扬州市江都区丁沟镇麾村兴民小区</t>
  </si>
  <si>
    <t>扬州恒大云锦华庭-一期-2-1503</t>
  </si>
  <si>
    <t>85d24b3d-2e90-4113-a050-bc90ab37b59e</t>
  </si>
  <si>
    <t>2-1504</t>
  </si>
  <si>
    <t>夏永久;李红</t>
  </si>
  <si>
    <t>SP202012150103</t>
  </si>
  <si>
    <t xml:space="preserve"> 321027198109026979;340824198310256028 </t>
  </si>
  <si>
    <t xml:space="preserve">(M)13852723131 </t>
  </si>
  <si>
    <t>江苏省扬州市广陵区杭集镇双隆新桥小区;江苏省扬州市广陵区杭集镇双隆村夏港组27号</t>
  </si>
  <si>
    <t>扬州恒大云锦华庭-一期-2-1504</t>
  </si>
  <si>
    <t>fdb07753-e92c-44eb-816a-4d13860cfece</t>
  </si>
  <si>
    <t>2-1601</t>
  </si>
  <si>
    <t>陈雪华</t>
  </si>
  <si>
    <t>SP202012190031</t>
  </si>
  <si>
    <t xml:space="preserve">(M)13813145633 </t>
  </si>
  <si>
    <t>江苏省扬州市广陵区杭集镇杭庄54号</t>
  </si>
  <si>
    <t>扬州恒大云锦华庭-一期-2-1601</t>
  </si>
  <si>
    <t>bc4cdef4-20b0-4e81-ba35-b4837c40e659</t>
  </si>
  <si>
    <t>2-1602</t>
  </si>
  <si>
    <t>刘凯;孙颖</t>
  </si>
  <si>
    <t>SP202012030009</t>
  </si>
  <si>
    <t xml:space="preserve"> 321088198711115774;321088199010147129 </t>
  </si>
  <si>
    <t xml:space="preserve">(M)15252556586 </t>
  </si>
  <si>
    <t>扬州市江都区皇剑广场2005室;扬州市江都区皇剑广场2005室</t>
  </si>
  <si>
    <t>扬州恒大云锦华庭-一期-2-1602</t>
  </si>
  <si>
    <t>74fcd02d-03fe-4127-b3d8-a34c1e83f6b4</t>
  </si>
  <si>
    <t>2-1603</t>
  </si>
  <si>
    <t>顾伟</t>
  </si>
  <si>
    <t>SP202012310013</t>
  </si>
  <si>
    <t xml:space="preserve">(M)13358128889 </t>
  </si>
  <si>
    <t>扬州市邗江区西湖镇万科翡翠云山17-104</t>
  </si>
  <si>
    <t>扬州恒大云锦华庭-一期-2-1603</t>
  </si>
  <si>
    <t>ba00b975-5b94-4471-91d0-cc8332d2de1f</t>
  </si>
  <si>
    <t>2-1604</t>
  </si>
  <si>
    <t>赵玉龙;陈燕</t>
  </si>
  <si>
    <t>SP202101300011</t>
  </si>
  <si>
    <t xml:space="preserve"> 321011197610211232;321027197603086948 </t>
  </si>
  <si>
    <t xml:space="preserve">(M)15952752753 </t>
  </si>
  <si>
    <t>江苏省扬州市广陵区翠月西苑11栋305;江苏省扬州市广陵区翠月西苑11栋305</t>
  </si>
  <si>
    <t>扬州恒大云锦华庭-一期-2-1604</t>
  </si>
  <si>
    <t>18b06309-123a-48cb-a1ce-ccdaa0cda2da</t>
  </si>
  <si>
    <t>2-1702</t>
  </si>
  <si>
    <t>周苏华</t>
  </si>
  <si>
    <t>SP202012150088</t>
  </si>
  <si>
    <t xml:space="preserve">(M)13852208011 </t>
  </si>
  <si>
    <t>江苏省江都市龙城路133号</t>
  </si>
  <si>
    <t>扬州恒大云锦华庭-一期-2-1702</t>
  </si>
  <si>
    <t>1666f5ad-bdb4-4048-a6d1-55db27e515e3</t>
  </si>
  <si>
    <t>2-1703</t>
  </si>
  <si>
    <t>刘惠琴</t>
  </si>
  <si>
    <t>SP202012260045</t>
  </si>
  <si>
    <t xml:space="preserve">(M)13064887098 </t>
  </si>
  <si>
    <t>江苏省扬州市开发区开发西路99号金湖湾墅园21幢302室</t>
  </si>
  <si>
    <t>扬州恒大云锦华庭-一期-2-1703</t>
  </si>
  <si>
    <t>6c33ed79-3e97-4041-8c66-d1d39c1660c8</t>
  </si>
  <si>
    <t>2-1704</t>
  </si>
  <si>
    <t>郭夕芳;刘国忠</t>
  </si>
  <si>
    <t>SP202012220102</t>
  </si>
  <si>
    <t xml:space="preserve"> 321084197209221926;321027196907276615 </t>
  </si>
  <si>
    <t xml:space="preserve">(M)15952734926 </t>
  </si>
  <si>
    <t>江苏省扬州市邗江区泰安镇金泰村东丁组35号;江苏省扬州市邗江区泰安镇金泰村东丁组35号</t>
  </si>
  <si>
    <t>以标准总价为基准计算: ((一次性付款 99% × 年末冲刺大优惠 95% × 房车宝推荐折扣 96% - 网上购房总价优惠2万元 20000) - 恒房通购房券优惠 10000)</t>
  </si>
  <si>
    <t>扬州恒大云锦华庭-一期-2-1704</t>
  </si>
  <si>
    <t>f5d3dca9-a084-4b06-a844-f308fe5946bc</t>
  </si>
  <si>
    <t>2-1801</t>
  </si>
  <si>
    <t>陈宏星</t>
  </si>
  <si>
    <t>SP202102280022</t>
  </si>
  <si>
    <t xml:space="preserve">(M)13801458503 </t>
  </si>
  <si>
    <t>江苏省扬州市文昌花园文盛苑90幢102室</t>
  </si>
  <si>
    <t>以标准总价为基准计算: (两年优惠分期付款（适用2、3、5、6、7、8、9栋） 100% × 清尾优惠折扣 92% × 年末冲刺大优惠3 97% × 房车宝推荐折扣 96% - 网上购房总价优惠2万元 20000)</t>
  </si>
  <si>
    <t>扬州恒大云锦华庭-一期-2-1801</t>
  </si>
  <si>
    <t>71f963d1-1ec1-411b-9f4c-ced4a284331b</t>
  </si>
  <si>
    <t>2-1802</t>
  </si>
  <si>
    <t>龚兆万</t>
  </si>
  <si>
    <t>SP202101270060</t>
  </si>
  <si>
    <t xml:space="preserve">(M)13852200618 </t>
  </si>
  <si>
    <t>江苏省江都市大桥镇波斯路66号</t>
  </si>
  <si>
    <t>Z刘培</t>
  </si>
  <si>
    <t>以标准总价为基准计算: ((两年分期付款 100% × 年末冲刺大优惠2 96% × 房车宝推荐折扣 96% × 清尾优惠折扣 96% - 恒房通购房券优惠 10000) - 网上购房总价优惠2万元 20000)</t>
  </si>
  <si>
    <t>扬州恒大云锦华庭-一期-2-1802</t>
  </si>
  <si>
    <t>01938E074E40CB3</t>
  </si>
  <si>
    <t>a514e110-f34f-441f-b7c0-ef959ee41679</t>
  </si>
  <si>
    <t>2-1803</t>
  </si>
  <si>
    <t>张建</t>
  </si>
  <si>
    <t>SP202101270223</t>
  </si>
  <si>
    <t xml:space="preserve">(M)13775538937 </t>
  </si>
  <si>
    <t>江苏省镇江市京口区江滨新村30号15幢203室</t>
  </si>
  <si>
    <t>以标准总价为基准计算: (两年优惠分期付款（适用2、3、5、6、7、8、9栋） 100% × 清尾优惠折扣 96% × 年末冲刺大优惠2 96% × 房车宝推荐折扣 96% - 网上购房总价优惠2万元 20000)</t>
  </si>
  <si>
    <t>扬州恒大云锦华庭-一期-2-1803</t>
  </si>
  <si>
    <t>dedd8d53-1d37-4322-a77c-b6e8af30e45d</t>
  </si>
  <si>
    <t>2-1804</t>
  </si>
  <si>
    <t>赵静</t>
  </si>
  <si>
    <t>SP202102080060</t>
  </si>
  <si>
    <t xml:space="preserve">(M)13962943770 </t>
  </si>
  <si>
    <t>江苏省高邮市卸甲镇金家村二组47号</t>
  </si>
  <si>
    <t>以标准总价为基准计算: (普通商业按揭 100% × 清尾优惠折扣 91% × 年末冲刺大优惠3 97% × 房车宝推荐折扣 96% - 网上购房总价优惠2万元 20000)</t>
  </si>
  <si>
    <t>扬州恒大云锦华庭-一期-2-1804</t>
  </si>
  <si>
    <t>87289149-e7c2-4118-8f9c-9a27629d31e0</t>
  </si>
  <si>
    <t>2-202</t>
  </si>
  <si>
    <t>郑友丹</t>
  </si>
  <si>
    <t>SP202103120060</t>
  </si>
  <si>
    <t xml:space="preserve">(M)15606533361 </t>
  </si>
  <si>
    <t>江苏省高邮市甘垛镇河口村十三组4号</t>
  </si>
  <si>
    <t>以标准总价为基准计算: (两年优惠分期付款（适用2、3、5、6、7、8、9栋） 100% × 房车宝推荐折扣 96% × 年末冲刺大优惠3 97% × 清尾优惠折扣 96% - 网上购房总价优惠2万元 20000)</t>
  </si>
  <si>
    <t>扬州恒大云锦华庭-一期-2-202</t>
  </si>
  <si>
    <t>Z2张春龙</t>
  </si>
  <si>
    <t>2d37d5fd-3ec2-4fbf-90bc-1d81f23b295a</t>
  </si>
  <si>
    <t>2-203</t>
  </si>
  <si>
    <t>苏殷鹏</t>
  </si>
  <si>
    <t>SP202103240088</t>
  </si>
  <si>
    <t xml:space="preserve">(M)18351860870 </t>
  </si>
  <si>
    <t>江苏省江都市邵伯镇桃园小区3幢502室</t>
  </si>
  <si>
    <t>以标准总价为基准计算: ((两年分期付款 100% × 房车宝推荐折扣 96% × 年末冲刺大优惠 96% - 恒房通购房券优惠 10000) - 网上购房总价优惠2万元 20000)</t>
  </si>
  <si>
    <t>扬州恒大云锦华庭-一期-2-203</t>
  </si>
  <si>
    <t>cc4a03e9-0993-40a2-9e42-916c3295bc86</t>
  </si>
  <si>
    <t>2-204</t>
  </si>
  <si>
    <t>束庆余</t>
  </si>
  <si>
    <t>SP202103310169</t>
  </si>
  <si>
    <t xml:space="preserve">(M)13701442458 </t>
  </si>
  <si>
    <t>江苏省扬州市广陵区和昌运河东郡2-204</t>
  </si>
  <si>
    <t>扬州恒大云锦华庭-一期-2-204</t>
  </si>
  <si>
    <t>60bd92d6-9506-4c54-95dc-32c23f7d1a9d</t>
  </si>
  <si>
    <t>2-302</t>
  </si>
  <si>
    <t>王璐璐;刘俊</t>
  </si>
  <si>
    <t>SP202101300144</t>
  </si>
  <si>
    <t xml:space="preserve"> 321088198604014863;321088198412304858 </t>
  </si>
  <si>
    <t xml:space="preserve">(M)13773388567 </t>
  </si>
  <si>
    <t>江苏省扬州市江都区邵伯镇红旗路73号;江苏省扬州市江都区邵伯镇红旗路73号</t>
  </si>
  <si>
    <t>扬州恒大云锦华庭-一期-2-302</t>
  </si>
  <si>
    <t>be5d7c65-1044-4561-82ea-416f7af4334a</t>
  </si>
  <si>
    <t>2-303</t>
  </si>
  <si>
    <t>赵孝顺;华春妹</t>
  </si>
  <si>
    <t>SP202101010003</t>
  </si>
  <si>
    <t xml:space="preserve"> 32108819770828509x;32108819750709510x </t>
  </si>
  <si>
    <t xml:space="preserve">(M)13524189330 </t>
  </si>
  <si>
    <t>江苏省扬州市江都市邵伯镇红岭村赵墩组44号;江苏省扬州市江都市邵伯镇红岭村赵墩组44号</t>
  </si>
  <si>
    <t>以标准总价为基准计算: (普通组合贷款 100% × 房车宝推荐折扣 96% × 年末冲刺大优惠 96% - 网上购房总价优惠2万元 20000)</t>
  </si>
  <si>
    <t>扬州恒大云锦华庭-一期-2-303</t>
  </si>
  <si>
    <t>571c82cd-4dee-4660-8089-41b49f00d056</t>
  </si>
  <si>
    <t>2-304</t>
  </si>
  <si>
    <t>张勋先;柏广琴</t>
  </si>
  <si>
    <t>SP202102080065</t>
  </si>
  <si>
    <t xml:space="preserve"> 340823198406090812;341181198501144029 </t>
  </si>
  <si>
    <t xml:space="preserve">(M)13056355197 </t>
  </si>
  <si>
    <t>安徽省安庆市枞阳县会宫乡晓春村永东组29号;安徽省安庆市枞阳县会宫乡晓春村永东组29号</t>
  </si>
  <si>
    <t>扬州恒大云锦华庭-一期-2-304</t>
  </si>
  <si>
    <t>6398a2ab-edd6-4476-afc2-454dd9855f5e</t>
  </si>
  <si>
    <t>2-401</t>
  </si>
  <si>
    <t>刘友勇</t>
  </si>
  <si>
    <t>SP202104160063</t>
  </si>
  <si>
    <t xml:space="preserve">(M)18012149484 </t>
  </si>
  <si>
    <t>江苏省高邮市汤庄镇汤庄村十组169号</t>
  </si>
  <si>
    <t>扬州恒大云锦华庭-一期-2-401</t>
  </si>
  <si>
    <t>544f85f0-edbb-40b5-bd2f-06c450093e81</t>
  </si>
  <si>
    <t>2-402</t>
  </si>
  <si>
    <t>张菊华;毕金全</t>
  </si>
  <si>
    <t>SP202012160042</t>
  </si>
  <si>
    <t xml:space="preserve"> 321002197004182121;321002196606182415 </t>
  </si>
  <si>
    <t xml:space="preserve">(M)13773509231 </t>
  </si>
  <si>
    <t>江苏省扬州市开发区兴城西路45号梅香苑84幢502室;江苏省扬州市开发区兴城西路45号梅香苑84幢502室</t>
  </si>
  <si>
    <t>扬州恒大云锦华庭-一期-2-402</t>
  </si>
  <si>
    <t>49f28959-be60-43d5-af42-64ebda46b73e</t>
  </si>
  <si>
    <t>2-403</t>
  </si>
  <si>
    <t>陈金涧</t>
  </si>
  <si>
    <t>SP202011120128</t>
  </si>
  <si>
    <t xml:space="preserve">(M)13773408506 </t>
  </si>
  <si>
    <t>泰安镇山河村华美纸箱厂</t>
  </si>
  <si>
    <t>扬州恒大云锦华庭-一期-2-403</t>
  </si>
  <si>
    <t>c4aa96e7-34eb-47eb-810e-a08889f595ee</t>
  </si>
  <si>
    <t>2-404</t>
  </si>
  <si>
    <t>徐涛</t>
  </si>
  <si>
    <t>SP202102230155</t>
  </si>
  <si>
    <t xml:space="preserve">(M)18952722330 </t>
  </si>
  <si>
    <t>江苏省扬州市广陵区泰安镇金湾村徐湾组26号</t>
  </si>
  <si>
    <t>线下推广-短信</t>
  </si>
  <si>
    <t>扬州恒大云锦华庭-一期-2-404</t>
  </si>
  <si>
    <t>aceb6ffe-f17c-4a42-a308-42a46002be17</t>
  </si>
  <si>
    <t>2-501</t>
  </si>
  <si>
    <t>张国梅</t>
  </si>
  <si>
    <t>SP202101010163</t>
  </si>
  <si>
    <t xml:space="preserve">(M)15951053822 </t>
  </si>
  <si>
    <t>江苏省高邮市卸甲镇华东村华东组26号</t>
  </si>
  <si>
    <t>扬州恒大云锦华庭-一期-2-501</t>
  </si>
  <si>
    <t>30c357a6-7500-4dd1-a2d6-c65570349a20</t>
  </si>
  <si>
    <t>2-502</t>
  </si>
  <si>
    <t>田明珍</t>
  </si>
  <si>
    <t>SP202101010103</t>
  </si>
  <si>
    <t xml:space="preserve"> 32102719711120694X </t>
  </si>
  <si>
    <t xml:space="preserve">(M)13301452996 </t>
  </si>
  <si>
    <t>江苏省扬州市邗江区杭集镇双龙村新桥组12号</t>
  </si>
  <si>
    <t>扬州恒大云锦华庭-一期-2-502</t>
  </si>
  <si>
    <t>a270f252-d645-4070-ac93-16d0cf542a8b</t>
  </si>
  <si>
    <t>2-503</t>
  </si>
  <si>
    <t>张戴霖</t>
  </si>
  <si>
    <t>SP202012080072</t>
  </si>
  <si>
    <t xml:space="preserve">(M)13373670675 </t>
  </si>
  <si>
    <t>南京市雨花台阅城国际花园怡然园16幢1单元701</t>
  </si>
  <si>
    <t>扬州恒大云锦华庭-一期-2-503</t>
  </si>
  <si>
    <t>7bdf03e2-7336-462a-bc25-2c7ceb027f03</t>
  </si>
  <si>
    <t>2-504</t>
  </si>
  <si>
    <t>蔡兴勇;于雪梅</t>
  </si>
  <si>
    <t>SP202103210001</t>
  </si>
  <si>
    <t xml:space="preserve"> 321002197612177019;32108819771027420X </t>
  </si>
  <si>
    <t xml:space="preserve">(M)13813807241 </t>
  </si>
  <si>
    <t>江苏省江都市小纪镇华景村荷东组11号;江苏省江都市小纪镇华景村荷东组11号</t>
  </si>
  <si>
    <t>以标准总价为基准计算: (普通商业按揭 100% × 清尾优惠折扣 91% × 年末冲刺大优惠3 97% × 自然到访优惠 96% - 网上购房总价优惠2万元 20000)</t>
  </si>
  <si>
    <t>扬州恒大云锦华庭-一期-2-504</t>
  </si>
  <si>
    <t>aadf62c3-ce17-47ac-9017-8c32a411cdec</t>
  </si>
  <si>
    <t>2-601</t>
  </si>
  <si>
    <t>陈美;刘小兵</t>
  </si>
  <si>
    <t>SP202011120063</t>
  </si>
  <si>
    <t xml:space="preserve"> 321088198102233409;321088198111063413 </t>
  </si>
  <si>
    <t xml:space="preserve">(M)18036221909 </t>
  </si>
  <si>
    <t>江苏省江都市宜陵镇沙王村利民组30号;江苏省江都市宜陵镇沙王村利民组30号</t>
  </si>
  <si>
    <t>扬州恒大云锦华庭-一期-2-601</t>
  </si>
  <si>
    <t>9ef5c820-6038-47b7-bbed-69abf497aa52</t>
  </si>
  <si>
    <t>2-602</t>
  </si>
  <si>
    <t>曾理祥</t>
  </si>
  <si>
    <t>SP202012210145</t>
  </si>
  <si>
    <t xml:space="preserve">(M)18021325263 </t>
  </si>
  <si>
    <t>江苏省扬州市沙头镇红梅窗帘</t>
  </si>
  <si>
    <t>以标准总价为基准计算: (普通商业按揭 100% × 渠道折扣 98% - 总价优惠 -10915)</t>
  </si>
  <si>
    <t>扬州恒大云锦华庭-一期-2-602</t>
  </si>
  <si>
    <t>37c91758-cad0-432a-b1cb-92394ff12522</t>
  </si>
  <si>
    <t>2-603</t>
  </si>
  <si>
    <t>刘元庆;王羊</t>
  </si>
  <si>
    <t>SP202012020005</t>
  </si>
  <si>
    <t xml:space="preserve"> 321011198702121212;320921199107290084 </t>
  </si>
  <si>
    <t xml:space="preserve">(M)15161442369 </t>
  </si>
  <si>
    <t>江苏省扬州市广陵区天顺花园202幢405室;江苏省扬州市广陵区天顺花园202幢405室</t>
  </si>
  <si>
    <t>扬州恒大云锦华庭-一期-2-603</t>
  </si>
  <si>
    <t>b2a16e2e-035b-40f8-89de-7cb40400b1d7</t>
  </si>
  <si>
    <t>2-604</t>
  </si>
  <si>
    <t>瞿友胜;伍佳彤</t>
  </si>
  <si>
    <t>SP202011260112</t>
  </si>
  <si>
    <t xml:space="preserve"> 321281199112048419;321281199102148520 </t>
  </si>
  <si>
    <t xml:space="preserve">(M)15952729409 </t>
  </si>
  <si>
    <t>扬州市广陵区东方名城和园256-102;江苏省兴化市中堡镇水产村五组338号</t>
  </si>
  <si>
    <t>扬州恒大云锦华庭-一期-2-604</t>
  </si>
  <si>
    <t>057e227a-a5b5-46b4-81e4-1ecd019122c2</t>
  </si>
  <si>
    <t>2-701</t>
  </si>
  <si>
    <t>SP202012030081</t>
  </si>
  <si>
    <t xml:space="preserve">(M)18036224553 </t>
  </si>
  <si>
    <t>江苏省扬州市江都区丁沟镇中天花苑601</t>
  </si>
  <si>
    <t>扬州恒大云锦华庭-一期-2-701</t>
  </si>
  <si>
    <t>a80afc19-41b4-407a-be8a-e1164993abd3</t>
  </si>
  <si>
    <t>2-702</t>
  </si>
  <si>
    <t>张玉香</t>
  </si>
  <si>
    <t>SP202101090183</t>
  </si>
  <si>
    <t xml:space="preserve"> 34032119920119150X </t>
  </si>
  <si>
    <t xml:space="preserve">(M)15380386092 </t>
  </si>
  <si>
    <t>扬州市天顺花园206幢4单元607室</t>
  </si>
  <si>
    <t>扬州恒大云锦华庭-一期-2-702</t>
  </si>
  <si>
    <t>d93ea9f5-04d7-4529-983a-eff7bf8f0fc2</t>
  </si>
  <si>
    <t>2-703</t>
  </si>
  <si>
    <t>李万平;吴开网;吴忧</t>
  </si>
  <si>
    <t>SP202101030089</t>
  </si>
  <si>
    <t xml:space="preserve"> 321002195609240612;32101119601010122X;321002200611262443 </t>
  </si>
  <si>
    <t xml:space="preserve">(M)13040206281 </t>
  </si>
  <si>
    <t>江苏省扬州市广陵区广福花园福临苑5栋804室;江苏省扬州市广陵区广福花园福临苑5栋804室;江苏省扬州市广陵区广福花园福临苑5栋804室</t>
  </si>
  <si>
    <t>扬州恒大云锦华庭-一期-2-703</t>
  </si>
  <si>
    <t>4646188f-47f9-43a8-8447-1de9a0ab84df</t>
  </si>
  <si>
    <t>2-704</t>
  </si>
  <si>
    <t>朱明雪</t>
  </si>
  <si>
    <t>SP202101090040</t>
  </si>
  <si>
    <t xml:space="preserve"> 32102319851027341X </t>
  </si>
  <si>
    <t xml:space="preserve">(M)18061837295 (O)15995102419 </t>
  </si>
  <si>
    <t>扬州市东方名城和园220幢304室</t>
  </si>
  <si>
    <t>扬州恒大云锦华庭-一期-2-704</t>
  </si>
  <si>
    <t>45ba79d1-f73d-45d6-84c0-8c98ece08935</t>
  </si>
  <si>
    <t>2-801</t>
  </si>
  <si>
    <t>张小梅;安林</t>
  </si>
  <si>
    <t>SP202012020018</t>
  </si>
  <si>
    <t xml:space="preserve"> 320323198207054228;321011197906261212 </t>
  </si>
  <si>
    <t xml:space="preserve">(M)17348383215 </t>
  </si>
  <si>
    <t>江苏省扬州市广陵区湾头镇沙联村王西组9号;江苏省扬州市广陵区湾头镇沙联村王西组9号</t>
  </si>
  <si>
    <t>扬州恒大云锦华庭-一期-2-801</t>
  </si>
  <si>
    <t>4d223f92-5ca6-4b3e-bd6d-496b7496854d</t>
  </si>
  <si>
    <t>2-802</t>
  </si>
  <si>
    <t>王志伟;严华燕</t>
  </si>
  <si>
    <t>SP202012020074</t>
  </si>
  <si>
    <t xml:space="preserve"> 321027198309137219;320821198610200322 </t>
  </si>
  <si>
    <t xml:space="preserve">(M)15150832332 </t>
  </si>
  <si>
    <t>江苏省扬州市广陵区李典镇沿江村江湾片组31号;江苏省扬州市广陵区李典镇沿江村江湾片组31号</t>
  </si>
  <si>
    <t>扬州恒大云锦华庭-一期-2-802</t>
  </si>
  <si>
    <t>0c27b3eb-2009-4137-8a2c-f62b3ab677a5</t>
  </si>
  <si>
    <t>2-803</t>
  </si>
  <si>
    <t>彭金金;陈燕</t>
  </si>
  <si>
    <t>SP202012090061</t>
  </si>
  <si>
    <t xml:space="preserve"> 321183198303144115;321027198306086022 </t>
  </si>
  <si>
    <t xml:space="preserve">(M)13405575464 </t>
  </si>
  <si>
    <t>江苏省扬州市广陵区沙头镇再兴西路27号;江苏省扬州市广陵区沙头镇再兴西路27号</t>
  </si>
  <si>
    <t>扬州恒大云锦华庭-一期-2-803</t>
  </si>
  <si>
    <t>b331f1d0-1f3f-4441-a6c3-949570f4f8f8</t>
  </si>
  <si>
    <t>2-804</t>
  </si>
  <si>
    <t>张明鑫</t>
  </si>
  <si>
    <t>SP202011130021</t>
  </si>
  <si>
    <t xml:space="preserve">(M)17768086809 </t>
  </si>
  <si>
    <t>江苏省扬州市广陵区泰安镇金湾村曹庄组23号</t>
  </si>
  <si>
    <t>扬州恒大云锦华庭-一期-2-804</t>
  </si>
  <si>
    <t>b45b87ca-9ed2-484e-8e1e-e77d825e18a0</t>
  </si>
  <si>
    <t>2-901</t>
  </si>
  <si>
    <t>关玲;韦长荣</t>
  </si>
  <si>
    <t>SP202011270054</t>
  </si>
  <si>
    <t xml:space="preserve"> 321027197909096962;321027198002066911 </t>
  </si>
  <si>
    <t xml:space="preserve">(M)13952590910 </t>
  </si>
  <si>
    <t>江苏省扬州市广陵区杭集镇八圩村公四组1号;江苏省扬州市广陵区杭集镇八圩村公四组1号</t>
  </si>
  <si>
    <t>扬州恒大云锦华庭-一期-2-901</t>
  </si>
  <si>
    <t>522a8b9d-276d-4f55-9bf1-0f1eefebdf9e</t>
  </si>
  <si>
    <t>2-902</t>
  </si>
  <si>
    <t>张芸;王金松</t>
  </si>
  <si>
    <t>SP202012230024</t>
  </si>
  <si>
    <t xml:space="preserve"> 32108819870621556X;321088198512201215 </t>
  </si>
  <si>
    <t xml:space="preserve">(M)15949079781 </t>
  </si>
  <si>
    <t>江苏省扬州市江都区黄山路618号世纪景园18幢208室;江苏省扬州市江都区黄山路618号18幢208室</t>
  </si>
  <si>
    <t>以标准总价为基准计算: (普通商业按揭 100% × 年末冲刺大优惠 96% × 自然到访优惠 96% - 网上购房总价优惠2万元 20000)</t>
  </si>
  <si>
    <t>扬州恒大云锦华庭-一期-2-902</t>
  </si>
  <si>
    <t>159f72c1-0cfa-48e5-9afd-e8ea37d856fb</t>
  </si>
  <si>
    <t>2-903</t>
  </si>
  <si>
    <t>费道秀</t>
  </si>
  <si>
    <t>SP202012220024</t>
  </si>
  <si>
    <t xml:space="preserve">(M)17715851782 </t>
  </si>
  <si>
    <t>江苏省广陵区明发江湾城25栋603室</t>
  </si>
  <si>
    <t>以标准总价为基准计算: (一次性付款 99% × 渠道折扣 99% - 总价优惠 -4633)</t>
  </si>
  <si>
    <t>扬州恒大云锦华庭-一期-2-903</t>
  </si>
  <si>
    <t>7c63c604-07cb-419c-ad14-466862a1cc9f</t>
  </si>
  <si>
    <t>2-904</t>
  </si>
  <si>
    <t>韩雷</t>
  </si>
  <si>
    <t>SP202101220077</t>
  </si>
  <si>
    <t xml:space="preserve"> 32038219961227021X </t>
  </si>
  <si>
    <t xml:space="preserve">(M)18236957767 </t>
  </si>
  <si>
    <t>上海市松江区龙腾路333号</t>
  </si>
  <si>
    <t>以标准总价为基准计算: ((首付优惠按揭付款 100% × 年末冲刺大优惠2 96% × 房车宝推荐折扣 96% - 恒房通购房券优惠 10000) - 网上购房总价优惠2万元 20000)</t>
  </si>
  <si>
    <t>扬州恒大云锦华庭-一期-2-904</t>
  </si>
  <si>
    <t>D9CB1B4D9B097DA4</t>
  </si>
  <si>
    <t>bb6f959e-2f95-4cdb-b657-a764654fee4c</t>
  </si>
  <si>
    <t>3-1001</t>
  </si>
  <si>
    <t>陈浩</t>
  </si>
  <si>
    <t>SP202012220242</t>
  </si>
  <si>
    <t xml:space="preserve">(M)18625202594 </t>
  </si>
  <si>
    <t>江苏省广陵区东悦府20幢1002（扬霍路71号）</t>
  </si>
  <si>
    <t>以标准总价为基准计算: ((普通商业按揭 100% × 年末冲刺大优惠 95% × 房车宝推荐折扣 96% - 网上购房总价优惠2万元 20000) - 恒房通购房券优惠 10000) × 佣金抵房款 98%</t>
  </si>
  <si>
    <t>扬州恒大云锦华庭-一期-3-1001</t>
  </si>
  <si>
    <t>HFTM0064071717</t>
  </si>
  <si>
    <t>5f206e54-4797-4434-a3a0-05d03a4823d5</t>
  </si>
  <si>
    <t>3-1002</t>
  </si>
  <si>
    <t>徐治</t>
  </si>
  <si>
    <t>SP202012310105</t>
  </si>
  <si>
    <t xml:space="preserve">(M)13852709226 </t>
  </si>
  <si>
    <t>江苏省扬州市广陵区明发广场6-1402</t>
  </si>
  <si>
    <t>扬州恒大云锦华庭-一期-3-1002</t>
  </si>
  <si>
    <t>72ca4e99-29c8-416c-958c-c11cd15a0ac7</t>
  </si>
  <si>
    <t>3-1003</t>
  </si>
  <si>
    <t>朱迎龙</t>
  </si>
  <si>
    <t>SP202011260095</t>
  </si>
  <si>
    <t xml:space="preserve">(M)13327804344 </t>
  </si>
  <si>
    <t>扬州市杭集镇新隆商厦2#204</t>
  </si>
  <si>
    <t>扬州恒大云锦华庭-一期-3-1003</t>
  </si>
  <si>
    <t>4a9e6efa-c73c-4661-b4fc-60abd8573d96</t>
  </si>
  <si>
    <t>3-1004</t>
  </si>
  <si>
    <t>刘安琪</t>
  </si>
  <si>
    <t>SP202101260119</t>
  </si>
  <si>
    <t xml:space="preserve">(M)15190403622 (O)15252544777 </t>
  </si>
  <si>
    <t>江苏省扬州市广陵区杭集镇裔庙村车五组70号</t>
  </si>
  <si>
    <t>扬州恒大云锦华庭-一期-3-1004</t>
  </si>
  <si>
    <t>a632514e-117e-4162-b949-314d6122effa</t>
  </si>
  <si>
    <t>3-101</t>
  </si>
  <si>
    <t>尤广军</t>
  </si>
  <si>
    <t>SP202103290084</t>
  </si>
  <si>
    <t xml:space="preserve">(M)13952793868 </t>
  </si>
  <si>
    <t>江苏省扬州市广陵区运河西路81号</t>
  </si>
  <si>
    <t>扬州恒大云锦华庭-一期-3-101</t>
  </si>
  <si>
    <t>0e21dd82-f298-428e-913e-a61670f8af4c</t>
  </si>
  <si>
    <t>3-104</t>
  </si>
  <si>
    <t>郭昌俊;金春蕾</t>
  </si>
  <si>
    <t>SP202103250099</t>
  </si>
  <si>
    <t xml:space="preserve"> 321023198203123219;321011198405241226 </t>
  </si>
  <si>
    <t xml:space="preserve">(M)13921904018 </t>
  </si>
  <si>
    <t>江苏省扬州市广陵区湾头镇联合村新庄组33号;江苏省扬州市广陵区湾头镇联合村新庄组33号</t>
  </si>
  <si>
    <t>扬州恒大云锦华庭-一期-3-104</t>
  </si>
  <si>
    <t>2081205a-901f-4eff-b824-fdee7245e384</t>
  </si>
  <si>
    <t>3-1101</t>
  </si>
  <si>
    <t>乙毛列;孙娜</t>
  </si>
  <si>
    <t>SP202101070093</t>
  </si>
  <si>
    <t xml:space="preserve"> 321322198910112033;321322198905062027 </t>
  </si>
  <si>
    <t xml:space="preserve">(M)19952835888 </t>
  </si>
  <si>
    <t>江苏省扬州市广陵区文昌中路18号37幢505室;江苏省扬州市广陵区文昌中路18号37幢505室</t>
  </si>
  <si>
    <t>扬州恒大云锦华庭-一期-3-1101</t>
  </si>
  <si>
    <t>HFTM3805432415</t>
  </si>
  <si>
    <t>6d16afa4-1ac9-4d4b-aef7-822b544dfe3d</t>
  </si>
  <si>
    <t>3-1102</t>
  </si>
  <si>
    <t>丁民华</t>
  </si>
  <si>
    <t>SP202101070015</t>
  </si>
  <si>
    <t xml:space="preserve">(M)18936228678 </t>
  </si>
  <si>
    <t>江苏省扬州市广陵经济开发区明发江湾城53幢602室</t>
  </si>
  <si>
    <t>扬州恒大云锦华庭-一期-3-1102</t>
  </si>
  <si>
    <t>b3e54d6d-2b10-4ecd-96a6-b86e51cd7142</t>
  </si>
  <si>
    <t>3-1103</t>
  </si>
  <si>
    <t>崔佳文</t>
  </si>
  <si>
    <t>SP202011130013</t>
  </si>
  <si>
    <t xml:space="preserve">(M)18932371915 </t>
  </si>
  <si>
    <t>江苏省扬州市邗江区文昌西路330号来鹤北苑160号</t>
  </si>
  <si>
    <t>扬州恒大云锦华庭-一期-3-1103</t>
  </si>
  <si>
    <t>dd179575-2801-453c-8d27-6c6b59eb98d7</t>
  </si>
  <si>
    <t>3-1104</t>
  </si>
  <si>
    <t>曹云龙</t>
  </si>
  <si>
    <t>SP202011120207</t>
  </si>
  <si>
    <t xml:space="preserve">(M)18952758608 (O)18952578991 </t>
  </si>
  <si>
    <t>江苏省扬州市广陵区安康路文昌北苑22幢603室</t>
  </si>
  <si>
    <t>扬州恒大云锦华庭-一期-3-1104</t>
  </si>
  <si>
    <t>1c316ff6-155c-4fef-b0fa-0fcf27427ea1</t>
  </si>
  <si>
    <t>3-1201</t>
  </si>
  <si>
    <t>马云花;卢兴纪</t>
  </si>
  <si>
    <t>SP202011260111</t>
  </si>
  <si>
    <t xml:space="preserve"> 320323197910113424;320323197709033414 </t>
  </si>
  <si>
    <t xml:space="preserve">(M)17625853811 </t>
  </si>
  <si>
    <t>江苏省扬州市广陵区江都路63号1幢107室;江苏省扬州市广陵区江都路63号1幢107室</t>
  </si>
  <si>
    <t>扬州恒大云锦华庭-一期-3-1201</t>
  </si>
  <si>
    <t>ddf65a31-22d2-49b9-86bc-d7953c3cc8e9</t>
  </si>
  <si>
    <t>3-1202</t>
  </si>
  <si>
    <t>刘利</t>
  </si>
  <si>
    <t>SP202012020002</t>
  </si>
  <si>
    <t xml:space="preserve">(M)13852409649 </t>
  </si>
  <si>
    <t>江苏省扬州市广陵区李典镇新坝集镇江扬路102－2号</t>
  </si>
  <si>
    <t>扬州恒大云锦华庭-一期-3-1202</t>
  </si>
  <si>
    <t>8fbf40c6-77e4-4c58-8df9-d3bc96ff315b</t>
  </si>
  <si>
    <t>3-1203</t>
  </si>
  <si>
    <t>夏竹萍;严彪</t>
  </si>
  <si>
    <t>SP202101020052</t>
  </si>
  <si>
    <t xml:space="preserve"> 321027197808186926;321027197902166913 </t>
  </si>
  <si>
    <t xml:space="preserve">(M)13375277147 </t>
  </si>
  <si>
    <t>江苏省扬州市广陵区杭集镇夏庄村西院组9号;江苏省扬州市邗江区杭集镇龙王村蒋庄组18号</t>
  </si>
  <si>
    <t>扬州恒大云锦华庭-一期-3-1203</t>
  </si>
  <si>
    <t>7cee862c-a465-4e5b-a32f-2e1b1a06c354</t>
  </si>
  <si>
    <t>3-1204</t>
  </si>
  <si>
    <t>陶三军</t>
  </si>
  <si>
    <t>SP202101020130</t>
  </si>
  <si>
    <t xml:space="preserve">(M)13338860268 </t>
  </si>
  <si>
    <t>安徽省天长市仁和集镇白马村钟庄队１２号</t>
  </si>
  <si>
    <t>扬州恒大云锦华庭-一期-3-1204</t>
  </si>
  <si>
    <t>ac0f73a9-2397-40cf-9ddd-1ec5d77c3be8</t>
  </si>
  <si>
    <t>3-1301</t>
  </si>
  <si>
    <t>孙家萍;刘洪</t>
  </si>
  <si>
    <t>SP202012150026</t>
  </si>
  <si>
    <t xml:space="preserve"> 321027197007082123;321002196705273013 </t>
  </si>
  <si>
    <t xml:space="preserve">(M)13773563308 </t>
  </si>
  <si>
    <t>江苏省扬州市广陵区东关街262号;江苏省扬州市广陵区东关街262号</t>
  </si>
  <si>
    <t>扬州恒大云锦华庭-一期-3-1301</t>
  </si>
  <si>
    <t>e9c60225-ca42-449b-80b7-b189509e9ffd</t>
  </si>
  <si>
    <t>3-1302</t>
  </si>
  <si>
    <t>孙建平;陈慧敏</t>
  </si>
  <si>
    <t>SP202012030061</t>
  </si>
  <si>
    <t xml:space="preserve"> 32108819800811485X;321088198210284860 </t>
  </si>
  <si>
    <t xml:space="preserve">(M)13773386621 </t>
  </si>
  <si>
    <t>江苏省扬州市江都区邵伯镇南渡村跳二组19号;江苏省扬州市江都区邵伯镇南渡村跳二组19号</t>
  </si>
  <si>
    <t>扬州恒大云锦华庭-一期-3-1302</t>
  </si>
  <si>
    <t>b3870900-9483-44bb-b215-eb0f62fccec4</t>
  </si>
  <si>
    <t>3-1303</t>
  </si>
  <si>
    <t>陈杏</t>
  </si>
  <si>
    <t>SP202012020030</t>
  </si>
  <si>
    <t xml:space="preserve"> 36042519850831202X </t>
  </si>
  <si>
    <t xml:space="preserve">(M)15970617057 </t>
  </si>
  <si>
    <t>江苏省扬州市广陵区沙头镇创业路9号琪豪绣品</t>
  </si>
  <si>
    <t>扬州恒大云锦华庭-一期-3-1303</t>
  </si>
  <si>
    <t>dc3feb29-9812-4348-9b67-88852bc004a2</t>
  </si>
  <si>
    <t>3-1304</t>
  </si>
  <si>
    <t>陈建兵;陈二英</t>
  </si>
  <si>
    <t>SP202011130068</t>
  </si>
  <si>
    <t xml:space="preserve"> 321011197711151216;320828197712174022 </t>
  </si>
  <si>
    <t xml:space="preserve">(M)13852713451 </t>
  </si>
  <si>
    <t>江苏省扬州市广陵区湾头镇广福花园福欣苑13幢1906室;江苏省扬州市广陵区湾头镇广福花园福欣苑13幢1906室</t>
  </si>
  <si>
    <t>扬州恒大云锦华庭-一期-3-1304</t>
  </si>
  <si>
    <t>397ea716-8810-470d-978e-f099e54bfc24</t>
  </si>
  <si>
    <t>3-1401</t>
  </si>
  <si>
    <t>张慧文</t>
  </si>
  <si>
    <t>SP202011120200</t>
  </si>
  <si>
    <t xml:space="preserve">(M)15358519023 </t>
  </si>
  <si>
    <t>扬州市广陵区东方名城306幢303室</t>
  </si>
  <si>
    <t>扬州恒大云锦华庭-一期-3-1401</t>
  </si>
  <si>
    <t>efd017dc-b09a-455b-a4a2-a3272e8518da</t>
  </si>
  <si>
    <t>3-1402</t>
  </si>
  <si>
    <t>樊海琳</t>
  </si>
  <si>
    <t>SP202012230067</t>
  </si>
  <si>
    <t xml:space="preserve">(M)15952571100 </t>
  </si>
  <si>
    <t>江苏省扬州市江都区江淮路66号1幢305室</t>
  </si>
  <si>
    <t>以标准总价为基准计算: (一次性付款 99% × 开盘额外优惠 97% × 渠道折扣 98% - 总价优惠 1)</t>
  </si>
  <si>
    <t>扬州恒大云锦华庭-一期-3-1402</t>
  </si>
  <si>
    <t>7f80cb1e-8dd7-4d02-bbaa-30a85528c7b2</t>
  </si>
  <si>
    <t>3-1403</t>
  </si>
  <si>
    <t>王祥明</t>
  </si>
  <si>
    <t>SP202012210138</t>
  </si>
  <si>
    <t xml:space="preserve">(M)13852720156 </t>
  </si>
  <si>
    <t>江苏省江都市浦江路津翠园2-102</t>
  </si>
  <si>
    <t>赵成毅</t>
  </si>
  <si>
    <t>以标准总价为基准计算: (普通商业按揭 100% - 总价优惠 -4043)</t>
  </si>
  <si>
    <t>扬州恒大云锦华庭-一期-3-1403</t>
  </si>
  <si>
    <t>2ca26329-f755-4a1b-ad7a-07c239afa089</t>
  </si>
  <si>
    <t>3-1404</t>
  </si>
  <si>
    <t>许少兵;蒋利娟</t>
  </si>
  <si>
    <t>SP202101200050</t>
  </si>
  <si>
    <t xml:space="preserve"> 320822198111023073;321027198107045420 </t>
  </si>
  <si>
    <t xml:space="preserve">(M)18912916884 </t>
  </si>
  <si>
    <t>江苏省扬州市广陵区李典镇秀清村五一组6号;江苏省扬州市广陵区李典镇秀清村五一组6号</t>
  </si>
  <si>
    <t>以标准总价为基准计算: (普通组合贷款 100% × 清尾优惠折扣 93% × 年末冲刺大优惠2 96% × 房车宝推荐折扣 96% - 网上购房总价优惠2万元 20000)</t>
  </si>
  <si>
    <t>扬州恒大云锦华庭-一期-3-1404</t>
  </si>
  <si>
    <t>3206f912-5239-4851-ade2-f6fafa367c10</t>
  </si>
  <si>
    <t>3-1501</t>
  </si>
  <si>
    <t>梁伟</t>
  </si>
  <si>
    <t>SP202011260113</t>
  </si>
  <si>
    <t xml:space="preserve">(M)15955536250 </t>
  </si>
  <si>
    <t>江苏省扬州市广陵区汶河北路63号扬州水文局</t>
  </si>
  <si>
    <t>扬州恒大云锦华庭-一期-3-1501</t>
  </si>
  <si>
    <t>19c3a63f-37af-4d64-a418-4943eb2001e9</t>
  </si>
  <si>
    <t>3-1502</t>
  </si>
  <si>
    <t>陶超;李春萌</t>
  </si>
  <si>
    <t>SP202012020071</t>
  </si>
  <si>
    <t xml:space="preserve"> 321002197006233316;321028197612194429 </t>
  </si>
  <si>
    <t xml:space="preserve">(M)15952774488 </t>
  </si>
  <si>
    <t>江苏省扬州市广陵区观潮路天俊悦府19幢1404室;江苏省扬州市广陵区安康路8号50幢102室</t>
  </si>
  <si>
    <t>扬州恒大云锦华庭-一期-3-1502</t>
  </si>
  <si>
    <t>3bb34a41-553f-4960-915d-3feb692ab337</t>
  </si>
  <si>
    <t>3-1503</t>
  </si>
  <si>
    <t>冯慧</t>
  </si>
  <si>
    <t>SP202011130113</t>
  </si>
  <si>
    <t xml:space="preserve"> 32102719930104272X </t>
  </si>
  <si>
    <t xml:space="preserve">(M)15861312127 </t>
  </si>
  <si>
    <t>江苏省扬州市广陵区杭集镇袜厂路城建建设中队</t>
  </si>
  <si>
    <t>扬州恒大云锦华庭-一期-3-1503</t>
  </si>
  <si>
    <t>e2258fb1-b05d-47a9-9c2c-ff9400306bca</t>
  </si>
  <si>
    <t>3-1504</t>
  </si>
  <si>
    <t>朱晶晶;孔明</t>
  </si>
  <si>
    <t>SP202012220153</t>
  </si>
  <si>
    <t xml:space="preserve"> 321011199102281225;321011199105261211 </t>
  </si>
  <si>
    <t xml:space="preserve">(M)18136468591 </t>
  </si>
  <si>
    <t>江苏省扬州市广陵区湾头镇夏桥村朱庄组8－1号;江苏省扬州市广陵区湾头镇万福村万福组100-1号</t>
  </si>
  <si>
    <t>扬州恒大云锦华庭-一期-3-1504</t>
  </si>
  <si>
    <t>c8fe41f4-0ef4-4315-87d2-fe01da3c2ecc</t>
  </si>
  <si>
    <t>3-1601</t>
  </si>
  <si>
    <t>陈兰花</t>
  </si>
  <si>
    <t>SP202012090025</t>
  </si>
  <si>
    <t xml:space="preserve">(M)13952579461 </t>
  </si>
  <si>
    <t>江苏省扬州市翠月花园14栋1801</t>
  </si>
  <si>
    <t>扬州恒大云锦华庭-一期-3-1601</t>
  </si>
  <si>
    <t>b5252381-0bf6-4934-a989-491c0f5894c0</t>
  </si>
  <si>
    <t>3-1602</t>
  </si>
  <si>
    <t>吉金梅</t>
  </si>
  <si>
    <t>SP202012230055</t>
  </si>
  <si>
    <t xml:space="preserve"> 32082819701225390X </t>
  </si>
  <si>
    <t xml:space="preserve">(M)13033550679 </t>
  </si>
  <si>
    <t>江苏省淮安市楚州区苏嘴镇沙吉村四组444号</t>
  </si>
  <si>
    <t>扬州恒大云锦华庭-一期-3-1602</t>
  </si>
  <si>
    <t>af692666-9b3c-4171-8042-ed840a306c29</t>
  </si>
  <si>
    <t>3-1603</t>
  </si>
  <si>
    <t>倪维勇</t>
  </si>
  <si>
    <t>SP202012030117</t>
  </si>
  <si>
    <t xml:space="preserve">(M)18252620451 </t>
  </si>
  <si>
    <t>扬州市汶河街道南通西路100-1原苏北饭店</t>
  </si>
  <si>
    <t>扬州恒大云锦华庭-一期-3-1603</t>
  </si>
  <si>
    <t>8594ad17-c038-41ed-8820-46ed7dedbc95</t>
  </si>
  <si>
    <t>3-1604</t>
  </si>
  <si>
    <t>谢政娇</t>
  </si>
  <si>
    <t>SP202011270025</t>
  </si>
  <si>
    <t xml:space="preserve">(M)15150857011 </t>
  </si>
  <si>
    <t>江苏省江阴市锦隆三村33幢203室</t>
  </si>
  <si>
    <t>扬州恒大云锦华庭-一期-3-1604</t>
  </si>
  <si>
    <t>039ef35c-5b33-45f9-a4f6-19f82a78a0fa</t>
  </si>
  <si>
    <t>3-1701</t>
  </si>
  <si>
    <t>韩晓明</t>
  </si>
  <si>
    <t>SP202012220256</t>
  </si>
  <si>
    <t xml:space="preserve">(M)18705276695 </t>
  </si>
  <si>
    <t>江苏省扬州市维扬路中集集品嘉园北门新华社区卫生服务站</t>
  </si>
  <si>
    <t>扬州恒大云锦华庭-一期-3-1701</t>
  </si>
  <si>
    <t>bab81159-ee0b-46f0-93e9-a9a0793b0420</t>
  </si>
  <si>
    <t>3-1702</t>
  </si>
  <si>
    <t>张三飞</t>
  </si>
  <si>
    <t>SP202011120151</t>
  </si>
  <si>
    <t xml:space="preserve">(M)13575424688 </t>
  </si>
  <si>
    <t>江苏省扬州市广陵区明发尚筑小区</t>
  </si>
  <si>
    <t>扬州恒大云锦华庭-一期-3-1702</t>
  </si>
  <si>
    <t>aeec0780-8483-4169-a13d-d65641e0c4ff</t>
  </si>
  <si>
    <t>3-1703</t>
  </si>
  <si>
    <t>戴良伟;戴粉林</t>
  </si>
  <si>
    <t>SP202011120221</t>
  </si>
  <si>
    <t xml:space="preserve"> 321088199610196338;321088196806136317 </t>
  </si>
  <si>
    <t xml:space="preserve">(M)16651080404 </t>
  </si>
  <si>
    <t>江苏省扬州市江都区吴桥镇高扬村前程组46号;江苏省扬州市江都区吴桥镇高扬村前程组46号</t>
  </si>
  <si>
    <t>扬州恒大云锦华庭-一期-3-1703</t>
  </si>
  <si>
    <t>a4a91f78-d791-4dab-a62e-af976443b16a</t>
  </si>
  <si>
    <t>3-1704</t>
  </si>
  <si>
    <t>方学文;杨春</t>
  </si>
  <si>
    <t>SP202012030127</t>
  </si>
  <si>
    <t xml:space="preserve"> 321027197402196016;321002197902100327 </t>
  </si>
  <si>
    <t xml:space="preserve">(M)15861344475 </t>
  </si>
  <si>
    <t>江苏省扬州市邗江区梅岭西路45号2幢402室;江苏省扬州市广陵区广陵路248－7号</t>
  </si>
  <si>
    <t>以标准总价为基准计算: (普通组合贷款 100% × 开盘额外优惠 97% × 渠道折扣 98% × 佣金抵房款 98% - 总价优惠 -1)</t>
  </si>
  <si>
    <t>扬州恒大云锦华庭-一期-3-1704</t>
  </si>
  <si>
    <t>84f703f9-47f5-442e-9727-42da8af9f52b</t>
  </si>
  <si>
    <t>3-1801</t>
  </si>
  <si>
    <t>童海燕</t>
  </si>
  <si>
    <t>SP202102250079</t>
  </si>
  <si>
    <t xml:space="preserve">(M)13773387700 </t>
  </si>
  <si>
    <t>江苏省江都市幸福巷36号</t>
  </si>
  <si>
    <t>扬州恒大云锦华庭-一期-3-1801</t>
  </si>
  <si>
    <t>1a6c4e13-65bd-4c77-95a8-e949653bd520</t>
  </si>
  <si>
    <t>3-1802</t>
  </si>
  <si>
    <t>李鑫雨</t>
  </si>
  <si>
    <t>SP202012150140</t>
  </si>
  <si>
    <t xml:space="preserve">(M)13229352935 </t>
  </si>
  <si>
    <t>河北省唐山市丰润区沙流河镇沙柳河村二小区付305号</t>
  </si>
  <si>
    <t>扬州恒大云锦华庭-一期-3-1802</t>
  </si>
  <si>
    <t>2a006c2f-2b12-4f2f-ac7b-8873a701629a</t>
  </si>
  <si>
    <t>3-1803</t>
  </si>
  <si>
    <t>李欢;王灯祥</t>
  </si>
  <si>
    <t>SP202102200079</t>
  </si>
  <si>
    <t xml:space="preserve"> 420281199111268025;341182198611182639 </t>
  </si>
  <si>
    <t xml:space="preserve">(M)15371339862 </t>
  </si>
  <si>
    <t>安徽省明光市涧溪镇姚郭村姚郢组44号;安徽省明光市涧溪镇姚郭村姚郢镇组44号</t>
  </si>
  <si>
    <t>以标准总价为基准计算: (普通商业按揭 100% × 年末冲刺大优惠3 97% × 清尾优惠折扣 90% × 房车宝推荐折扣 96% - 网上购房总价优惠2万元 20000)</t>
  </si>
  <si>
    <t>扬州恒大云锦华庭-一期-3-1803</t>
  </si>
  <si>
    <t>4beae1b8-a69c-4c3b-b1f8-1ce82f55ecb0</t>
  </si>
  <si>
    <t>3-1804</t>
  </si>
  <si>
    <t>徐敦芳;闻正英</t>
  </si>
  <si>
    <t>SP202104020075</t>
  </si>
  <si>
    <t xml:space="preserve"> 32102719650910632X;321011196403021220 </t>
  </si>
  <si>
    <t xml:space="preserve">(M)13815837479 </t>
  </si>
  <si>
    <t>江苏省扬州市广陵区运河人家北苑26幢708;江苏省扬州市广陵区湾头镇田庄村林东组7号</t>
  </si>
  <si>
    <t>以标准总价为基准计算: (((两年优惠分期付款（首付5成） 100% × 网购优惠折扣 90% × 一口价首顶层优惠 70% - 网上购房总价优惠 30000) - 房车宝购房券优惠 10000) - 注册南瓜会员优惠 20000)</t>
  </si>
  <si>
    <t>扬州恒大云锦华庭-一期-3-1804</t>
  </si>
  <si>
    <t>55B2EB53C73C79B7</t>
  </si>
  <si>
    <t>56837C26047E68E8</t>
  </si>
  <si>
    <t>B8321ED4230BE196</t>
  </si>
  <si>
    <t>caea9efa-70c7-4e08-b7bb-34534245fab4</t>
  </si>
  <si>
    <t>3-201</t>
  </si>
  <si>
    <t>刘进娟;王冰;王婧</t>
  </si>
  <si>
    <t>SP202102270032</t>
  </si>
  <si>
    <t xml:space="preserve"> 420322198211135124;321027196708066930;321002201107083926 </t>
  </si>
  <si>
    <t xml:space="preserve">(M)13758621273 </t>
  </si>
  <si>
    <t>江苏省扬州市邗江区杭集镇王集村李家组1号;江苏省扬州市邗江区杭集镇王集村李家组1号;江苏省扬州市邗江区杭集镇王集村李家组1号</t>
  </si>
  <si>
    <t>以标准总价为基准计算: (两年优惠分期付款（适用2、3、5、6、7、8、9栋） 100% × 清尾优惠折扣 86% × 年末冲刺大优惠3 97% × 房车宝推荐折扣 96% - 网上购房总价优惠2万元 20000)</t>
  </si>
  <si>
    <t>扬州恒大云锦华庭-一期-3-201</t>
  </si>
  <si>
    <t>c5b51a65-b73b-4e1e-a937-81c3e9c17ccc</t>
  </si>
  <si>
    <t>3-202</t>
  </si>
  <si>
    <t>吴志立</t>
  </si>
  <si>
    <t>SP202012080075</t>
  </si>
  <si>
    <t xml:space="preserve">(M)18551455561 </t>
  </si>
  <si>
    <t>江苏省扬州市邗江区方巷镇大成路7-13</t>
  </si>
  <si>
    <t>扬州恒大云锦华庭-一期-3-202</t>
  </si>
  <si>
    <t>b923159d-e15a-4286-9c25-6bf6ad55e0b3</t>
  </si>
  <si>
    <t>3-203</t>
  </si>
  <si>
    <t>张礼顺;姜小芳</t>
  </si>
  <si>
    <t>SP202103210096</t>
  </si>
  <si>
    <t xml:space="preserve"> 32108419780803361X;321088197711121061 </t>
  </si>
  <si>
    <t xml:space="preserve">(M)18952765611 </t>
  </si>
  <si>
    <t>江苏省高邮市汤庄镇汤庄村六组143号;江苏省高邮市汤庄镇汤庄村六组143号</t>
  </si>
  <si>
    <t>以标准总价为基准计算: (((普通商业按揭 100% × 网购优惠折扣 90% - 网上购房总价优惠 30000) - 房车宝购房券优惠 10000) - 注册南瓜会员优惠 20000)</t>
  </si>
  <si>
    <t>扬州恒大云锦华庭-一期-3-203</t>
  </si>
  <si>
    <t>34B05F858B9F2A60</t>
  </si>
  <si>
    <t>698B56806FBD5ED9</t>
  </si>
  <si>
    <t>CFA06BEA8E2D1763</t>
  </si>
  <si>
    <t>a5bbb7ed-d18c-4e9a-a6ec-ba05dded9ea2</t>
  </si>
  <si>
    <t>3-204</t>
  </si>
  <si>
    <t>于伟坤;谢秋香</t>
  </si>
  <si>
    <t>SP202102080037</t>
  </si>
  <si>
    <t xml:space="preserve"> 321088196612301839;321088196408141882 </t>
  </si>
  <si>
    <t xml:space="preserve">(M)15252582955 </t>
  </si>
  <si>
    <t>江苏省扬州市江都区小纪镇富民育才路13号;</t>
  </si>
  <si>
    <t>扬州恒大云锦华庭-一期-3-204</t>
  </si>
  <si>
    <t>213fc97c-ca8c-401e-854b-d1f188974117</t>
  </si>
  <si>
    <t>3-301</t>
  </si>
  <si>
    <t>谭玉庭</t>
  </si>
  <si>
    <t xml:space="preserve">(M)18252723918 </t>
  </si>
  <si>
    <t>江苏省高邮市汤汪镇潘季村二组33号</t>
  </si>
  <si>
    <t>以标准总价为基准计算: (两年优惠分期付款（适用2、3、5、6、7、8、9栋） 100% × 清尾优惠折扣 91% × 年末冲刺大优惠3 97% × 房车宝推荐折扣 96% - 网上购房总价优惠2万元 20000)</t>
  </si>
  <si>
    <t>扬州恒大云锦华庭-一期-3-301</t>
  </si>
  <si>
    <t>fabc9f1e-1b99-415a-8d0d-02d9f898a048</t>
  </si>
  <si>
    <t>3-302</t>
  </si>
  <si>
    <t>金剑</t>
  </si>
  <si>
    <t>SP202101090056</t>
  </si>
  <si>
    <t xml:space="preserve"> 32101119770503091X </t>
  </si>
  <si>
    <t xml:space="preserve">(M)15952798119 </t>
  </si>
  <si>
    <t>江苏省扬州市广陵区文峰街道文峰村花局组44号</t>
  </si>
  <si>
    <t>扬州恒大云锦华庭-一期-3-302</t>
  </si>
  <si>
    <t>7215fc2f-0a09-4b6b-9b5a-9ed26a80809a</t>
  </si>
  <si>
    <t>3-303</t>
  </si>
  <si>
    <t>蒋广寿;卞春华</t>
  </si>
  <si>
    <t>SP202012220206</t>
  </si>
  <si>
    <t xml:space="preserve"> 321281198310293058;321083198103153062 </t>
  </si>
  <si>
    <t xml:space="preserve">(M)15195250685 </t>
  </si>
  <si>
    <t>江苏省兴化市海南镇新合村韩蒋384号;江苏省兴化市海南镇新合村韩蒋384号</t>
  </si>
  <si>
    <t>以标准总价为基准计算: ((普通商业按揭 100% × 年末冲刺大优惠 95% × 房车宝推荐折扣 96% - 网上购房总价优惠2万元 20000) - 恒房通购房券优惠 10000)</t>
  </si>
  <si>
    <t>扬州恒大云锦华庭-一期-3-303</t>
  </si>
  <si>
    <t>A6CBCDF073D6F2B6</t>
  </si>
  <si>
    <t>57c47c0a-629c-4232-8e5e-1bda251e6a62</t>
  </si>
  <si>
    <t>3-304</t>
  </si>
  <si>
    <t>高后春;董高峰</t>
  </si>
  <si>
    <t>SP202104070033</t>
  </si>
  <si>
    <t xml:space="preserve"> 321027197306090641;321027197305310614 </t>
  </si>
  <si>
    <t xml:space="preserve">(M)18061151389 </t>
  </si>
  <si>
    <t>江苏省扬州市邗江区李典镇李典村高一组24号;江苏省扬州市邗江区李典镇联桥村南二组28号</t>
  </si>
  <si>
    <t>以标准总价为基准计算: (((普通商业按揭 100% × 网购优惠折扣 90% - 网上购房总价优惠 30000) - 注册南瓜会员优惠 20000) - 房车宝购房券优惠 10000)</t>
  </si>
  <si>
    <t>扬州恒大云锦华庭-一期-3-304</t>
  </si>
  <si>
    <t>29c9d0f7-0fb8-498a-b65c-31e4d45e368b</t>
  </si>
  <si>
    <t>3-401</t>
  </si>
  <si>
    <t>翟全付</t>
  </si>
  <si>
    <t>SP202101280080</t>
  </si>
  <si>
    <t xml:space="preserve">(M)15061067329 </t>
  </si>
  <si>
    <t>江苏省泰州市兴化市永丰镇新虎村翟虎一组180号</t>
  </si>
  <si>
    <t>以标准总价为基准计算: (两年优惠分期付款（适用2、3、5、6、7、8、9栋） 100% × 清尾优惠折扣 94% × 年末冲刺大优惠2 96% × 自然到访优惠 96% - 网上购房总价优惠2万元 20000)</t>
  </si>
  <si>
    <t>扬州恒大云锦华庭-一期-3-401</t>
  </si>
  <si>
    <t>2b3e1e61-7b0d-41c6-b1f7-7eb605ac9342</t>
  </si>
  <si>
    <t>3-402</t>
  </si>
  <si>
    <t>徐伟;蒋世银;徐克宏;王玲妹</t>
  </si>
  <si>
    <t>SP202012230135</t>
  </si>
  <si>
    <t xml:space="preserve"> 321088198812182554;522122199309092029;321088196411152558;32108819651115258X </t>
  </si>
  <si>
    <t xml:space="preserve">(M)13929246468 </t>
  </si>
  <si>
    <t>江苏省扬州市江都区樊川镇永新路15号;江苏省扬州市江都区樊川镇永新路15号;江苏省江都市樊川镇永新路15号;江苏省江都市樊川镇永新路15号</t>
  </si>
  <si>
    <t>以标准总价为基准计算: (普通商业按揭 100% × 房车宝推荐折扣 96% × 年末冲刺大优惠 95% - 恒房通购房券优惠 10000)</t>
  </si>
  <si>
    <t>扬州恒大云锦华庭-一期-3-402</t>
  </si>
  <si>
    <t>HFTM6796011627</t>
  </si>
  <si>
    <t>973ae980-a986-4a24-8835-792e2caf74a0</t>
  </si>
  <si>
    <t>3-403</t>
  </si>
  <si>
    <t>郎志海;刘莉莉</t>
  </si>
  <si>
    <t>SP202011270155</t>
  </si>
  <si>
    <t xml:space="preserve"> 321002197606292416;321002197712282422 </t>
  </si>
  <si>
    <t xml:space="preserve">(M)15861313507 </t>
  </si>
  <si>
    <t>江苏省扬州市广陵区刁家巷62号;扬州市广陵区刁家巷62号</t>
  </si>
  <si>
    <t>扬州恒大云锦华庭-一期-3-403</t>
  </si>
  <si>
    <t>9c1c4214-e95a-445a-a758-bbca2e92a9d7</t>
  </si>
  <si>
    <t>3-404</t>
  </si>
  <si>
    <t>高家其;施月华</t>
  </si>
  <si>
    <t>SP202012230048</t>
  </si>
  <si>
    <t xml:space="preserve"> 321002195612083312;321002195909283323 </t>
  </si>
  <si>
    <t xml:space="preserve">(M)15358509363 </t>
  </si>
  <si>
    <t>江苏省扬州市广陵区观潮路1089号天君悦府12号103;江苏省扬州市广陵区观潮路1089号天君悦府12号103</t>
  </si>
  <si>
    <t>齐翩</t>
  </si>
  <si>
    <t>扬州恒大云锦华庭-一期-3-404</t>
  </si>
  <si>
    <t>196a2760-d263-48b6-9343-b7d10127af96</t>
  </si>
  <si>
    <t>3-501</t>
  </si>
  <si>
    <t>王昌杰</t>
  </si>
  <si>
    <t>SP202101070017</t>
  </si>
  <si>
    <t xml:space="preserve">(M)13665240454 </t>
  </si>
  <si>
    <t>江苏省扬州市广陵区李典镇伏业村二组26号</t>
  </si>
  <si>
    <t>以标准总价为基准计算: ((普通组合贷款 100% × 年末冲刺大优惠 95% × 自然到访优惠 96% - 恒房通购房券优惠 10000) - 网上购房总价优惠2万元 20000)</t>
  </si>
  <si>
    <t>扬州恒大云锦华庭-一期-3-501</t>
  </si>
  <si>
    <t>0D7F160AD099230F</t>
  </si>
  <si>
    <t>e32892e2-2348-48f7-8af6-f1bbf89a4fa8</t>
  </si>
  <si>
    <t>3-502</t>
  </si>
  <si>
    <t>查赢</t>
  </si>
  <si>
    <t>SP202011130100</t>
  </si>
  <si>
    <t xml:space="preserve">(M)15371343305 </t>
  </si>
  <si>
    <t>江苏省扬州市广陵区沙头镇育新村大新组6号</t>
  </si>
  <si>
    <t>扬州恒大云锦华庭-一期-3-502</t>
  </si>
  <si>
    <t>c47b2915-f787-4453-88f5-cd1152355f7e</t>
  </si>
  <si>
    <t>3-503</t>
  </si>
  <si>
    <t>高健</t>
  </si>
  <si>
    <t>SP202012090060</t>
  </si>
  <si>
    <t xml:space="preserve"> 32100219710811123X </t>
  </si>
  <si>
    <t xml:space="preserve">(M)13665268870 </t>
  </si>
  <si>
    <t>江苏省扬州市广陵区观潮路1039号中海玺园6-505</t>
  </si>
  <si>
    <t>扬州恒大云锦华庭-一期-3-503</t>
  </si>
  <si>
    <t>224d7d1b-1492-4b8f-8942-37627ad0020d</t>
  </si>
  <si>
    <t>3-504</t>
  </si>
  <si>
    <t>韩洁</t>
  </si>
  <si>
    <t>SP202012020011</t>
  </si>
  <si>
    <t xml:space="preserve">(M)17396895376 </t>
  </si>
  <si>
    <t>江苏省扬州市广陵区杭集镇王桥村大冷组6号</t>
  </si>
  <si>
    <t>扬州恒大云锦华庭-一期-3-504</t>
  </si>
  <si>
    <t>9f23dfaa-49ed-4931-b85e-28a696552904</t>
  </si>
  <si>
    <t>3-601</t>
  </si>
  <si>
    <t>汤永林;邵俊</t>
  </si>
  <si>
    <t>SP202011130009</t>
  </si>
  <si>
    <t xml:space="preserve"> 320722198206187948;321088198109263395 </t>
  </si>
  <si>
    <t xml:space="preserve">(M)15366407119 </t>
  </si>
  <si>
    <t>江苏省扬州市江都区宜陵镇白塔村白一组12号;江苏省扬州市江都区宜陵镇白塔村白一组12号</t>
  </si>
  <si>
    <t>扬州恒大云锦华庭-一期-3-601</t>
  </si>
  <si>
    <t>cfb55b14-426c-424a-b94b-7647bfccedbd</t>
  </si>
  <si>
    <t>3-602</t>
  </si>
  <si>
    <t>冯晨</t>
  </si>
  <si>
    <t>SP202012220133</t>
  </si>
  <si>
    <t xml:space="preserve">(M)15952540420 </t>
  </si>
  <si>
    <t>江苏省江都市仙女镇新庄台1#33</t>
  </si>
  <si>
    <t>扬州恒大云锦华庭-一期-3-602</t>
  </si>
  <si>
    <t>a1760d07-8333-4167-8c93-87a14ee3daac</t>
  </si>
  <si>
    <t>3-603</t>
  </si>
  <si>
    <t>许田田;左爱慧</t>
  </si>
  <si>
    <t>SP202012230006</t>
  </si>
  <si>
    <t xml:space="preserve"> 321324198708114249;32108419870526361X </t>
  </si>
  <si>
    <t xml:space="preserve">(M)18952559116 </t>
  </si>
  <si>
    <t>扬州市广陵区板桥路明发江湾城13栋;江苏省高邮市汤庄镇兴业村四组36号</t>
  </si>
  <si>
    <t>扬州恒大云锦华庭-一期-3-603</t>
  </si>
  <si>
    <t>e19ab99b-23be-410e-9531-4b986e45c0d2</t>
  </si>
  <si>
    <t>3-604</t>
  </si>
  <si>
    <t>李爱华;陈凯</t>
  </si>
  <si>
    <t>SP202101290143</t>
  </si>
  <si>
    <t xml:space="preserve"> 320324199203211581;320382199212109232 </t>
  </si>
  <si>
    <t xml:space="preserve">(M)13390662538 </t>
  </si>
  <si>
    <t>扬州市广陵区杭集镇世纪尊园5-101;扬州市广陵区杭集镇世纪尊园5-101</t>
  </si>
  <si>
    <t>扬州恒大云锦华庭-一期-3-604</t>
  </si>
  <si>
    <t>57924903-500e-4119-bb1b-f3c286add330</t>
  </si>
  <si>
    <t>3-701</t>
  </si>
  <si>
    <t>韩元昌;张韩泽</t>
  </si>
  <si>
    <t>SP202101040001</t>
  </si>
  <si>
    <t xml:space="preserve"> 321002194901292116;321002201206051217 </t>
  </si>
  <si>
    <t xml:space="preserve">(M)18762301671 </t>
  </si>
  <si>
    <t>江苏省扬州市联谊南苑联福苑12-904;江苏省扬州市广陵区文峰路39－93号</t>
  </si>
  <si>
    <t>扬州恒大云锦华庭-一期-3-701</t>
  </si>
  <si>
    <t>2de4a503-4f62-49b4-a41d-51ba3f8de6be</t>
  </si>
  <si>
    <t>3-702</t>
  </si>
  <si>
    <t>宋正艳;周伟峰</t>
  </si>
  <si>
    <t>SP202011130054</t>
  </si>
  <si>
    <t xml:space="preserve"> 32088219820822322X;321088197811302396 </t>
  </si>
  <si>
    <t xml:space="preserve">(M)13852251922 </t>
  </si>
  <si>
    <t>江苏省扬州市江都区仙女镇三号路花屿春饭店向南30米;江苏省扬州市江都区仙女镇三号路花屿春饭店向南30米</t>
  </si>
  <si>
    <t>扬州恒大云锦华庭-一期-3-702</t>
  </si>
  <si>
    <t>fd92eb15-0abb-48cc-9382-6ebaa7e53a5d</t>
  </si>
  <si>
    <t>3-703</t>
  </si>
  <si>
    <t>尤家亮;徐燕</t>
  </si>
  <si>
    <t>SP202011130086</t>
  </si>
  <si>
    <t xml:space="preserve"> 321011198407071216;321027198802023020 </t>
  </si>
  <si>
    <t xml:space="preserve">(M)13585233344 </t>
  </si>
  <si>
    <t>扬州市广陵区广陵世家25幢907室;扬州市广陵区广陵世家25幢907室</t>
  </si>
  <si>
    <t>扬州恒大云锦华庭-一期-3-703</t>
  </si>
  <si>
    <t>037615c2-fd35-4aef-a55c-937c17377094</t>
  </si>
  <si>
    <t>3-704</t>
  </si>
  <si>
    <t>祝敏;刘涛</t>
  </si>
  <si>
    <t>SP202012080010</t>
  </si>
  <si>
    <t xml:space="preserve"> 321088199505307921;321088199312025098 </t>
  </si>
  <si>
    <t xml:space="preserve">(M)13405569468 </t>
  </si>
  <si>
    <t>扬州市江都区邵伯镇新建村扬厦组2号;江苏省扬州市江都区邵伯镇新建村扬厦组2号</t>
  </si>
  <si>
    <t>线下推广-海报单张</t>
  </si>
  <si>
    <t>扬州恒大云锦华庭-一期-3-704</t>
  </si>
  <si>
    <t>c6584c67-956c-4cef-a2da-b46523a8523e</t>
  </si>
  <si>
    <t>3-801</t>
  </si>
  <si>
    <t>张效力</t>
  </si>
  <si>
    <t>SP202012100055</t>
  </si>
  <si>
    <t xml:space="preserve">(M)13852192173 (O)15062868698 </t>
  </si>
  <si>
    <t>江苏省江都市园林路2号2幢111室</t>
  </si>
  <si>
    <t>扬州恒大云锦华庭-一期-3-801</t>
  </si>
  <si>
    <t>3c572c4e-5ea3-466f-8391-785c240aa0bc</t>
  </si>
  <si>
    <t>3-802</t>
  </si>
  <si>
    <t>朱丽;金齐山</t>
  </si>
  <si>
    <t>SP202011120184</t>
  </si>
  <si>
    <t xml:space="preserve"> 320923198307253323;341126197806042358 </t>
  </si>
  <si>
    <t xml:space="preserve">(M)18952746970 </t>
  </si>
  <si>
    <t>江苏省扬州市杭集镇鸿运综合楼305室;江苏省扬州市杭集镇鸿运综合楼305室</t>
  </si>
  <si>
    <t>扬州恒大云锦华庭-一期-3-802</t>
  </si>
  <si>
    <t>420f5dbc-6fd9-42b8-8e31-679c7f649776</t>
  </si>
  <si>
    <t>3-803</t>
  </si>
  <si>
    <t>王毅</t>
  </si>
  <si>
    <t>SP202011260023</t>
  </si>
  <si>
    <t xml:space="preserve">(M)17603595342 </t>
  </si>
  <si>
    <t>山西省万荣县西村乡大德村第五组</t>
  </si>
  <si>
    <t>扬州恒大云锦华庭-一期-3-803</t>
  </si>
  <si>
    <t>f0dad5c6-e29c-4d0f-b758-b512e7990201</t>
  </si>
  <si>
    <t>3-804</t>
  </si>
  <si>
    <t>王兰;王家兵</t>
  </si>
  <si>
    <t>SP202012160230</t>
  </si>
  <si>
    <t xml:space="preserve"> 321088197612183144;321088197706072736 </t>
  </si>
  <si>
    <t xml:space="preserve">(M)13813148196 </t>
  </si>
  <si>
    <t>江苏省江都市真武镇真杨路150号;江苏省江都市真武镇真武村南王庄组20号</t>
  </si>
  <si>
    <t>扬州恒大云锦华庭-一期-3-804</t>
  </si>
  <si>
    <t>8bcc6bd4-99ae-4074-b534-0918e8106b99</t>
  </si>
  <si>
    <t>3-901</t>
  </si>
  <si>
    <t>张丽雪;陈良</t>
  </si>
  <si>
    <t>SP202011120178</t>
  </si>
  <si>
    <t xml:space="preserve"> 371324198612103528;370405198802035453 </t>
  </si>
  <si>
    <t xml:space="preserve">(M)18952786031 </t>
  </si>
  <si>
    <t>扬州市江都区大桥镇慈云村21号;扬州市江都区大桥镇慈云村21号</t>
  </si>
  <si>
    <t>扬州恒大云锦华庭-一期-3-901</t>
  </si>
  <si>
    <t>c3783964-2020-4773-94f2-eea2ef576084</t>
  </si>
  <si>
    <t>3-902</t>
  </si>
  <si>
    <t>刘志康</t>
  </si>
  <si>
    <t>SP202011120177</t>
  </si>
  <si>
    <t xml:space="preserve">(M)17372781998 </t>
  </si>
  <si>
    <t>江苏省扬州市李典镇联桥村朱庄组</t>
  </si>
  <si>
    <t>扬州恒大云锦华庭-一期-3-902</t>
  </si>
  <si>
    <t>070ccd08-2889-4d55-a7ab-79a1d89daa13</t>
  </si>
  <si>
    <t>3-903</t>
  </si>
  <si>
    <t>童国发;徐敬梅</t>
  </si>
  <si>
    <t>SP202012020032</t>
  </si>
  <si>
    <t xml:space="preserve"> 321002198302087610;321027198206190623 </t>
  </si>
  <si>
    <t xml:space="preserve">(M)15195566961 </t>
  </si>
  <si>
    <t>江苏省扬州市广陵区李典镇小乾村红专组22号;江苏省扬州市广陵区李典镇田桥村五一组38号</t>
  </si>
  <si>
    <t>扬州恒大云锦华庭-一期-3-903</t>
  </si>
  <si>
    <t>57500818-080f-4277-8a76-7e025bf7c094</t>
  </si>
  <si>
    <t>3-904</t>
  </si>
  <si>
    <t>周云兰;徐国兵</t>
  </si>
  <si>
    <t>SP202011120133</t>
  </si>
  <si>
    <t xml:space="preserve"> 362522197807213068;362522197603195056 </t>
  </si>
  <si>
    <t xml:space="preserve">(M)13805277361 </t>
  </si>
  <si>
    <t>江西省抚州市南城县徐家乡下弓村上园组45号1户;江西省抚州市南城县徐家乡下弓村上园组45号1户</t>
  </si>
  <si>
    <t>扬州恒大云锦华庭-一期-3-904</t>
  </si>
  <si>
    <t>f9273734-409d-4a51-9414-bf39b9b09ff9</t>
  </si>
  <si>
    <t>4-1001</t>
  </si>
  <si>
    <t>田月</t>
  </si>
  <si>
    <t>SP202101270225</t>
  </si>
  <si>
    <t xml:space="preserve">(M)17558762468 </t>
  </si>
  <si>
    <t>江苏省扬州市江都区小纪镇嵇庄村韩家组30号</t>
  </si>
  <si>
    <t>以标准总价为基准计算: (普通组合贷款 100% × 年末冲刺大优惠2 96% × 房车宝推荐折扣 96% × 清尾优惠折扣 96% - 网上购房总价优惠2万元 20000)</t>
  </si>
  <si>
    <t>扬州恒大云锦华庭-一期-4-1-1001</t>
  </si>
  <si>
    <t>b993fe22-4818-435e-92dd-6977678086be</t>
  </si>
  <si>
    <t>4-1002</t>
  </si>
  <si>
    <t>陈紫乔</t>
  </si>
  <si>
    <t>SP202012030068</t>
  </si>
  <si>
    <t xml:space="preserve">(M)13951521903 </t>
  </si>
  <si>
    <t>宝应县黄塍镇人民政府</t>
  </si>
  <si>
    <t>扬州恒大云锦华庭-一期-4-1-1002</t>
  </si>
  <si>
    <t>5b56c4c1-1e9c-442a-8b42-2124b468304a</t>
  </si>
  <si>
    <t>4-1003</t>
  </si>
  <si>
    <t>周达;李银凤</t>
  </si>
  <si>
    <t>SP202101020118</t>
  </si>
  <si>
    <t xml:space="preserve"> 321011198203010315;532231198107072520 </t>
  </si>
  <si>
    <t xml:space="preserve">(M)18951051015 </t>
  </si>
  <si>
    <t>江苏省扬州市广陵区东方名城268-307室;江苏省扬州市广陵区东方名城268-307室</t>
  </si>
  <si>
    <t>扬州恒大云锦华庭-一期-4-1-1003</t>
  </si>
  <si>
    <t>2f7e8fba-334a-4d73-a12d-9144949b1b58</t>
  </si>
  <si>
    <t>4-1004</t>
  </si>
  <si>
    <t>郭桂晶;周正荣</t>
  </si>
  <si>
    <t>SP202011260045</t>
  </si>
  <si>
    <t xml:space="preserve"> 211224198011283500;321088197604093771 </t>
  </si>
  <si>
    <t xml:space="preserve">(M)15252547298 </t>
  </si>
  <si>
    <t>扬州市江都区丁伙镇虹桥路38号;扬州市江都区丁伙镇虹桥路38号</t>
  </si>
  <si>
    <t>扬州恒大云锦华庭-一期-4-2-1004</t>
  </si>
  <si>
    <t>3fb87cf8-ec0a-4c1a-8c58-b7f318b5bda4</t>
  </si>
  <si>
    <t>4-1005</t>
  </si>
  <si>
    <t>常健;孔甜甜</t>
  </si>
  <si>
    <t>SP202012140107</t>
  </si>
  <si>
    <t xml:space="preserve"> 321283198805017031;32032119900202430X </t>
  </si>
  <si>
    <t xml:space="preserve">(M)15161440520 </t>
  </si>
  <si>
    <t>江苏省扬州市广陵区连运新村鸿运苑11幢304室;江苏省丰县首羡镇沙窝11号</t>
  </si>
  <si>
    <t>扬州恒大云锦华庭-一期-4-2-1005</t>
  </si>
  <si>
    <t>7a1bba29-639f-463e-885d-8e5e11d74e5b</t>
  </si>
  <si>
    <t>4-1006</t>
  </si>
  <si>
    <t>徐国春</t>
  </si>
  <si>
    <t>SP202012220241</t>
  </si>
  <si>
    <t xml:space="preserve">(M)18932369512 </t>
  </si>
  <si>
    <t>扬州市邗江区骏和玲珑湾小区33栋404</t>
  </si>
  <si>
    <t>以标准总价为基准计算: 两年分期付款 100% × 开盘额外优惠 97% × 渠道折扣 98% × 员工折扣 98% × 佣金抵房款 98%</t>
  </si>
  <si>
    <t>扬州恒大云锦华庭-一期-4-2-1006</t>
  </si>
  <si>
    <t>4dc5ff20-aa0c-4831-993e-679b26414e62</t>
  </si>
  <si>
    <t>4-101</t>
  </si>
  <si>
    <t>胡兆晟</t>
  </si>
  <si>
    <t>SP202104020118</t>
  </si>
  <si>
    <t xml:space="preserve">(M)15861040288 </t>
  </si>
  <si>
    <t>江苏省兴化市安丰镇汪家垛66号</t>
  </si>
  <si>
    <t>扬州恒大云锦华庭-一期-4-1-101</t>
  </si>
  <si>
    <t>18594EC179F300E2</t>
  </si>
  <si>
    <t>3D468F6505D21B33</t>
  </si>
  <si>
    <t>F8A005BCB345FC7D</t>
  </si>
  <si>
    <t>Z4房超</t>
  </si>
  <si>
    <t>4708b7b7-1d15-49a1-b53b-9f98b786059b</t>
  </si>
  <si>
    <t>4-102</t>
  </si>
  <si>
    <t>李文静</t>
  </si>
  <si>
    <t>SP202012020080</t>
  </si>
  <si>
    <t xml:space="preserve"> 32102719961027062X </t>
  </si>
  <si>
    <t xml:space="preserve">(M)18021327961 </t>
  </si>
  <si>
    <t>江苏省扬州市开发区蜀岗西路116号新嘉源服饰</t>
  </si>
  <si>
    <t>单间</t>
  </si>
  <si>
    <t>扬州恒大云锦华庭-一期-4-1-102</t>
  </si>
  <si>
    <t>fa166ec2-e732-4002-af3c-f61d795ff8e9</t>
  </si>
  <si>
    <t>4-103</t>
  </si>
  <si>
    <t>校恺</t>
  </si>
  <si>
    <t>SP202103310003</t>
  </si>
  <si>
    <t xml:space="preserve">(M)13852735583 </t>
  </si>
  <si>
    <t>江苏省扬州市邗江区京华城路251号御景苑8幢601室</t>
  </si>
  <si>
    <t>以标准总价为基准计算: (两年优惠分期付款（首付5成） 100% × 一口价首顶层优惠 70% × 网购优惠折扣 90% - 网上购房总价优惠 30000)</t>
  </si>
  <si>
    <t>四室二厅二卫</t>
  </si>
  <si>
    <t>扬州恒大云锦华庭-一期-4-1-103</t>
  </si>
  <si>
    <t>f31bc06f-17c0-4785-9b42-631c95643113</t>
  </si>
  <si>
    <t>4-104</t>
  </si>
  <si>
    <t>王敏;张春龙</t>
  </si>
  <si>
    <t>SP202103300203</t>
  </si>
  <si>
    <t xml:space="preserve"> 320123198901131827;321002198904144918 </t>
  </si>
  <si>
    <t xml:space="preserve">(M)13814034680 </t>
  </si>
  <si>
    <t>江苏省扬州市广陵区城东路46-1号5排3室;江苏省扬州市广陵区城东路46-1号5排3室</t>
  </si>
  <si>
    <t>扬州恒大云锦华庭-一期-4-2-104</t>
  </si>
  <si>
    <t>F6EFD77AA072F27C</t>
  </si>
  <si>
    <t>480165107949F6C2</t>
  </si>
  <si>
    <t>CC89E42D2FA3029B</t>
  </si>
  <si>
    <t>38f686c0-e797-4eeb-844e-21e01a9e4520</t>
  </si>
  <si>
    <t>4-105</t>
  </si>
  <si>
    <t>花蕾</t>
  </si>
  <si>
    <t>SP202011120140</t>
  </si>
  <si>
    <t xml:space="preserve">(M)18362829011 </t>
  </si>
  <si>
    <t>扬州市杭集镇三星路16号晨笑刷业</t>
  </si>
  <si>
    <t>扬州恒大云锦华庭-一期-4-2-105</t>
  </si>
  <si>
    <t>79f361c5-df1b-4909-8580-d2bf2ca07777</t>
  </si>
  <si>
    <t>4-106</t>
  </si>
  <si>
    <t>杜大荣</t>
  </si>
  <si>
    <t>SP202104020038</t>
  </si>
  <si>
    <t xml:space="preserve">(M)13222697978 </t>
  </si>
  <si>
    <t>江苏省仪征市前进路113号1幢501室</t>
  </si>
  <si>
    <t>Z4杜骏</t>
  </si>
  <si>
    <t>以标准总价为基准计算: (两年优惠分期付款（首付5成） 100% × 网购优惠折扣 90% × 一口价首顶层优惠 70% - 网上购房总价优惠 30000)</t>
  </si>
  <si>
    <t>扬州恒大云锦华庭-一期-4-2-106</t>
  </si>
  <si>
    <t>b84d7861-300e-4be7-acdc-a9b5d8d695e8</t>
  </si>
  <si>
    <t>4-1101</t>
  </si>
  <si>
    <t>肖文浦</t>
  </si>
  <si>
    <t>SP202011270024</t>
  </si>
  <si>
    <t xml:space="preserve">(M)15952712181 </t>
  </si>
  <si>
    <t>扬州市广陵区东花园联谊路22#70</t>
  </si>
  <si>
    <t>扬州恒大云锦华庭-一期-4-1-1101</t>
  </si>
  <si>
    <t>4b545e0a-0642-48fe-b025-8ee65f49b152</t>
  </si>
  <si>
    <t>4-1102</t>
  </si>
  <si>
    <t>佘芸芸;李晶晶</t>
  </si>
  <si>
    <t>SP202011120189</t>
  </si>
  <si>
    <t xml:space="preserve"> 321088199312195935;32108819941113488X </t>
  </si>
  <si>
    <t xml:space="preserve">(M)15895701641 </t>
  </si>
  <si>
    <t>江苏省扬州市江都区大桥镇镇北路24号;江苏省扬州市江都区大桥镇镇北路24号</t>
  </si>
  <si>
    <t>扬州恒大云锦华庭-一期-4-1-1102</t>
  </si>
  <si>
    <t>81549dfc-d0ab-4065-85ee-bc18794cd235</t>
  </si>
  <si>
    <t>4-1103</t>
  </si>
  <si>
    <t>方卫平;陶桂琴</t>
  </si>
  <si>
    <t>SP202012150052</t>
  </si>
  <si>
    <t xml:space="preserve"> 360430197401171112;360430197712100346 </t>
  </si>
  <si>
    <t xml:space="preserve">(M)13952568602 </t>
  </si>
  <si>
    <t>扬州市广陵区杭集镇锦都豪庭15#501;</t>
  </si>
  <si>
    <t>扬州恒大云锦华庭-一期-4-1-1103</t>
  </si>
  <si>
    <t>85127374-74c4-4874-b51e-804a0ab9f7c2</t>
  </si>
  <si>
    <t>4-1104</t>
  </si>
  <si>
    <t>居爱萍;祁汇师</t>
  </si>
  <si>
    <t>SP202101270165</t>
  </si>
  <si>
    <t xml:space="preserve"> 321088198809181382;321088198602193773 </t>
  </si>
  <si>
    <t xml:space="preserve">(M)18796649435 </t>
  </si>
  <si>
    <t>江苏省江都市丁沟镇光林村马家组14号;江苏省江都市丁沟镇光林村马家组14号</t>
  </si>
  <si>
    <t>以标准总价为基准计算: (两年分期付款 100% × 年末冲刺大优惠3 97% × 房车宝推荐折扣 96% × 清尾优惠折扣 94% - 网上购房总价优惠2万元 20000)</t>
  </si>
  <si>
    <t>扬州恒大云锦华庭-一期-4-2-1104</t>
  </si>
  <si>
    <t>cc95c4c8-24b9-4310-a452-8801193e5007</t>
  </si>
  <si>
    <t>4-1105</t>
  </si>
  <si>
    <t>龚桂忠</t>
  </si>
  <si>
    <t>SP202102240162</t>
  </si>
  <si>
    <t xml:space="preserve">(M)13852216377 </t>
  </si>
  <si>
    <t>江都区邵伯镇工农南路东侧502室</t>
  </si>
  <si>
    <t>扬州恒大云锦华庭-一期-4-2-1105</t>
  </si>
  <si>
    <t>89a0f25d-bb29-409d-9dca-ec690218a1b1</t>
  </si>
  <si>
    <t>4-1106</t>
  </si>
  <si>
    <t>郭金晶</t>
  </si>
  <si>
    <t>SP202101280178</t>
  </si>
  <si>
    <t xml:space="preserve">(M)19905140881 </t>
  </si>
  <si>
    <t>江苏省扬州市广陵区湾头镇沙联村王西组18号</t>
  </si>
  <si>
    <t>扬州恒大云锦华庭-一期-4-2-1106</t>
  </si>
  <si>
    <t>4b062744-f870-4532-9f27-802b17e4526d</t>
  </si>
  <si>
    <t>4-1201</t>
  </si>
  <si>
    <t>杜娟;刘庭川</t>
  </si>
  <si>
    <t>SP202011270018</t>
  </si>
  <si>
    <t xml:space="preserve"> 320826198311141627;32101119821025123X </t>
  </si>
  <si>
    <t xml:space="preserve">(M)18952726937 </t>
  </si>
  <si>
    <t>江苏省扬州市广陵区湾头镇夏桥村十里组32号;江苏省扬州市广陵区湾头镇夏桥村十里组32号</t>
  </si>
  <si>
    <t>扬州恒大云锦华庭-一期-4-1-1201</t>
  </si>
  <si>
    <t>0bb313e9-e25d-4938-a90b-7af13c148e97</t>
  </si>
  <si>
    <t>4-1202</t>
  </si>
  <si>
    <t>刁晨</t>
  </si>
  <si>
    <t>SP202012030008</t>
  </si>
  <si>
    <t xml:space="preserve">(M)18851839596 </t>
  </si>
  <si>
    <t>江苏省扬州市广陵区泰安镇金湾村刁庄组8号</t>
  </si>
  <si>
    <t>扬州恒大云锦华庭-一期-4-1-1202</t>
  </si>
  <si>
    <t>f68eb828-f1a8-4c4f-9116-31a66b435259</t>
  </si>
  <si>
    <t>4-1203</t>
  </si>
  <si>
    <t>贾君逸</t>
  </si>
  <si>
    <t>SP202101010054</t>
  </si>
  <si>
    <t xml:space="preserve">(M)18012128345 </t>
  </si>
  <si>
    <t>江苏省扬州市广陵区明发尚筑2#1008</t>
  </si>
  <si>
    <t>扬州恒大云锦华庭-一期-4-1-1203</t>
  </si>
  <si>
    <t>1f7007c5-51d2-4091-ae97-37588704d20f</t>
  </si>
  <si>
    <t>4-1204</t>
  </si>
  <si>
    <t>刘晓宇</t>
  </si>
  <si>
    <t>SP202101280017</t>
  </si>
  <si>
    <t xml:space="preserve">(M)13912958545 </t>
  </si>
  <si>
    <t>南京市秦淮区科巷9000号</t>
  </si>
  <si>
    <t>扬州恒大云锦华庭-一期-4-2-1204</t>
  </si>
  <si>
    <t>4e4f278e-5ea7-401e-90cd-bbb44490b54d</t>
  </si>
  <si>
    <t>4-1205</t>
  </si>
  <si>
    <t>王倩;顾建</t>
  </si>
  <si>
    <t>SP202101090081</t>
  </si>
  <si>
    <t xml:space="preserve"> 321027199312236028;321027196906026040 </t>
  </si>
  <si>
    <t xml:space="preserve">(M)17317904537 </t>
  </si>
  <si>
    <t>江苏省扬州市广陵区沙头镇育新村卫星组25号;江苏省扬州市邗江区沙头镇陈祠路10-2号</t>
  </si>
  <si>
    <t>以标准总价为基准计算: ((普通组合贷款 100% × 年末冲刺大优惠 95% × 房车宝推荐折扣 96% × 佣金抵房款 99% - 网上购房总价优惠2万元 20000) - 恒房通购房券优惠 10000)</t>
  </si>
  <si>
    <t>扬州恒大云锦华庭-一期-4-2-1205</t>
  </si>
  <si>
    <t>39CD6F52EB754330</t>
  </si>
  <si>
    <t>d8abc60a-a4cc-409c-a389-d663471db694</t>
  </si>
  <si>
    <t>4-1206</t>
  </si>
  <si>
    <t>严功理;韦长梅</t>
  </si>
  <si>
    <t>SP202012210139</t>
  </si>
  <si>
    <t xml:space="preserve"> 321027196611286910;321027196911036024 </t>
  </si>
  <si>
    <t xml:space="preserve">(M)13705277238 </t>
  </si>
  <si>
    <t>江苏省扬州市邗江区杭集镇新生村严桥组22号;江苏省扬州市邗江区杭集镇新生村严桥组22号</t>
  </si>
  <si>
    <t>扬州恒大云锦华庭-一期-4-2-1206</t>
  </si>
  <si>
    <t>152b7957-97eb-4092-98fc-61a77f2f69dc</t>
  </si>
  <si>
    <t>4-1301</t>
  </si>
  <si>
    <t>顾晓琳</t>
  </si>
  <si>
    <t>SP202012210146</t>
  </si>
  <si>
    <t xml:space="preserve">(M)13645258622 </t>
  </si>
  <si>
    <t>江苏省扬州市广陵区李典镇田桥村五一组44号</t>
  </si>
  <si>
    <t>以标准总价为基准计算: ((两年分期付款 100% × 年末冲刺大优惠 95% × 房车宝推荐折扣 96% - 网上购房总价优惠2万元 20000) - 恒房通购房券优惠 10000) × 佣金抵房款 99%</t>
  </si>
  <si>
    <t>扬州恒大云锦华庭-一期-4-1-1301</t>
  </si>
  <si>
    <t>C093C16C908B57AA</t>
  </si>
  <si>
    <t>06badf28-66e6-445c-9e94-88983f096a4e</t>
  </si>
  <si>
    <t>4-1302</t>
  </si>
  <si>
    <t>胡小萍;顾新年</t>
  </si>
  <si>
    <t>SP202012080168</t>
  </si>
  <si>
    <t xml:space="preserve"> 321088197802231880;310108197511282013 </t>
  </si>
  <si>
    <t xml:space="preserve">(M)13585823880 </t>
  </si>
  <si>
    <t>上海市普陀区中山北路2185弄1号309室;上海市普陀区中山北路2185弄1号309-310室</t>
  </si>
  <si>
    <t>扬州恒大云锦华庭-一期-4-1-1302</t>
  </si>
  <si>
    <t>79469f6c-b9bb-4042-a9df-8c146230a637</t>
  </si>
  <si>
    <t>4-1303</t>
  </si>
  <si>
    <t>黄鑫</t>
  </si>
  <si>
    <t>SP202011260027</t>
  </si>
  <si>
    <t xml:space="preserve">(M)17317509005 </t>
  </si>
  <si>
    <t>扬州市江都区邵伯镇桃园路46号</t>
  </si>
  <si>
    <t>线下推广-路过/楼盘包装</t>
  </si>
  <si>
    <t>扬州恒大云锦华庭-一期-4-1-1303</t>
  </si>
  <si>
    <t>514b28a0-2279-48f2-94fc-2d098e6e655c</t>
  </si>
  <si>
    <t>4-1304</t>
  </si>
  <si>
    <t>陈爱兰</t>
  </si>
  <si>
    <t>SP202102250005</t>
  </si>
  <si>
    <t xml:space="preserve">(M)15205278506 </t>
  </si>
  <si>
    <t>江苏省兴化市缸顾乡万旺村八组105号</t>
  </si>
  <si>
    <t>以标准总价为基准计算: (两年分期付款 100% × 清尾优惠折扣 91% × 年末冲刺大优惠3 97% × 房车宝推荐折扣 96% - 网上购房总价优惠2万元 20000)</t>
  </si>
  <si>
    <t>扬州恒大云锦华庭-一期-4-2-1304</t>
  </si>
  <si>
    <t>c31df8e9-7b86-41fb-aaff-4fea940d9731</t>
  </si>
  <si>
    <t>4-1305</t>
  </si>
  <si>
    <t>姜军;顾敏</t>
  </si>
  <si>
    <t>SP202012160136</t>
  </si>
  <si>
    <t xml:space="preserve"> 321088197206182736;321088197210092741 </t>
  </si>
  <si>
    <t xml:space="preserve">(M)13218956777 </t>
  </si>
  <si>
    <t>;江苏省江都市真武镇振兴村南戴组57号</t>
  </si>
  <si>
    <t>扬州恒大云锦华庭-一期-4-2-1305</t>
  </si>
  <si>
    <t>98170280-b253-4302-be24-3c50febd2061</t>
  </si>
  <si>
    <t>4-1306</t>
  </si>
  <si>
    <t>吕祥运</t>
  </si>
  <si>
    <t>SP202011120087</t>
  </si>
  <si>
    <t xml:space="preserve">(M)17624020671 </t>
  </si>
  <si>
    <t>江苏省扬州市江都区小纪镇华阳村振华路9号</t>
  </si>
  <si>
    <t>扬州恒大云锦华庭-一期-4-2-1306</t>
  </si>
  <si>
    <t>df8be6f5-5df6-4fbb-b24f-2f22e346ce91</t>
  </si>
  <si>
    <t>4-1401</t>
  </si>
  <si>
    <t>王莉芳</t>
  </si>
  <si>
    <t xml:space="preserve">(M)13935668056 </t>
  </si>
  <si>
    <t>山西省晋城市城区兰煜龙湾8-1501</t>
  </si>
  <si>
    <t>以标准总价为基准计算: (两年分期付款 100% × 年末冲刺大优惠2 96% × 房车宝推荐折扣 96% × 清尾优惠折扣 96% - 网上购房总价优惠2万元 20000)</t>
  </si>
  <si>
    <t>扬州恒大云锦华庭-一期-4-1-1401</t>
  </si>
  <si>
    <t>745e0171-881f-4bf0-b9bc-35b30ee90911</t>
  </si>
  <si>
    <t>4-1402</t>
  </si>
  <si>
    <t>章海霞;王家荣</t>
  </si>
  <si>
    <t>SP202103220063</t>
  </si>
  <si>
    <t xml:space="preserve"> 340222198403153823;321027197904025719 </t>
  </si>
  <si>
    <t xml:space="preserve">(M)18051056332 </t>
  </si>
  <si>
    <t>江苏省扬州市邗江区头桥镇红桥集镇红星路6-12号;江苏省扬州市广陵区头桥镇新华村四组38号</t>
  </si>
  <si>
    <t>扬州恒大云锦华庭-一期-4-1-1402</t>
  </si>
  <si>
    <t>HFTM0021586561</t>
  </si>
  <si>
    <t>4066e900-b899-49d9-bccc-c954c2f277d2</t>
  </si>
  <si>
    <t>4-1403</t>
  </si>
  <si>
    <t>绪明驹</t>
  </si>
  <si>
    <t xml:space="preserve">(M)15252515808 </t>
  </si>
  <si>
    <t>江苏省高邮市车逻镇太丰村十一组29号</t>
  </si>
  <si>
    <t>扬州恒大云锦华庭-一期-4-1-1403</t>
  </si>
  <si>
    <t>247af079-4663-4a66-8f2e-3611e00e559d</t>
  </si>
  <si>
    <t>4-1404</t>
  </si>
  <si>
    <t>陈胜民;刘金兰</t>
  </si>
  <si>
    <t>SP202103070174</t>
  </si>
  <si>
    <t xml:space="preserve"> 32101119540928123X;321011196304301227 </t>
  </si>
  <si>
    <t xml:space="preserve">(M)13092077866 </t>
  </si>
  <si>
    <t>江苏省扬州市广陵区湾头镇二桥村管陈组57号;江苏省扬州市广陵区湾头镇二桥村管陈组57号</t>
  </si>
  <si>
    <t>以标准总价为基准计算: (两年分期付款 100% × 自然到访优惠 96% × 年末冲刺大优惠3 97% × 清尾优惠折扣 90% - 网上购房总价优惠2万元 20000)</t>
  </si>
  <si>
    <t>扬州恒大云锦华庭-一期-4-2-1404</t>
  </si>
  <si>
    <t>742c99bb-a8a4-478a-8c65-c53dffa1e51a</t>
  </si>
  <si>
    <t>4-1405</t>
  </si>
  <si>
    <t>朱毓袖;陈彩艳</t>
  </si>
  <si>
    <t>SP202011260105</t>
  </si>
  <si>
    <t xml:space="preserve"> 321027198910115758;321323198711162368 </t>
  </si>
  <si>
    <t xml:space="preserve">(M)18352708058 </t>
  </si>
  <si>
    <t>江苏省宿迁市宿城区中扬镇熊楼村高圩组1号;江苏省宿迁市宿城区中扬镇熊楼村高圩组1号</t>
  </si>
  <si>
    <t>扬州恒大云锦华庭-一期-4-2-1405</t>
  </si>
  <si>
    <t>93c4ffe0-2e6a-4044-b9fa-6d837e64ebc2</t>
  </si>
  <si>
    <t>4-1406</t>
  </si>
  <si>
    <t>陈珠磊;朱春艳</t>
  </si>
  <si>
    <t>SP202102080039</t>
  </si>
  <si>
    <t xml:space="preserve"> 321027199207266014;320922199301050064 </t>
  </si>
  <si>
    <t xml:space="preserve">(M)18556202144 </t>
  </si>
  <si>
    <t>江苏省扬州市广陵区沙头镇人民滩村7组29号;江苏省扬州市广陵区沙头镇人民滩村七组29号</t>
  </si>
  <si>
    <t>扬州恒大云锦华庭-一期-4-2-1406</t>
  </si>
  <si>
    <t>3fe153c2-6994-4be7-8c85-b8e7a56f21ab</t>
  </si>
  <si>
    <t>4-1501</t>
  </si>
  <si>
    <t>宗海红</t>
  </si>
  <si>
    <t>SP202102230161</t>
  </si>
  <si>
    <t xml:space="preserve"> 32091119801106224X </t>
  </si>
  <si>
    <t xml:space="preserve">(M)13511756663 </t>
  </si>
  <si>
    <t>江苏省扬州市开发区维扬路95号御峰华府1幢2408室</t>
  </si>
  <si>
    <t>以标准总价为基准计算: (两年分期付款 100% × 年末冲刺大优惠3 97% × 房车宝推荐折扣 96% - 网上购房总价优惠2万元 20000)</t>
  </si>
  <si>
    <t>扬州恒大云锦华庭-一期-4-1-1501</t>
  </si>
  <si>
    <t>f9c72bdf-f7c7-46a4-897b-77fed3749daf</t>
  </si>
  <si>
    <t>4-1502</t>
  </si>
  <si>
    <t>杨云;孙长柱</t>
  </si>
  <si>
    <t>SP202101090215</t>
  </si>
  <si>
    <t xml:space="preserve"> 320826198707041841;32088219861106381X </t>
  </si>
  <si>
    <t xml:space="preserve">(M)15161884502 </t>
  </si>
  <si>
    <t>江苏省扬州市杭集镇金鼎旺座8幢416室;江苏省扬州市杭集镇金鼎旺座8幢416室</t>
  </si>
  <si>
    <t>扬州恒大云锦华庭-一期-4-1-1502</t>
  </si>
  <si>
    <t>F84228DC99F1E4B0</t>
  </si>
  <si>
    <t>16212845-3baa-4d77-bb85-0e889293f48d</t>
  </si>
  <si>
    <t>4-1503</t>
  </si>
  <si>
    <t>丁卫东</t>
  </si>
  <si>
    <t>SP202101260130</t>
  </si>
  <si>
    <t xml:space="preserve">(M)13815818869 </t>
  </si>
  <si>
    <t>江苏省江都市丁家路36-1号</t>
  </si>
  <si>
    <t>扬州恒大云锦华庭-一期-4-1-1503</t>
  </si>
  <si>
    <t>3EB0EF2A285E5EB4</t>
  </si>
  <si>
    <t>12a1c141-a84a-496f-8d2f-7c35b32d6a82</t>
  </si>
  <si>
    <t>4-1504</t>
  </si>
  <si>
    <t>刘春兰</t>
  </si>
  <si>
    <t>SP202101260175</t>
  </si>
  <si>
    <t xml:space="preserve">(M)18036260321 </t>
  </si>
  <si>
    <t>江苏省扬州市广陵区湾头镇万福村戴二组32号</t>
  </si>
  <si>
    <t>以标准总价为基准计算: (两年分期付款 100% × 清尾优惠折扣 92% × 年末冲刺大优惠3 97% × 房车宝推荐折扣 96% - 网上购房总价优惠2万元 20000)</t>
  </si>
  <si>
    <t>扬州恒大云锦华庭-一期-4-2-1504</t>
  </si>
  <si>
    <t>b584f85b-0521-46ce-a19b-0495a15e7478</t>
  </si>
  <si>
    <t>4-1505</t>
  </si>
  <si>
    <t>王千实</t>
  </si>
  <si>
    <t>SP202011270028</t>
  </si>
  <si>
    <t xml:space="preserve">(M)15751059561 </t>
  </si>
  <si>
    <t>扬州市开发区施桥镇施沙路与临江路交界口锦柏建设宿舍</t>
  </si>
  <si>
    <t>扬州恒大云锦华庭-一期-4-2-1505</t>
  </si>
  <si>
    <t>9ee3545b-b11c-4f6e-8e64-66c223587687</t>
  </si>
  <si>
    <t>4-1506</t>
  </si>
  <si>
    <t>王沛</t>
  </si>
  <si>
    <t>SP202102270026</t>
  </si>
  <si>
    <t xml:space="preserve">(M)17351625505 </t>
  </si>
  <si>
    <t>江苏省扬州市广陵区杭集镇王集村李家组2号</t>
  </si>
  <si>
    <t>以标准总价为基准计算: (两年分期付款 100% × 清尾优惠折扣 90% × 年末冲刺大优惠3 98% × 房车宝推荐折扣 96% - 网上购房总价优惠2万元 20000)</t>
  </si>
  <si>
    <t>扬州恒大云锦华庭-一期-4-2-1506</t>
  </si>
  <si>
    <t>6f556e8b-179b-40c9-beec-0604eea13173</t>
  </si>
  <si>
    <t>4-1601</t>
  </si>
  <si>
    <t>宦春松;沈娟娟</t>
  </si>
  <si>
    <t>SP202011130060</t>
  </si>
  <si>
    <t xml:space="preserve"> 321011198310111218;320882198602021220 </t>
  </si>
  <si>
    <t xml:space="preserve">(M)18012131177 </t>
  </si>
  <si>
    <t>扬州市广陵区运河水榭5幢201室;扬州市广陵区运河水榭5幢201室</t>
  </si>
  <si>
    <t>扬州恒大云锦华庭-一期-4-1-1601</t>
  </si>
  <si>
    <t>61ae4974-e1e3-4dfa-a493-6d080e8d9d38</t>
  </si>
  <si>
    <t>4-1602</t>
  </si>
  <si>
    <t>季江淮;韦艳红</t>
  </si>
  <si>
    <t>SP202011120186</t>
  </si>
  <si>
    <t xml:space="preserve"> 320882198208243810;321324198303121264 </t>
  </si>
  <si>
    <t xml:space="preserve">(M)18014976616 </t>
  </si>
  <si>
    <t>江苏省淮安市淮安区苏嘴镇北季村五组38号;江苏省淮安市淮安区苏嘴镇北季村五组38号</t>
  </si>
  <si>
    <t>扬州恒大云锦华庭-一期-4-1-1602</t>
  </si>
  <si>
    <t>15513129-6f14-491e-b3ee-bb36f092742d</t>
  </si>
  <si>
    <t>4-1603</t>
  </si>
  <si>
    <t>徐晓花</t>
  </si>
  <si>
    <t>SP202011120212</t>
  </si>
  <si>
    <t xml:space="preserve">(M)18912137056 </t>
  </si>
  <si>
    <t>扬州市广陵区李典镇新坝社区荣清鞋业有限公司</t>
  </si>
  <si>
    <t>扬州恒大云锦华庭-一期-4-1-1603</t>
  </si>
  <si>
    <t>1f011b9f-3e8c-4c7c-ad65-5bdc024b5c01</t>
  </si>
  <si>
    <t>4-1604</t>
  </si>
  <si>
    <t>周启萍;陈元明</t>
  </si>
  <si>
    <t>SP202101260134</t>
  </si>
  <si>
    <t xml:space="preserve"> 321011196709121240;32100219660518331X </t>
  </si>
  <si>
    <t xml:space="preserve">(M)13064882968 </t>
  </si>
  <si>
    <t>江苏省扬州市广陵区湾头镇联合村金家组81－1号;江苏省扬州市广陵区茱萸湾路292号11幢101室</t>
  </si>
  <si>
    <t>扬州恒大云锦华庭-一期-4-2-1604</t>
  </si>
  <si>
    <t>710E99467583E9E8</t>
  </si>
  <si>
    <t>b1435095-d2ce-43b7-b99e-582b532755b5</t>
  </si>
  <si>
    <t>4-1605</t>
  </si>
  <si>
    <t>韩雨萌</t>
  </si>
  <si>
    <t>SP202012020051</t>
  </si>
  <si>
    <t xml:space="preserve">(M)15189575350 </t>
  </si>
  <si>
    <t>江苏省淮安市淮安区钦工中学</t>
  </si>
  <si>
    <t>扬州恒大云锦华庭-一期-4-2-1605</t>
  </si>
  <si>
    <t>527b4ec5-1ca7-4b8c-ad9c-1524170a1d50</t>
  </si>
  <si>
    <t>4-1606</t>
  </si>
  <si>
    <t>冒立诚</t>
  </si>
  <si>
    <t>SP202102190074</t>
  </si>
  <si>
    <t xml:space="preserve">(M)13773383033 </t>
  </si>
  <si>
    <t>江苏省江都市唐田路西一巷2号</t>
  </si>
  <si>
    <t>扬州恒大云锦华庭-一期-4-2-1606</t>
  </si>
  <si>
    <t>e24c9241-4131-4682-8615-10c2cb0b15d4</t>
  </si>
  <si>
    <t>4-1701</t>
  </si>
  <si>
    <t>丁明云;褚胜宏</t>
  </si>
  <si>
    <t>SP202012230098</t>
  </si>
  <si>
    <t xml:space="preserve"> 321027196812260629;321027196508016015 </t>
  </si>
  <si>
    <t xml:space="preserve">(M)13665266001 </t>
  </si>
  <si>
    <t>江苏省扬州市广陵区沙头镇陈祠村十五组26号;江苏省扬州市广陵区沙头镇陈祠村十五组26号</t>
  </si>
  <si>
    <t>扬州恒大云锦华庭-一期-4-1-1701</t>
  </si>
  <si>
    <t>45b904ff-af7e-4654-8969-ab09f0f7fd85</t>
  </si>
  <si>
    <t>4-1702</t>
  </si>
  <si>
    <t>刘桂平</t>
  </si>
  <si>
    <t>SP202101020045</t>
  </si>
  <si>
    <t xml:space="preserve"> 32102319990830441X </t>
  </si>
  <si>
    <t xml:space="preserve">(M)13773327836 </t>
  </si>
  <si>
    <t>江苏省宝应县汜水镇五里村渡口组54号</t>
  </si>
  <si>
    <t>以标准总价为基准计算: ((普通商业按揭 100% × 年末冲刺大优惠2 96% × 房车宝推荐折扣 96% - 网上购房总价优惠2万元 20000) - 恒房通购房券优惠 10000)</t>
  </si>
  <si>
    <t>扬州恒大云锦华庭-一期-4-1-1702</t>
  </si>
  <si>
    <t>HFTM7242724500</t>
  </si>
  <si>
    <t>f6cfaa54-07f5-4108-8616-cca815728eb1</t>
  </si>
  <si>
    <t>4-1703</t>
  </si>
  <si>
    <t>史俊峰;王安芳</t>
  </si>
  <si>
    <t>SP202012220143</t>
  </si>
  <si>
    <t xml:space="preserve"> 321027198611156912;321283198511283828 </t>
  </si>
  <si>
    <t xml:space="preserve">(M)15366867527 </t>
  </si>
  <si>
    <t>江苏省扬州市广陵区杭集镇新生村马坝组43号;江苏省扬州市邗江区杭集镇新生村马坝组43号</t>
  </si>
  <si>
    <t>扬州恒大云锦华庭-一期-4-1-1703</t>
  </si>
  <si>
    <t>dbaed5dd-7a44-4f30-9a36-b0b1f99d63b9</t>
  </si>
  <si>
    <t>4-1704</t>
  </si>
  <si>
    <t>王小花</t>
  </si>
  <si>
    <t>SP202103200019</t>
  </si>
  <si>
    <t xml:space="preserve">(M)13305277342 </t>
  </si>
  <si>
    <t>江苏省扬州市邗江区杭集镇王集村刘二组37号</t>
  </si>
  <si>
    <t>扬州恒大云锦华庭-一期-4-2-1704</t>
  </si>
  <si>
    <t>9eb90798-54c9-4ea2-818f-1cf5658d1fe1</t>
  </si>
  <si>
    <t>4-1705</t>
  </si>
  <si>
    <t>周宗兵;杨维梅</t>
  </si>
  <si>
    <t>SP202101080119</t>
  </si>
  <si>
    <t xml:space="preserve"> 320831197402224010;320831197512154420 </t>
  </si>
  <si>
    <t xml:space="preserve">(M)15949164228 </t>
  </si>
  <si>
    <t>江苏省金湖县陈桥镇前进村一组95号;江苏省金湖县陈桥镇前进村一组95号</t>
  </si>
  <si>
    <t>以标准总价为基准计算: ((首付优惠按揭付款 100% × 佣金抵房款 98.4% × 年末冲刺大优惠2 96% × 房车宝推荐折扣 96% - 恒房通购房券优惠 10000) - 网上购房总价优惠2万元 20000)</t>
  </si>
  <si>
    <t>扬州恒大云锦华庭-一期-4-2-1705</t>
  </si>
  <si>
    <t>HFTM4649459493</t>
  </si>
  <si>
    <t>05c9d933-d081-46d3-8092-2b290ee393b3</t>
  </si>
  <si>
    <t>4-1706</t>
  </si>
  <si>
    <t>陈兴扣;王俊</t>
  </si>
  <si>
    <t xml:space="preserve"> 321027198608086917;321027198610276920 </t>
  </si>
  <si>
    <t xml:space="preserve">(M)15252785466 </t>
  </si>
  <si>
    <t>扬州市杭集镇杭集村杭西组4排4号;扬州市杭集镇杭集村杭西组4排4号</t>
  </si>
  <si>
    <t>以标准总价为基准计算: (两年分期付款 100% × 清尾优惠折扣 90% × 年末冲刺大优惠3 97% × 自然到访优惠 96% - 网上购房总价优惠2万元 20000)</t>
  </si>
  <si>
    <t>扬州恒大云锦华庭-一期-4-2-1706</t>
  </si>
  <si>
    <t>1610b225-e566-4e44-b70b-0fbf4425f46e</t>
  </si>
  <si>
    <t>4-1801</t>
  </si>
  <si>
    <t>钟小燕;刘风华</t>
  </si>
  <si>
    <t>SP202103120190</t>
  </si>
  <si>
    <t xml:space="preserve"> 321083197109231901;321083197003201915 </t>
  </si>
  <si>
    <t xml:space="preserve">(M)13961068318 </t>
  </si>
  <si>
    <t>江苏省兴化市安丰镇程关西路140-88号;江苏省兴化市安丰镇黄庄村河南四组70号</t>
  </si>
  <si>
    <t>以标准总价为基准计算: (((两年优惠分期付款（首付5成） 100% × 网购优惠折扣 90% × 一口价首顶层优惠 70% - 网上购房总价优惠 30000) - 注册南瓜会员优惠 20000) - 房车宝购房券优惠 10000)</t>
  </si>
  <si>
    <t>扬州恒大云锦华庭-一期-4-1-1801</t>
  </si>
  <si>
    <t>B1ADC311F7A6E91C</t>
  </si>
  <si>
    <t>36F08C7E137E5339</t>
  </si>
  <si>
    <t>0EE58EBE4F16361E</t>
  </si>
  <si>
    <t>f4b7934b-6c5d-47df-ab9a-253674b3a0fa</t>
  </si>
  <si>
    <t>4-1802</t>
  </si>
  <si>
    <t>厉茂富;厉军</t>
  </si>
  <si>
    <t>SP202102260001</t>
  </si>
  <si>
    <t xml:space="preserve"> 321027195609260610;321027198008020615 </t>
  </si>
  <si>
    <t xml:space="preserve">(M)15062834256 </t>
  </si>
  <si>
    <t>扬州市邗江区李典镇伏固村高照组18号;扬州市邗江区李典镇伏固村高照组18号</t>
  </si>
  <si>
    <t>扬州恒大云锦华庭-一期-4-1-1802</t>
  </si>
  <si>
    <t>84e5f296-3e33-43f3-973c-0efc8cc5c0a3</t>
  </si>
  <si>
    <t>4-1803</t>
  </si>
  <si>
    <t>刘凤存;徐存兰</t>
  </si>
  <si>
    <t>SP202103120196</t>
  </si>
  <si>
    <t xml:space="preserve"> 321083196412241913;321083196408091887 </t>
  </si>
  <si>
    <t xml:space="preserve">(M)15190645905 </t>
  </si>
  <si>
    <t>江苏省兴化市安丰镇黄庄村河南四组70号;江苏省兴化市安丰镇新北郊村莲花一组116号</t>
  </si>
  <si>
    <t>扬州恒大云锦华庭-一期-4-1-1803</t>
  </si>
  <si>
    <t>BA8BFDAF7779CF80</t>
  </si>
  <si>
    <t>72F3F07841DA4E6D</t>
  </si>
  <si>
    <t>A5016904AF0D6ECB</t>
  </si>
  <si>
    <t>9da7f89e-48ce-4be4-83ed-1cc45ffc62e0</t>
  </si>
  <si>
    <t>4-1804</t>
  </si>
  <si>
    <t>薛丽楠</t>
  </si>
  <si>
    <t>SP202103170105</t>
  </si>
  <si>
    <t xml:space="preserve">(M)18115107138 </t>
  </si>
  <si>
    <t>江苏省扬州市邗江区华扬西路197号</t>
  </si>
  <si>
    <t>以标准总价为基准计算: (((两年优惠分期付款（首付5成） 100% × 网购优惠折扣 90% × 一口价首顶层优惠 70% - 注册南瓜会员优惠 20000) - 网上购房总价优惠 30000) - 房车宝购房券优惠 10000)</t>
  </si>
  <si>
    <t>扬州恒大云锦华庭-一期-4-2-1804</t>
  </si>
  <si>
    <t>3318958A7CBE146F</t>
  </si>
  <si>
    <t>2B075F7FD6B44C6C</t>
  </si>
  <si>
    <t>F36F7E53A969EEC1</t>
  </si>
  <si>
    <t>87374424-2089-4b93-8dce-80ddc9a79a01</t>
  </si>
  <si>
    <t>4-1805</t>
  </si>
  <si>
    <t>仲源</t>
  </si>
  <si>
    <t>SP202102260046</t>
  </si>
  <si>
    <t xml:space="preserve">(M)13805271345 </t>
  </si>
  <si>
    <t>江苏省高邮市汤庄镇南屏村四组188号</t>
  </si>
  <si>
    <t>扬州恒大云锦华庭-一期-4-2-1805</t>
  </si>
  <si>
    <t>87879d13-e3cb-4032-848e-812ecece3ff5</t>
  </si>
  <si>
    <t>4-1806</t>
  </si>
  <si>
    <t>沈连巧;张圣杰</t>
  </si>
  <si>
    <t>SP202103120200</t>
  </si>
  <si>
    <t xml:space="preserve"> 321083197002121905;32108319701009189X </t>
  </si>
  <si>
    <t xml:space="preserve">(M)15052827989 </t>
  </si>
  <si>
    <t>江苏省兴化市安丰镇新北郊村莲花一组27号;江苏省兴化市安丰镇新北郊村莲花一组27号</t>
  </si>
  <si>
    <t>扬州恒大云锦华庭-一期-4-2-1806</t>
  </si>
  <si>
    <t>E2EB0DBFA2D84A99</t>
  </si>
  <si>
    <t>FF12E0B879E55613</t>
  </si>
  <si>
    <t>91756C70004159ED</t>
  </si>
  <si>
    <t>4b68bb5e-b8ee-4540-8ed2-96bc565454f6</t>
  </si>
  <si>
    <t>4-201</t>
  </si>
  <si>
    <t>王鹏程</t>
  </si>
  <si>
    <t>SP202103130027</t>
  </si>
  <si>
    <t xml:space="preserve">(M)17798961227 </t>
  </si>
  <si>
    <t>江苏省扬州市广陵区杭集镇新联村天东组21号</t>
  </si>
  <si>
    <t>扬州恒大云锦华庭-一期-4-1-201</t>
  </si>
  <si>
    <t>1df05d4b-3b7d-4355-afc3-8d5312f47194</t>
  </si>
  <si>
    <t>4-202</t>
  </si>
  <si>
    <t>顾羽商;谢一鸣</t>
  </si>
  <si>
    <t>SP202103140185</t>
  </si>
  <si>
    <t xml:space="preserve"> 32108419940531802X;321002199401114914 </t>
  </si>
  <si>
    <t xml:space="preserve">(M)13348130119 </t>
  </si>
  <si>
    <t>江苏省扬州市恒通市蓝湾国际21幢二单元304室;江苏省扬州市广陵区通泗街7号809市</t>
  </si>
  <si>
    <t>以标准总价为基准计算: (普通商业按揭 100% × 房车宝推荐折扣 96% × 年末冲刺大优惠3 97% × 清尾优惠折扣 93% - 网上购房总价优惠2万元 20000)</t>
  </si>
  <si>
    <t>扬州恒大云锦华庭-一期-4-1-202</t>
  </si>
  <si>
    <t>a4717fa2-7cdf-45b0-8a83-d62624dd5395</t>
  </si>
  <si>
    <t>4-203</t>
  </si>
  <si>
    <t>刘玉艳</t>
  </si>
  <si>
    <t>SP202103170070</t>
  </si>
  <si>
    <t xml:space="preserve"> 34122419780105132X </t>
  </si>
  <si>
    <t xml:space="preserve">(M)18852573165 </t>
  </si>
  <si>
    <t>江苏省扬州市邗江区汊河街道风林新苑2幢306室</t>
  </si>
  <si>
    <t>扬州恒大云锦华庭-一期-4-1-203</t>
  </si>
  <si>
    <t>148CCDD30FB080CE</t>
  </si>
  <si>
    <t>628863373900A69C</t>
  </si>
  <si>
    <t>BA1536F732EEA18C</t>
  </si>
  <si>
    <t>d5f85039-84dc-4140-8b56-ad85fe130b78</t>
  </si>
  <si>
    <t>4-204</t>
  </si>
  <si>
    <t>候梅</t>
  </si>
  <si>
    <t>SP202106180108</t>
  </si>
  <si>
    <t xml:space="preserve">(M)18752776107 </t>
  </si>
  <si>
    <t>江苏省扬州市江都区仙女镇同桥村五组5号</t>
  </si>
  <si>
    <t>以标准总价为基准计算: (((两年优惠分期付款（首付5成） 100% × 网购优惠折扣 90% × 一口价首顶层优惠 83% - 网上购房总价优惠 30000) - 房车宝购房券优惠 10000) - 注册南瓜会员优惠 20000)</t>
  </si>
  <si>
    <t>线上媒体-搜索引擎广告</t>
  </si>
  <si>
    <t>扬州恒大云锦华庭-一期-4-2-204</t>
  </si>
  <si>
    <t>E0490949F632A0F8</t>
  </si>
  <si>
    <t>A58FBDEDF76C19DB</t>
  </si>
  <si>
    <t>05A086E803A8D74B</t>
  </si>
  <si>
    <t>5f6a9f0b-0831-4546-92c9-ccd9e9a7035e</t>
  </si>
  <si>
    <t>4-205</t>
  </si>
  <si>
    <t>覃小华;周显明</t>
  </si>
  <si>
    <t>SP202101290150</t>
  </si>
  <si>
    <t xml:space="preserve"> 510922198107194348;321027197810305437 </t>
  </si>
  <si>
    <t xml:space="preserve">(M)13773583796 </t>
  </si>
  <si>
    <t>扬州市广陵区李典镇新滩村解小组19号;扬州市广陵区李典镇新滩村解小组19号</t>
  </si>
  <si>
    <t>以标准总价为基准计算: (普通组合贷款 100% × 年末冲刺大优惠3 97% × 房车宝推荐折扣 96% × 清尾优惠折扣 97% - 网上购房总价优惠2万元 20000)</t>
  </si>
  <si>
    <t>扬州恒大云锦华庭-一期-4-2-205</t>
  </si>
  <si>
    <t>309a6d9f-ecd2-49ac-8dd3-aaaeb1966171</t>
  </si>
  <si>
    <t>4-206</t>
  </si>
  <si>
    <t>张文忠</t>
  </si>
  <si>
    <t>SP202104010137</t>
  </si>
  <si>
    <t xml:space="preserve">(M)18999779999 </t>
  </si>
  <si>
    <t>江苏省扬州市江都区小纪镇太平村潘南组45号</t>
  </si>
  <si>
    <t>以标准总价为基准计算: (((两年优惠分期付款 100% × 网购优惠折扣 90% - 网上购房总价优惠 30000) - 房车宝购房券优惠 10000) - 注册南瓜会员优惠 20000)</t>
  </si>
  <si>
    <t>扬州恒大云锦华庭-一期-4-2-206</t>
  </si>
  <si>
    <t>64F8EEC6FA16BAD1</t>
  </si>
  <si>
    <t>b12d96e5-1226-4918-9a6f-785ac3b3abf1</t>
  </si>
  <si>
    <t>4-301</t>
  </si>
  <si>
    <t>吴燕</t>
  </si>
  <si>
    <t>SP202012230063</t>
  </si>
  <si>
    <t xml:space="preserve">(M)13852783691 </t>
  </si>
  <si>
    <t>江苏省扬州市黄金坝路47号瘦西湖名苑1幢104室</t>
  </si>
  <si>
    <t>扬州恒大云锦华庭-一期-4-1-301</t>
  </si>
  <si>
    <t>83f7ca6e-abe9-4b91-bb08-228ce78dee60</t>
  </si>
  <si>
    <t>4-302</t>
  </si>
  <si>
    <t>袁刘正</t>
  </si>
  <si>
    <t>SP202101290148</t>
  </si>
  <si>
    <t xml:space="preserve">(M)15195858531;18029926841 </t>
  </si>
  <si>
    <t>江苏省扬州市江都区大桥镇高巷村袁桥组77号</t>
  </si>
  <si>
    <t>以标准总价为基准计算: (普通商业按揭 100% × 年末冲刺大优惠2 96% × 房车宝推荐折扣 96% × 清尾优惠折扣 93% - 网上购房总价优惠2万元 20000)</t>
  </si>
  <si>
    <t>扬州恒大云锦华庭-一期-4-1-302</t>
  </si>
  <si>
    <t>1dc11cb9-2588-4483-9675-d88f6ea65653</t>
  </si>
  <si>
    <t>4-303</t>
  </si>
  <si>
    <t>王云荷</t>
  </si>
  <si>
    <t>SP202102270005</t>
  </si>
  <si>
    <t xml:space="preserve">(M)15252568855 </t>
  </si>
  <si>
    <t>江苏省江都市东方红东路18号1幢401室</t>
  </si>
  <si>
    <t>以标准总价为基准计算: (两年分期付款 100% × 清尾优惠折扣 98% × 年末冲刺大优惠3 97% × 房车宝推荐折扣 96% - 网上购房总价优惠2万元 20000)</t>
  </si>
  <si>
    <t>扬州恒大云锦华庭-一期-4-1-303</t>
  </si>
  <si>
    <t>da649fad-bca6-4c82-bd9a-0ab2206de05d</t>
  </si>
  <si>
    <t>4-304</t>
  </si>
  <si>
    <t>张敏</t>
  </si>
  <si>
    <t xml:space="preserve">(M)13805251177 </t>
  </si>
  <si>
    <t>江苏省扬州市维扬区四望亭路414号5幢206室</t>
  </si>
  <si>
    <t>以标准总价为基准计算: (两年分期付款 100% × 年末冲刺大优惠3 97% × 清尾优惠折扣 92% × 自然到访优惠 96% - 网上购房总价优惠2万元 20000)</t>
  </si>
  <si>
    <t>扬州恒大云锦华庭-一期-4-2-304</t>
  </si>
  <si>
    <t>a7afa626-eacb-4b74-863c-50c4af681aa9</t>
  </si>
  <si>
    <t>4-305</t>
  </si>
  <si>
    <t>张建胜;夏良兰</t>
  </si>
  <si>
    <t>SP202101280051</t>
  </si>
  <si>
    <t xml:space="preserve"> 321027197502045418;321027197612275425 </t>
  </si>
  <si>
    <t xml:space="preserve">(M)13852574210 </t>
  </si>
  <si>
    <t>江苏省扬州市邗江区李典镇小乾村小乾组35号;江苏省扬州市邗江区李典镇小乾组小乾组35号</t>
  </si>
  <si>
    <t>扬州恒大云锦华庭-一期-4-2-305</t>
  </si>
  <si>
    <t>EC1FA1B768F9A832</t>
  </si>
  <si>
    <t>b0f499f6-6fd6-439c-9d80-523b6ea5f4ee</t>
  </si>
  <si>
    <t>4-306</t>
  </si>
  <si>
    <t>尹桂兰</t>
  </si>
  <si>
    <t xml:space="preserve">(M)18945099681 </t>
  </si>
  <si>
    <t>哈尔滨市香坊区通站街4号3单元4楼2门</t>
  </si>
  <si>
    <t>扬州恒大云锦华庭-一期-4-2-306</t>
  </si>
  <si>
    <t>f01626c6-d0b8-44ca-8125-f80a414647cc</t>
  </si>
  <si>
    <t>4-401</t>
  </si>
  <si>
    <t>王正新</t>
  </si>
  <si>
    <t>SP202104020078</t>
  </si>
  <si>
    <t xml:space="preserve">(M)18952595316 </t>
  </si>
  <si>
    <t>江苏省扬州市邗江区杭集镇王集村李家70号</t>
  </si>
  <si>
    <t>扬州恒大云锦华庭-一期-4-1-401</t>
  </si>
  <si>
    <t>2f23c6e0-9036-4774-ad91-18394a90fe95</t>
  </si>
  <si>
    <t>4-402</t>
  </si>
  <si>
    <t>吴晓香</t>
  </si>
  <si>
    <t>SP202101280140</t>
  </si>
  <si>
    <t xml:space="preserve">(M)18136248026 </t>
  </si>
  <si>
    <t>江苏省扬州市江都区仙女镇东园新村4栋501</t>
  </si>
  <si>
    <t>以标准总价为基准计算: ((两年分期付款 100% × 自然到访优惠 96% × 年末冲刺大优惠2 96% - 网上购房总价优惠2万元 20000) - 注册认证精英会员1万元优惠 10000)</t>
  </si>
  <si>
    <t>扬州恒大云锦华庭-一期-4-1-402</t>
  </si>
  <si>
    <t>048fa986-2c31-48be-acbe-2e3e34ee1302</t>
  </si>
  <si>
    <t>4-403</t>
  </si>
  <si>
    <t>黄燕</t>
  </si>
  <si>
    <t>SP202103280074</t>
  </si>
  <si>
    <t xml:space="preserve">(M)13813180889 </t>
  </si>
  <si>
    <t>江苏省扬州市维扬区四望亭路180号32幢8室</t>
  </si>
  <si>
    <t>扬州恒大云锦华庭-一期-4-1-403</t>
  </si>
  <si>
    <t>042373D7C7D06A60</t>
  </si>
  <si>
    <t>c73a5966-fd71-4059-8205-f0429731bbf6</t>
  </si>
  <si>
    <t>4-404</t>
  </si>
  <si>
    <t>陶品德;郑孝云</t>
  </si>
  <si>
    <t>SP202103110079</t>
  </si>
  <si>
    <t>首付优惠按揭付款（首付分期6个月）</t>
  </si>
  <si>
    <t xml:space="preserve"> 321023197502025251;320831197609260027 </t>
  </si>
  <si>
    <t xml:space="preserve">(M)13373670628 </t>
  </si>
  <si>
    <t>;宝应县安宜镇莲花嘉苑4-1304</t>
  </si>
  <si>
    <t>以标准总价为基准计算: (首付优惠按揭付款（首付分期6个月） 100% × 网购优惠折扣 90% - 网上购房总价优惠 30000)</t>
  </si>
  <si>
    <t>扬州恒大云锦华庭-一期-4-2-404</t>
  </si>
  <si>
    <t>0b8b9fe3-bc73-47ea-9a42-9c11b57e7975</t>
  </si>
  <si>
    <t>4-405</t>
  </si>
  <si>
    <t>吴潺;吴刚</t>
  </si>
  <si>
    <t>SP202011130095</t>
  </si>
  <si>
    <t xml:space="preserve"> 321023198408295444;321027198208286311 </t>
  </si>
  <si>
    <t xml:space="preserve">(M)13912123596 </t>
  </si>
  <si>
    <t>江苏省扬州市广陵区沙头镇潮龙村新兴组23号;江苏省扬州市广陵区沙头镇潮龙村新兴组23号</t>
  </si>
  <si>
    <t>扬州恒大云锦华庭-一期-4-2-405</t>
  </si>
  <si>
    <t>8be25369-6370-4364-8e3e-b88657a70451</t>
  </si>
  <si>
    <t>4-406</t>
  </si>
  <si>
    <t>朱正美;李绪忠</t>
  </si>
  <si>
    <t>SP202103060037</t>
  </si>
  <si>
    <t xml:space="preserve"> 321027196405066968;321027195707256914 </t>
  </si>
  <si>
    <t xml:space="preserve">(M)15195556205 </t>
  </si>
  <si>
    <t>;</t>
  </si>
  <si>
    <t>扬州恒大云锦华庭-一期-4-2-406</t>
  </si>
  <si>
    <t>c66196c2-f0ce-43cc-aec2-b768fc3daef1</t>
  </si>
  <si>
    <t>4-501</t>
  </si>
  <si>
    <t>孙海洋;蔡美芳</t>
  </si>
  <si>
    <t>SP202102050042</t>
  </si>
  <si>
    <t xml:space="preserve"> 321088198212015939;321088198208247542 </t>
  </si>
  <si>
    <t xml:space="preserve">(M)15252558017 </t>
  </si>
  <si>
    <t>江苏省扬州市江都区大桥镇鞋服城三区7号;江苏省扬州市江都区大桥镇鞋服城三区7号</t>
  </si>
  <si>
    <t>以标准总价为基准计算: (两年分期付款 100% × 清尾优惠折扣 92% × 年末冲刺大优惠3 99% × 自然到访优惠 96% - 网上购房总价优惠2万元 20000)</t>
  </si>
  <si>
    <t>扬州恒大云锦华庭-一期-4-1-501</t>
  </si>
  <si>
    <t>2cba1507-5f46-49c0-ba87-df674aabc65f</t>
  </si>
  <si>
    <t>4-502</t>
  </si>
  <si>
    <t>陆兆萍;王峰</t>
  </si>
  <si>
    <t>SP202012220112</t>
  </si>
  <si>
    <t xml:space="preserve"> 321027197502066323;32102719750728061X </t>
  </si>
  <si>
    <t xml:space="preserve">(M)13912141583 </t>
  </si>
  <si>
    <t>江苏省扬州市广陵区李典菜场北门鞋王店101幢;江苏省扬州市邗江区李典镇典前街12号</t>
  </si>
  <si>
    <t>扬州恒大云锦华庭-一期-4-1-502</t>
  </si>
  <si>
    <t>1bdabd64-514a-4933-b350-c34e6b3674e0</t>
  </si>
  <si>
    <t>4-503</t>
  </si>
  <si>
    <t>孙旭;徐清</t>
  </si>
  <si>
    <t>SP202101060312</t>
  </si>
  <si>
    <t xml:space="preserve"> 321011199302201218;321027199307246627 </t>
  </si>
  <si>
    <t xml:space="preserve">(M)15380339772 </t>
  </si>
  <si>
    <t>江苏省扬州市广陵区泰安镇华丰村西周组29号;江苏省扬州市广陵区泰安镇华丰村西周组29号</t>
  </si>
  <si>
    <t>扬州恒大云锦华庭-一期-4-1-503</t>
  </si>
  <si>
    <t>HFTM9363345285</t>
  </si>
  <si>
    <t>44149dc7-6a92-44fd-9ddb-344a3fc42495</t>
  </si>
  <si>
    <t>4-504</t>
  </si>
  <si>
    <t>王路</t>
  </si>
  <si>
    <t>SP202102200029</t>
  </si>
  <si>
    <t xml:space="preserve">(M)13151111012 </t>
  </si>
  <si>
    <t>江苏省扬州市广陵区湾头镇沙联村王西组40号</t>
  </si>
  <si>
    <t>以标准总价为基准计算: (两年分期付款 100% × 清尾优惠折扣 93% × 年末冲刺大优惠3 99% × 自然到访优惠 96% - 网上购房总价优惠2万元 20000)</t>
  </si>
  <si>
    <t>扬州恒大云锦华庭-一期-4-2-504</t>
  </si>
  <si>
    <t>33a766c1-2aa5-44c5-b437-b33525c1f8ff</t>
  </si>
  <si>
    <t>4-505</t>
  </si>
  <si>
    <t>李彪;张小燕</t>
  </si>
  <si>
    <t>SP202012030001</t>
  </si>
  <si>
    <t xml:space="preserve"> 321027198108305431;320623197911254882 </t>
  </si>
  <si>
    <t xml:space="preserve">(M)13852718862 </t>
  </si>
  <si>
    <t>江苏省扬州市广陵区李典镇建安小区6-304;江苏省如东县洋口镇六份头村十九组58号</t>
  </si>
  <si>
    <t>扬州恒大云锦华庭-一期-4-2-505</t>
  </si>
  <si>
    <t>95925cec-90a3-4041-a97a-e4737dc08412</t>
  </si>
  <si>
    <t>4-506</t>
  </si>
  <si>
    <t>丁凤华;殷久龙</t>
  </si>
  <si>
    <t>SP202102200031</t>
  </si>
  <si>
    <t xml:space="preserve"> 321011196402201844;321011196501191813 </t>
  </si>
  <si>
    <t xml:space="preserve">(M)13151114935 </t>
  </si>
  <si>
    <t>江苏省扬州市广陵区淮海路集贤二村5幢207室;江苏省扬州市广陵区淮海路集贤二村5幢207室</t>
  </si>
  <si>
    <t>以标准总价为基准计算: (两年分期付款 100% × 清尾优惠折扣 95% × 年末冲刺大优惠3 97% × 自然到访优惠 96% - 网上购房总价优惠2万元 20000)</t>
  </si>
  <si>
    <t>扬州恒大云锦华庭-一期-4-2-506</t>
  </si>
  <si>
    <t>791d892b-305f-4061-8389-fb0192217c7d</t>
  </si>
  <si>
    <t>4-601</t>
  </si>
  <si>
    <t>张洪芳</t>
  </si>
  <si>
    <t>SP202012090027</t>
  </si>
  <si>
    <t xml:space="preserve">(M)13241130688 </t>
  </si>
  <si>
    <t>江苏省扬州市维扬区扬子江中路615号新庄新村39幢103室</t>
  </si>
  <si>
    <t>扬州恒大云锦华庭-一期-4-1-601</t>
  </si>
  <si>
    <t>753ab9bf-c19b-4f42-b6a6-104e77d8d803</t>
  </si>
  <si>
    <t>4-602</t>
  </si>
  <si>
    <t>赵艳平;黄雁房</t>
  </si>
  <si>
    <t>SP202012030145</t>
  </si>
  <si>
    <t xml:space="preserve"> 372922198511041744;372922198501061733 </t>
  </si>
  <si>
    <t xml:space="preserve">(M)18118286762 </t>
  </si>
  <si>
    <t>山东省曹县楼庄乡南黄口行政村南黄口村2152号;扬州市广陵区杭集镇三笑大道12号</t>
  </si>
  <si>
    <t>扬州恒大云锦华庭-一期-4-1-602</t>
  </si>
  <si>
    <t>19fbbff3-601b-44ee-b130-1edd2eb1cfae</t>
  </si>
  <si>
    <t>4-603</t>
  </si>
  <si>
    <t>仇荣国;马以美</t>
  </si>
  <si>
    <t>SP202011120086</t>
  </si>
  <si>
    <t xml:space="preserve"> 321088197611295099;32108819770907514X </t>
  </si>
  <si>
    <t xml:space="preserve">(M)13701365551 </t>
  </si>
  <si>
    <t>江苏省江都市邵伯镇新建村三大组11号;江苏省江都市邵伯镇新建村三大组11号</t>
  </si>
  <si>
    <t>扬州恒大云锦华庭-一期-4-1-603</t>
  </si>
  <si>
    <t>55cfee99-0239-480c-814b-239c430c5278</t>
  </si>
  <si>
    <t>4-604</t>
  </si>
  <si>
    <t>刘玲</t>
  </si>
  <si>
    <t xml:space="preserve">(M)13338858848 </t>
  </si>
  <si>
    <t>江苏省扬州市广陵区杭集镇王集村刘一组1号</t>
  </si>
  <si>
    <t>扬州恒大云锦华庭-一期-4-2-604</t>
  </si>
  <si>
    <t>e9f0c38e-b78e-4b45-9325-a3c4721e28e2</t>
  </si>
  <si>
    <t>4-605</t>
  </si>
  <si>
    <t>陈珍宏;顾如云</t>
  </si>
  <si>
    <t>SP202012020067</t>
  </si>
  <si>
    <t xml:space="preserve"> 321027197505266937;321027197411186944 </t>
  </si>
  <si>
    <t xml:space="preserve">(M)13952570872 </t>
  </si>
  <si>
    <t>江苏省扬州市邗江区杭集镇八圩村叶家圩组33号;江苏省扬州市邗江区杭集镇八圩村叶家圩组33号</t>
  </si>
  <si>
    <t>扬州恒大云锦华庭-一期-4-2-605</t>
  </si>
  <si>
    <t>521ae101-690c-4690-acad-eb824fb022b7</t>
  </si>
  <si>
    <t>4-606</t>
  </si>
  <si>
    <t>华春州;韦天香</t>
  </si>
  <si>
    <t>SP202011270048</t>
  </si>
  <si>
    <t xml:space="preserve"> 321088197803235090;321088197901223149 </t>
  </si>
  <si>
    <t xml:space="preserve">(M)18114196338 </t>
  </si>
  <si>
    <t>扬州市江都区邵伯镇昭关派出所旁南斥组戚运路135号;江苏省江都市龙城路180号</t>
  </si>
  <si>
    <t>扬州恒大云锦华庭-一期-4-2-606</t>
  </si>
  <si>
    <t>c4af50a4-3733-4dbf-b480-956508363000</t>
  </si>
  <si>
    <t>4-701</t>
  </si>
  <si>
    <t>高学林;孙晓迪</t>
  </si>
  <si>
    <t>SP202101200083</t>
  </si>
  <si>
    <t xml:space="preserve"> 321019197810213911;320881198006164229 </t>
  </si>
  <si>
    <t xml:space="preserve">(M)13151115198 </t>
  </si>
  <si>
    <t>江苏省扬州市邗江区友谊路218号友谊新村21幢302室;江苏省扬州市邗江区友谊路218号友谊新村21幢302室</t>
  </si>
  <si>
    <t>扬州恒大云锦华庭-一期-4-1-701</t>
  </si>
  <si>
    <t>D911DD67767BFA8C</t>
  </si>
  <si>
    <t>47f68ad5-f03b-4433-bf9a-109ea1c6f494</t>
  </si>
  <si>
    <t>4-702</t>
  </si>
  <si>
    <t>李勤</t>
  </si>
  <si>
    <t>SP202011260076</t>
  </si>
  <si>
    <t xml:space="preserve">(M)18036245966 </t>
  </si>
  <si>
    <t>江苏省扬州市邗江区鸿福路2号鸿福三村36幢406室</t>
  </si>
  <si>
    <t>扬州恒大云锦华庭-一期-4-1-702</t>
  </si>
  <si>
    <t>937f73a2-a8ec-4353-a298-de9e285e68b8</t>
  </si>
  <si>
    <t>4-703</t>
  </si>
  <si>
    <t>仲剑军;徐君</t>
  </si>
  <si>
    <t>SP202011260048</t>
  </si>
  <si>
    <t xml:space="preserve"> 321088197001313835;321088196903293787 </t>
  </si>
  <si>
    <t xml:space="preserve">(M)13852213778 </t>
  </si>
  <si>
    <t>江苏省江都市丁沟镇育才路15号8幢二单元203室;江苏省江都市丁沟镇育才路15号</t>
  </si>
  <si>
    <t>扬州恒大云锦华庭-一期-4-1-703</t>
  </si>
  <si>
    <t>3f82bafe-2492-41a9-8573-31349409acad</t>
  </si>
  <si>
    <t>4-704</t>
  </si>
  <si>
    <t>鞠金峰</t>
  </si>
  <si>
    <t>SP202101290083</t>
  </si>
  <si>
    <t xml:space="preserve"> 32120119820126001X </t>
  </si>
  <si>
    <t xml:space="preserve">(M)18061078788 </t>
  </si>
  <si>
    <t>江苏省泰州市高港区口岸街道朝阳村2号</t>
  </si>
  <si>
    <t>扬州恒大云锦华庭-一期-4-2-704</t>
  </si>
  <si>
    <t>9b128d26-4f03-4acd-b8f8-ac08d639917f</t>
  </si>
  <si>
    <t>4-705</t>
  </si>
  <si>
    <t>王俊;吴婕</t>
  </si>
  <si>
    <t>SP202012030096</t>
  </si>
  <si>
    <t xml:space="preserve"> 321023197907080013;321023198210094225 </t>
  </si>
  <si>
    <t xml:space="preserve">(M)13852565971 </t>
  </si>
  <si>
    <t>江苏省宝应县安宜南路117号;江苏省宝应县安宜南路117号</t>
  </si>
  <si>
    <t>扬州恒大云锦华庭-一期-4-2-705</t>
  </si>
  <si>
    <t>d310f61a-dad1-41fd-a205-9bfb053e2987</t>
  </si>
  <si>
    <t>4-706</t>
  </si>
  <si>
    <t>杨旭</t>
  </si>
  <si>
    <t>SP202011120159</t>
  </si>
  <si>
    <t xml:space="preserve">(M)18435101740 (O)13013706627 </t>
  </si>
  <si>
    <t>江苏省扬州市邗江区文昌西路456号华城科技广场2幢</t>
  </si>
  <si>
    <t>扬州恒大云锦华庭-一期-4-2-706</t>
  </si>
  <si>
    <t>eddf0413-70dc-411a-9b03-7d4c6ffc33ea</t>
  </si>
  <si>
    <t>4-801</t>
  </si>
  <si>
    <t>刘金才;杨兰红</t>
  </si>
  <si>
    <t>SP202012080086</t>
  </si>
  <si>
    <t xml:space="preserve"> 321088196608150038;321088196609300042 </t>
  </si>
  <si>
    <t xml:space="preserve">(M)15358528709 </t>
  </si>
  <si>
    <t>扬州市江都区公路管理站（诚德路17号）;扬州市江都区公路管理站（诚德路17号）</t>
  </si>
  <si>
    <t>扬州恒大云锦华庭-一期-4-1-801</t>
  </si>
  <si>
    <t>402569f5-79ac-4b2a-b9ed-ddce5ca2f15e</t>
  </si>
  <si>
    <t>4-802</t>
  </si>
  <si>
    <t>严翔;严中志</t>
  </si>
  <si>
    <t>SP202012160219</t>
  </si>
  <si>
    <t xml:space="preserve"> 320826199506021478;320826197012181472 </t>
  </si>
  <si>
    <t xml:space="preserve">(M)15262236382 </t>
  </si>
  <si>
    <t>江苏省涟水县徐集乡集东村严庄组10号;扬州市广陵区江阳东路89号206</t>
  </si>
  <si>
    <t>扬州恒大云锦华庭-一期-4-1-802</t>
  </si>
  <si>
    <t>ccd09e32-407d-4327-8eec-3110d4ec638b</t>
  </si>
  <si>
    <t>4-803</t>
  </si>
  <si>
    <t>陈彩民</t>
  </si>
  <si>
    <t>SP202102270028</t>
  </si>
  <si>
    <t xml:space="preserve">(M)13773512616 </t>
  </si>
  <si>
    <t>江苏省扬州市广陵区湾头镇万寿村板桥一组11-2号</t>
  </si>
  <si>
    <t>以标准总价为基准计算: (两年分期付款 100% × 清尾优惠折扣 94% × 年末冲刺大优惠3 97% × 房车宝推荐折扣 96% - 网上购房总价优惠2万元 20000)</t>
  </si>
  <si>
    <t>扬州恒大云锦华庭-一期-4-1-803</t>
  </si>
  <si>
    <t>41c2793f-c167-4604-acb3-6ed93494f792</t>
  </si>
  <si>
    <t>4-804</t>
  </si>
  <si>
    <t>于红梅</t>
  </si>
  <si>
    <t xml:space="preserve">(M)13505618908 </t>
  </si>
  <si>
    <t>江苏省江都市长江东路88号1幢404室</t>
  </si>
  <si>
    <t>以标准总价为基准计算: (两年分期付款 100% × 清尾优惠折扣 92% × 年末冲刺大优惠3 97% × 自然到访优惠 96% - 网上购房总价优惠2万元 20000)</t>
  </si>
  <si>
    <t>扬州恒大云锦华庭-一期-4-2-804</t>
  </si>
  <si>
    <t>ff1326d0-6723-4fa2-b72e-f06e078bd424</t>
  </si>
  <si>
    <t>4-805</t>
  </si>
  <si>
    <t>杨亚</t>
  </si>
  <si>
    <t>SP202012240239</t>
  </si>
  <si>
    <t xml:space="preserve">(M)13773374106 </t>
  </si>
  <si>
    <t>江都区仙女镇勤丰村东孟组49号</t>
  </si>
  <si>
    <t>扬州恒大云锦华庭-一期-4-2-805</t>
  </si>
  <si>
    <t>25784d39-7c8c-447c-a4a0-4e8b30396a4d</t>
  </si>
  <si>
    <t>4-806</t>
  </si>
  <si>
    <t>曾爱俊;田静</t>
  </si>
  <si>
    <t>SP202101260201</t>
  </si>
  <si>
    <t xml:space="preserve"> 321027198802152754;321011198706271242 </t>
  </si>
  <si>
    <t xml:space="preserve">(M)15161880964 </t>
  </si>
  <si>
    <t>江苏省扬州市邗江区杨庙镇双庙村祁塘组21号;江苏省扬州广陵区广福花园福临苑5-1303</t>
  </si>
  <si>
    <t>以标准总价为基准计算: (普通商业按揭 100% × 清尾优惠折扣 93% × 年末冲刺大优惠3 97% × 房车宝推荐折扣 96% - 网上购房总价优惠2万元 20000)</t>
  </si>
  <si>
    <t>扬州恒大云锦华庭-一期-4-2-806</t>
  </si>
  <si>
    <t>c5c3ac9c-bd4a-45e7-904a-f69a3ea39fc2</t>
  </si>
  <si>
    <t>4-901</t>
  </si>
  <si>
    <t>王恒</t>
  </si>
  <si>
    <t>SP202012160227</t>
  </si>
  <si>
    <t xml:space="preserve">(M)18252717633 </t>
  </si>
  <si>
    <t>江苏省扬州市广陵区杭集镇王集村刘二组23号</t>
  </si>
  <si>
    <t>扬州恒大云锦华庭-一期-4-1-901</t>
  </si>
  <si>
    <t>8c68b3bf-92a2-4d83-8f2f-aec3c03785f2</t>
  </si>
  <si>
    <t>4-902</t>
  </si>
  <si>
    <t>谢春艳;颜四亮</t>
  </si>
  <si>
    <t>SP202011130073</t>
  </si>
  <si>
    <t xml:space="preserve"> 321322198503142825;321027198206066016 </t>
  </si>
  <si>
    <t xml:space="preserve">(M)18912136897 </t>
  </si>
  <si>
    <t>江苏省扬州市广陵区沙头镇北洲路41－26号;江苏省扬州市广陵区沙头镇北洲路41－26号</t>
  </si>
  <si>
    <t>扬州恒大云锦华庭-一期-4-1-902</t>
  </si>
  <si>
    <t>3a655c60-9518-4d1c-8e30-5a2b1bde9d9e</t>
  </si>
  <si>
    <t>4-903</t>
  </si>
  <si>
    <t>吴元霞</t>
  </si>
  <si>
    <t>SP202102200022</t>
  </si>
  <si>
    <t xml:space="preserve">(M)13852576075 </t>
  </si>
  <si>
    <t>江苏省扬州市邗江区槐泗镇包家村包庙组22号</t>
  </si>
  <si>
    <t>以标准总价为基准计算: (两年分期付款 100% × 年末冲刺大优惠3 97% × 房车宝推荐折扣 96% × 清尾优惠折扣 93.5% - 网上购房总价优惠2万元 20000)</t>
  </si>
  <si>
    <t>扬州恒大云锦华庭-一期-4-1-903</t>
  </si>
  <si>
    <t>0b9aad4b-9b53-4de5-b9e4-f5628e055c59</t>
  </si>
  <si>
    <t>4-904</t>
  </si>
  <si>
    <t>徐艳;陈小军</t>
  </si>
  <si>
    <t>SP202101060075</t>
  </si>
  <si>
    <t xml:space="preserve"> 321027198410025422;320923198109114875 </t>
  </si>
  <si>
    <t xml:space="preserve">(M)13776420028 </t>
  </si>
  <si>
    <t>江苏省扬州市广陵区李典镇新坝集镇新二巷23号;江苏省扬州市广陵区李典镇新坝集镇新二巷23号</t>
  </si>
  <si>
    <t>扬州恒大云锦华庭-一期-4-2-904</t>
  </si>
  <si>
    <t>EAA229F68FCAD411</t>
  </si>
  <si>
    <t>1f10da7d-c698-4fae-a83c-5faa1e8f03a7</t>
  </si>
  <si>
    <t>4-905</t>
  </si>
  <si>
    <t>华淑东;胡玉芳</t>
  </si>
  <si>
    <t>SP202012230042</t>
  </si>
  <si>
    <t xml:space="preserve"> 32102719721123661X;321027197409046627 </t>
  </si>
  <si>
    <t xml:space="preserve">(M)13852609732 </t>
  </si>
  <si>
    <t>江苏省扬州市邗江区泰安镇金泰小区29#;江苏省扬州市邗江区泰安镇金泰小区29#</t>
  </si>
  <si>
    <t>以标准总价为基准计算: (普通商业按揭 100% - 总价优惠 -3107)</t>
  </si>
  <si>
    <t>扬州恒大云锦华庭-一期-4-2-905</t>
  </si>
  <si>
    <t>47c5003b-591a-490b-90a8-8c7b62bfb1c9</t>
  </si>
  <si>
    <t>4-906</t>
  </si>
  <si>
    <t>何后萍</t>
  </si>
  <si>
    <t>SP202011130080</t>
  </si>
  <si>
    <t xml:space="preserve">(M)13390665168 </t>
  </si>
  <si>
    <t>扬州市杭集镇创业园新星纺织厂</t>
  </si>
  <si>
    <t>扬州恒大云锦华庭-一期-4-2-906</t>
  </si>
  <si>
    <t>7413d7ce-95b1-40e6-837b-703e63f16029</t>
  </si>
  <si>
    <t>5-1001</t>
  </si>
  <si>
    <t>郭敬;宋南南</t>
  </si>
  <si>
    <t>SP202012020029</t>
  </si>
  <si>
    <t xml:space="preserve"> 341221198604155459;341221198711125482 </t>
  </si>
  <si>
    <t xml:space="preserve">(M)13348125678 </t>
  </si>
  <si>
    <t>扬州市广陵区杭集镇牙刷城兰美街46号;扬州市广陵区杭集镇牙刷城兰美街46号</t>
  </si>
  <si>
    <t>扬州恒大云锦华庭-一期-5-1001</t>
  </si>
  <si>
    <t>ec38c2c2-98f2-4142-9ba5-39e420d68da9</t>
  </si>
  <si>
    <t>5-1002</t>
  </si>
  <si>
    <t>万晓艳</t>
  </si>
  <si>
    <t>SP202011270052</t>
  </si>
  <si>
    <t xml:space="preserve"> 32102319850306162X </t>
  </si>
  <si>
    <t xml:space="preserve">(M)18252728309 </t>
  </si>
  <si>
    <t>江苏省扬州市广陵区明发商业广场一栋2单元1007室</t>
  </si>
  <si>
    <t>扬州恒大云锦华庭-一期-5-1002</t>
  </si>
  <si>
    <t>b956cdce-3cf8-42c3-a044-957717a3bd42</t>
  </si>
  <si>
    <t>5-1003</t>
  </si>
  <si>
    <t>赵鹏飞</t>
  </si>
  <si>
    <t>SP202011260123</t>
  </si>
  <si>
    <t xml:space="preserve">(M)15358512795 </t>
  </si>
  <si>
    <t>江苏省扬州市广陵区东花园新村（河南）65幢405室</t>
  </si>
  <si>
    <t>扬州恒大云锦华庭-一期-5-1003</t>
  </si>
  <si>
    <t>e6b07ba4-60a8-41e3-8ee0-5700e92ed584</t>
  </si>
  <si>
    <t>5-1004</t>
  </si>
  <si>
    <t>高国宽;孙继凤</t>
  </si>
  <si>
    <t>SP202101030134</t>
  </si>
  <si>
    <t xml:space="preserve"> 321027197807146615;342626198310183264 </t>
  </si>
  <si>
    <t xml:space="preserve">(M)15252755265 </t>
  </si>
  <si>
    <t>江苏省扬州市邗江区泰安镇金湾村金湾组25号;江苏省扬州市广陵区泰安镇金湾村金湾组25号</t>
  </si>
  <si>
    <t>扬州恒大云锦华庭-一期-5-1004</t>
  </si>
  <si>
    <t>921d57e0-165e-458d-b4fb-25ada94ab005</t>
  </si>
  <si>
    <t>5-101</t>
  </si>
  <si>
    <t>薛成秀</t>
  </si>
  <si>
    <t>SP202104070055</t>
  </si>
  <si>
    <t xml:space="preserve">(M)13338858597 </t>
  </si>
  <si>
    <t>江苏省扬州市维扬区长征路2号7幢201室</t>
  </si>
  <si>
    <t>以标准总价为基准计算: (((两年优惠分期付款 100% × 网购优惠折扣 90% - 注册南瓜会员优惠 19500) - 网上购房总价优惠 30000) - 房车宝购房券优惠 10000)</t>
  </si>
  <si>
    <t>扬州恒大云锦华庭-一期-5-101</t>
  </si>
  <si>
    <t>DEEF912B770712E1</t>
  </si>
  <si>
    <t>E97BD2ED5C170E26</t>
  </si>
  <si>
    <t>CD30FDCCE05ADA1B</t>
  </si>
  <si>
    <t>b10c2486-2e67-4af6-8831-c16f516b1ef6</t>
  </si>
  <si>
    <t>5-104</t>
  </si>
  <si>
    <t>夏俊;周英欧</t>
  </si>
  <si>
    <t>SP202103190151</t>
  </si>
  <si>
    <t xml:space="preserve"> 321027198809110610;321081198808013323 </t>
  </si>
  <si>
    <t xml:space="preserve">(M)13338845918 </t>
  </si>
  <si>
    <t>江苏省扬州市开发区兴城西路45号梅香苑86栋305室;江苏省扬州市仪征市铜山枣林村汕头组5号</t>
  </si>
  <si>
    <t>扬州恒大云锦华庭-一期-5-104</t>
  </si>
  <si>
    <t>ea347115-5250-453f-80d7-9626bb46e06f</t>
  </si>
  <si>
    <t>5-1101</t>
  </si>
  <si>
    <t>刘国根;张素华</t>
  </si>
  <si>
    <t>SP202012220149</t>
  </si>
  <si>
    <t xml:space="preserve"> 321011197002121233;321011197008061227 </t>
  </si>
  <si>
    <t xml:space="preserve">(M)13101954211 </t>
  </si>
  <si>
    <t>江苏省扬州市广陵区湾头镇万寿村南刘三组1号;江苏省扬州市广陵区湾头镇万寿村南刘三组1号</t>
  </si>
  <si>
    <t>线上媒体-其他网络广告</t>
  </si>
  <si>
    <t>扬州恒大云锦华庭-一期-5-1101</t>
  </si>
  <si>
    <t>bac3ab10-b3d8-4841-88c7-f9dd295c23e1</t>
  </si>
  <si>
    <t>5-1102</t>
  </si>
  <si>
    <t>殷健文</t>
  </si>
  <si>
    <t>SP202012030104</t>
  </si>
  <si>
    <t xml:space="preserve">(M)18362826082 (O)13013725765 </t>
  </si>
  <si>
    <t>江苏省扬州市广陵区众恒紫园17幢406室</t>
  </si>
  <si>
    <t>扬州恒大云锦华庭-一期-5-1102</t>
  </si>
  <si>
    <t>5231300b-a039-4c60-b2e8-0ec0b9de8d1c</t>
  </si>
  <si>
    <t>5-1103</t>
  </si>
  <si>
    <t>嵇春梅;周建</t>
  </si>
  <si>
    <t>SP202012020059</t>
  </si>
  <si>
    <t xml:space="preserve"> 321027197306276622;321011197510251253 </t>
  </si>
  <si>
    <t xml:space="preserve">(M)15062827609 </t>
  </si>
  <si>
    <t>江苏省扬州市广陵区翠月南苑64栋502室;江苏省扬州市广陵区湾头镇田庄村林一组2号</t>
  </si>
  <si>
    <t>扬州恒大云锦华庭-一期-5-1103</t>
  </si>
  <si>
    <t>58722ade-26f9-4ca1-bb44-f74f37ed2ead</t>
  </si>
  <si>
    <t>5-1104</t>
  </si>
  <si>
    <t>张正勇</t>
  </si>
  <si>
    <t>SP202101060017</t>
  </si>
  <si>
    <t xml:space="preserve">(M)18951433971 </t>
  </si>
  <si>
    <t>扬州市江都区宜陵镇七里医院对面</t>
  </si>
  <si>
    <t>以标准总价为基准计算: (普通商业按揭 100% × 年末冲刺大优惠 96% × 房车宝推荐折扣 96% - 网上购房总价优惠2万元 20000)</t>
  </si>
  <si>
    <t>扬州恒大云锦华庭-一期-5-1104</t>
  </si>
  <si>
    <t>bc31d169-4af6-4bb4-a279-ac2c4af53104</t>
  </si>
  <si>
    <t>5-1201</t>
  </si>
  <si>
    <t>朱锐</t>
  </si>
  <si>
    <t>SP202011270080</t>
  </si>
  <si>
    <t xml:space="preserve">(M)13338149550 </t>
  </si>
  <si>
    <t>江苏省江都市郭村镇周家楼村顺发陶瓷</t>
  </si>
  <si>
    <t>扬州恒大云锦华庭-一期-5-1201</t>
  </si>
  <si>
    <t>acb66ee7-8d00-44ec-b3d1-28c5d988fd19</t>
  </si>
  <si>
    <t>5-1202</t>
  </si>
  <si>
    <t>魏星</t>
  </si>
  <si>
    <t>SP202012150187</t>
  </si>
  <si>
    <t xml:space="preserve">(M)15261533100 </t>
  </si>
  <si>
    <t>上海市黄浦区南京东路800-830第一百百货三楼克劳西专柜</t>
  </si>
  <si>
    <t>以标准总价为基准计算: (普通商业按揭 100% × 渠道折扣 99% - 总价优惠 -3506)</t>
  </si>
  <si>
    <t>扬州恒大云锦华庭-一期-5-1202</t>
  </si>
  <si>
    <t>1052b5ba-ce4e-4e0c-8e44-f48e5b45c041</t>
  </si>
  <si>
    <t>5-1203</t>
  </si>
  <si>
    <t>单永娟;祝兴林</t>
  </si>
  <si>
    <t>SP202012030046</t>
  </si>
  <si>
    <t xml:space="preserve"> 321027197408085720;321027197408176331 </t>
  </si>
  <si>
    <t xml:space="preserve">(M)13373674922 </t>
  </si>
  <si>
    <t>江苏省扬州市头桥镇红星路动感造型;江苏省扬州市邗江区沙头镇五星村王一组8号</t>
  </si>
  <si>
    <t>扬州恒大云锦华庭-一期-5-1203</t>
  </si>
  <si>
    <t>a3e4a979-01e2-4b32-97fa-978c68280bc6</t>
  </si>
  <si>
    <t>5-1204</t>
  </si>
  <si>
    <t>戚增明;圣美兰</t>
  </si>
  <si>
    <t>SP202011120191</t>
  </si>
  <si>
    <t xml:space="preserve"> 321083197604061073;320926197710201261 </t>
  </si>
  <si>
    <t xml:space="preserve">(M)18652406640 </t>
  </si>
  <si>
    <t>江苏省兴化市合陈镇东联合村七里二组43号;江苏省兴化市合陈镇东联合村七里二组43号</t>
  </si>
  <si>
    <t>扬州恒大云锦华庭-一期-5-1204</t>
  </si>
  <si>
    <t>83ab6578-913a-4116-b4ec-328e7c3fd563</t>
  </si>
  <si>
    <t>5-1301</t>
  </si>
  <si>
    <t>佴涛</t>
  </si>
  <si>
    <t>SP202012020010</t>
  </si>
  <si>
    <t xml:space="preserve">(M)18252726585 </t>
  </si>
  <si>
    <t>扬州市江都区仙女镇人民路53-2号</t>
  </si>
  <si>
    <t>扬州恒大云锦华庭-一期-5-1301</t>
  </si>
  <si>
    <t>6b991cd2-c70a-42b6-be9d-d5716110e13c</t>
  </si>
  <si>
    <t>5-1302</t>
  </si>
  <si>
    <t>朱秀英;范莉莉;范锦贵</t>
  </si>
  <si>
    <t>SP202011260068</t>
  </si>
  <si>
    <t xml:space="preserve"> 321011196605220922;321002199007097626;321002196501083314 </t>
  </si>
  <si>
    <t xml:space="preserve">(M)18014879905 </t>
  </si>
  <si>
    <t>江苏省扬州市广陵区广陵区运河水庭15幢1003室;江苏省扬州市广陵区广陵区运河水庭15幢1003室;江苏省扬州市广陵区广陵区运河水庭15幢1003室</t>
  </si>
  <si>
    <t>扬州恒大云锦华庭-一期-5-1302</t>
  </si>
  <si>
    <t>0e769977-d060-4b51-8ef1-17d59429e814</t>
  </si>
  <si>
    <t>5-1303</t>
  </si>
  <si>
    <t>夏红梅;赵广</t>
  </si>
  <si>
    <t>SP202011130088</t>
  </si>
  <si>
    <t xml:space="preserve"> 342601198401172424;341125197510110570 </t>
  </si>
  <si>
    <t xml:space="preserve">(M)18752734657 </t>
  </si>
  <si>
    <t>安徽省定远县张桥镇街南村东户赵组3号;安徽省定远县张桥镇街南村东户赵组３号</t>
  </si>
  <si>
    <t>扬州恒大云锦华庭-一期-5-1303</t>
  </si>
  <si>
    <t>675c56d9-06d1-4bad-9101-fc73c3665b0b</t>
  </si>
  <si>
    <t>5-1304</t>
  </si>
  <si>
    <t>翁月娥;马国祥</t>
  </si>
  <si>
    <t>SP202012030084</t>
  </si>
  <si>
    <t xml:space="preserve"> 321027198404206921;321027198310205418 </t>
  </si>
  <si>
    <t xml:space="preserve">(M)17306275677 </t>
  </si>
  <si>
    <t>扬州市广陵区李典镇花园东路怡春酒家;扬州市广陵区李典镇花园东路怡春酒家</t>
  </si>
  <si>
    <t>扬州恒大云锦华庭-一期-5-1304</t>
  </si>
  <si>
    <t>494edb0c-b7df-4461-ad39-1b73a64560e8</t>
  </si>
  <si>
    <t>5-1401</t>
  </si>
  <si>
    <t>倪晨臣</t>
  </si>
  <si>
    <t>SP202012160050</t>
  </si>
  <si>
    <t xml:space="preserve">(M)13773590792 </t>
  </si>
  <si>
    <t>江苏省扬州市广陵区杭集镇杭集村肖庄组37号</t>
  </si>
  <si>
    <t>扬州恒大云锦华庭-一期-5-1401</t>
  </si>
  <si>
    <t>e4e81a09-8c1c-486b-8fba-7a4e5ea0ed2d</t>
  </si>
  <si>
    <t>5-1402</t>
  </si>
  <si>
    <t>李威玲;罗伟</t>
  </si>
  <si>
    <t>SP202012230057</t>
  </si>
  <si>
    <t xml:space="preserve"> 321088199011114329;321088199011104315 </t>
  </si>
  <si>
    <t xml:space="preserve">(M)19951812888 </t>
  </si>
  <si>
    <t>江苏省江都区宜陵镇宜陵中学;江苏省扬州市江都区郭村镇大新村五组47号</t>
  </si>
  <si>
    <t>扬州恒大云锦华庭-一期-5-1402</t>
  </si>
  <si>
    <t>473dc18b-03ad-472b-9c77-d53c61782d3f</t>
  </si>
  <si>
    <t>5-1403</t>
  </si>
  <si>
    <t>吴秋兰;朱志国</t>
  </si>
  <si>
    <t>SP202012160231</t>
  </si>
  <si>
    <t xml:space="preserve"> 32108819780825256X;321088197801212573 </t>
  </si>
  <si>
    <t xml:space="preserve">(M)13773479445 </t>
  </si>
  <si>
    <t>江苏省扬州市江都区锦绣苑18幢505室;江苏省扬州市江都区锦绣苑18幢505室</t>
  </si>
  <si>
    <t>扬州恒大云锦华庭-一期-5-1403</t>
  </si>
  <si>
    <t>3d278d84-8b64-4f7c-afd0-105926ed8ea5</t>
  </si>
  <si>
    <t>5-1404</t>
  </si>
  <si>
    <t>李燕婷</t>
  </si>
  <si>
    <t>SP202101270201</t>
  </si>
  <si>
    <t xml:space="preserve">(M)13358123422 </t>
  </si>
  <si>
    <t>江苏省扬州市广陵区曲江街道施井路73号</t>
  </si>
  <si>
    <t>扬州恒大云锦华庭-一期-5-1404</t>
  </si>
  <si>
    <t>e45dd9a7-4de3-4152-9fba-15ac72b6a184</t>
  </si>
  <si>
    <t>5-1501</t>
  </si>
  <si>
    <t>于瀛;刘丽</t>
  </si>
  <si>
    <t>SP202012150216</t>
  </si>
  <si>
    <t xml:space="preserve"> 230103197001250335;232101197108175864 </t>
  </si>
  <si>
    <t xml:space="preserve">(M)13144605687 </t>
  </si>
  <si>
    <t>哈尔滨市动力区文政街新区27栋4单元4楼3号;哈尔滨市动力区文政街新区27栋4单元4楼3号</t>
  </si>
  <si>
    <t>扬州恒大云锦华庭-一期-5-1501</t>
  </si>
  <si>
    <t>30e4d814-8871-4ed6-8e91-96ad5d78c4d2</t>
  </si>
  <si>
    <t>5-1502</t>
  </si>
  <si>
    <t>兰鹏</t>
  </si>
  <si>
    <t>SP202011130032</t>
  </si>
  <si>
    <t xml:space="preserve">(M)13921903992 </t>
  </si>
  <si>
    <t>扬州市头桥镇弘扬路迎新小区23号</t>
  </si>
  <si>
    <t>扬州恒大云锦华庭-一期-5-1502</t>
  </si>
  <si>
    <t>b5585846-5d1d-4f12-a578-739be83976ad</t>
  </si>
  <si>
    <t>5-1503</t>
  </si>
  <si>
    <t>焦正阳</t>
  </si>
  <si>
    <t>SP202011120098</t>
  </si>
  <si>
    <t xml:space="preserve">(M)18905251528 </t>
  </si>
  <si>
    <t>江苏省扬州市江都区仙女镇双迎北路城西嘉苑2幢502</t>
  </si>
  <si>
    <t>扬州恒大云锦华庭-一期-5-1503</t>
  </si>
  <si>
    <t>919136f6-c936-4d32-b86c-dde89821e83e</t>
  </si>
  <si>
    <t>5-1504</t>
  </si>
  <si>
    <t>张喜龙</t>
  </si>
  <si>
    <t>SP202012030044</t>
  </si>
  <si>
    <t xml:space="preserve"> 22012219891220311X </t>
  </si>
  <si>
    <t xml:space="preserve">(M)17605141236 </t>
  </si>
  <si>
    <t>扬州市广陵区万福路联发君悦华府5-1504</t>
  </si>
  <si>
    <t>扬州恒大云锦华庭-一期-5-1504</t>
  </si>
  <si>
    <t>e4d974d5-ff89-4cdb-b92a-8341527fd9f4</t>
  </si>
  <si>
    <t>5-1601</t>
  </si>
  <si>
    <t>张华;刘俊</t>
  </si>
  <si>
    <t>SP202012080163</t>
  </si>
  <si>
    <t xml:space="preserve"> 321088197312205567;321027197101066912 </t>
  </si>
  <si>
    <t xml:space="preserve">(M)15850422026 </t>
  </si>
  <si>
    <t>江苏省扬州市广陵区杭集镇王集村王二组73号;江苏省扬州市邗江区杭集镇王集村王二组73号</t>
  </si>
  <si>
    <t>扬州恒大云锦华庭-一期-5-1601</t>
  </si>
  <si>
    <t>c4786eba-0d19-4914-b607-c3ef290ad136</t>
  </si>
  <si>
    <t>5-1602</t>
  </si>
  <si>
    <t>丁俊;方全宁</t>
  </si>
  <si>
    <t>SP202011120182</t>
  </si>
  <si>
    <t xml:space="preserve"> 321027197906152121;321002196812190336 </t>
  </si>
  <si>
    <t xml:space="preserve">(M)13852710366 </t>
  </si>
  <si>
    <t>江苏省扬州市邗江区汊河街道银河花园B区162号;江苏省扬州市邗江区汊河街道银河花园B区162号</t>
  </si>
  <si>
    <t>扬州恒大云锦华庭-一期-5-1602</t>
  </si>
  <si>
    <t>f4af39bb-cc24-4ed2-b672-065790a858ec</t>
  </si>
  <si>
    <t>5-1603</t>
  </si>
  <si>
    <t>朱旭升;朱红奇</t>
  </si>
  <si>
    <t xml:space="preserve"> 321011199812141219;321011197407041231 </t>
  </si>
  <si>
    <t xml:space="preserve">(M)15312840548 </t>
  </si>
  <si>
    <t>扬州市广陵区翠月西苑19栋703;扬州市广陵区翠月西苑19栋703</t>
  </si>
  <si>
    <t>扬州恒大云锦华庭-一期-5-1603</t>
  </si>
  <si>
    <t>568b078d-6c70-42a8-aca3-297b62bd94bf</t>
  </si>
  <si>
    <t>5-1604</t>
  </si>
  <si>
    <t>张俐;冯杰</t>
  </si>
  <si>
    <t>SP202012020061</t>
  </si>
  <si>
    <t xml:space="preserve"> 321002198106141528;321088198208180034 </t>
  </si>
  <si>
    <t xml:space="preserve">(M)15161408600 </t>
  </si>
  <si>
    <t>江苏省扬州市江都区福景苑4栋104室;江苏省扬州市江都区福景苑4栋104室</t>
  </si>
  <si>
    <t>扬州恒大云锦华庭-一期-5-1604</t>
  </si>
  <si>
    <t>d24ce755-bab2-493d-b855-abb9502f9d37</t>
  </si>
  <si>
    <t>5-1701</t>
  </si>
  <si>
    <t>陶燕</t>
  </si>
  <si>
    <t>SP202011270077</t>
  </si>
  <si>
    <t xml:space="preserve">(M)13852539045 </t>
  </si>
  <si>
    <t>江苏省扬州市广陵区文昌东路12号12幢932室</t>
  </si>
  <si>
    <t>扬州恒大云锦华庭-一期-5-1701</t>
  </si>
  <si>
    <t>16936347-828b-44d2-8481-6126309cc5c0</t>
  </si>
  <si>
    <t>5-1702</t>
  </si>
  <si>
    <t>马骏驰</t>
  </si>
  <si>
    <t>SP202011120104</t>
  </si>
  <si>
    <t xml:space="preserve">(M)18252558013 </t>
  </si>
  <si>
    <t>江苏省扬州市广陵区湾头镇万福村湾头组10号</t>
  </si>
  <si>
    <t>扬州恒大云锦华庭-一期-5-1702</t>
  </si>
  <si>
    <t>e8a6bcfc-fa27-4a39-97bb-c70379f0ccce</t>
  </si>
  <si>
    <t>5-1703</t>
  </si>
  <si>
    <t>朱慧</t>
  </si>
  <si>
    <t>SP202011270032</t>
  </si>
  <si>
    <t xml:space="preserve">(M)18852747122 </t>
  </si>
  <si>
    <t>江苏省扬州市江都区金牛湾小区北门</t>
  </si>
  <si>
    <t>扬州恒大云锦华庭-一期-5-1703</t>
  </si>
  <si>
    <t>25a6fb09-7b64-481a-b19e-a20a10ec22b9</t>
  </si>
  <si>
    <t>5-1704</t>
  </si>
  <si>
    <t>徐小珍;王磊</t>
  </si>
  <si>
    <t>SP202101080121</t>
  </si>
  <si>
    <t xml:space="preserve"> 320882198708113828;321027198511016912 </t>
  </si>
  <si>
    <t xml:space="preserve">(M)18994874268 </t>
  </si>
  <si>
    <t>江苏省扬州市广陵区杭集镇八圩村大圩组38号;江苏省扬州市广陵区杭集镇八圩村大圩组38号</t>
  </si>
  <si>
    <t>以标准总价为基准计算: ((普通商业按揭 100% × 年末冲刺大优惠 96% × 房车宝推荐折扣 96% - 恒房通购房券优惠 10000) - 网上购房总价优惠2万元 20000)</t>
  </si>
  <si>
    <t>扬州恒大云锦华庭-一期-5-1704</t>
  </si>
  <si>
    <t>HFTM7729363452</t>
  </si>
  <si>
    <t>15edb2b4-84a9-43d8-8bc0-052a3dff07f5</t>
  </si>
  <si>
    <t>5-1801</t>
  </si>
  <si>
    <t>杜遥</t>
  </si>
  <si>
    <t>SP202103050267</t>
  </si>
  <si>
    <t xml:space="preserve">(M)15995133359 </t>
  </si>
  <si>
    <t>江苏省无锡市滨湖区高浪西路200号</t>
  </si>
  <si>
    <t>以标准总价为基准计算: ((普通商业按揭 100% × 网购优惠折扣 90% - 网上购房总价优惠 30000) - 房车宝购房券优惠 10000)</t>
  </si>
  <si>
    <t>扬州恒大云锦华庭-一期-5-1801</t>
  </si>
  <si>
    <t>C92395124AE75AD3</t>
  </si>
  <si>
    <t>fc832622-f6c5-48b8-a3fb-54ebce31494f</t>
  </si>
  <si>
    <t>5-1802</t>
  </si>
  <si>
    <t>朱荫海</t>
  </si>
  <si>
    <t>SP202104060090</t>
  </si>
  <si>
    <t xml:space="preserve">(M)15366407255 </t>
  </si>
  <si>
    <t>江苏省江都市大桥镇通园路7号</t>
  </si>
  <si>
    <t>扬州恒大云锦华庭-一期-5-1802</t>
  </si>
  <si>
    <t>f3c2dcb9-4c1d-462c-8000-05e6c768972f</t>
  </si>
  <si>
    <t>5-1803</t>
  </si>
  <si>
    <t>李梅香</t>
  </si>
  <si>
    <t>SP202102040020</t>
  </si>
  <si>
    <t xml:space="preserve">(M)13270460003 </t>
  </si>
  <si>
    <t>江苏省宝应县夏集镇万民村红旗组15号</t>
  </si>
  <si>
    <t>以标准总价为基准计算: (普通组合贷款 100% × 清尾优惠折扣 88% × 年末冲刺大优惠3 97% × 房车宝推荐折扣 96% - 网上购房总价优惠2万元 20000)</t>
  </si>
  <si>
    <t>扬州恒大云锦华庭-一期-5-1803</t>
  </si>
  <si>
    <t>d4269cfc-dd88-417e-9d5a-882e2910fd1c</t>
  </si>
  <si>
    <t>5-1804</t>
  </si>
  <si>
    <t>徐海春;吴建平</t>
  </si>
  <si>
    <t>SP202103230208</t>
  </si>
  <si>
    <t xml:space="preserve"> 321083196901091573;321281196803051402 </t>
  </si>
  <si>
    <t xml:space="preserve">(M)17849371076 </t>
  </si>
  <si>
    <t>江苏省兴化市永丰镇迎新村西营一组19号;江苏省兴化市永丰镇迎新村西营一组19号</t>
  </si>
  <si>
    <t>以标准总价为基准计算: (((两年优惠分期付款（首付5成） 100% × 网购优惠折扣 90% × 一口价首顶层优惠 70% - 房车宝购房券优惠 10000) - 网上购房总价优惠 30000) - 注册南瓜会员优惠 20000)</t>
  </si>
  <si>
    <t>扬州恒大云锦华庭-一期-5-1804</t>
  </si>
  <si>
    <t>EE3A594B4E80C832</t>
  </si>
  <si>
    <t>0818320D93513923</t>
  </si>
  <si>
    <t>E5D3223AAC0EFE2C</t>
  </si>
  <si>
    <t>b9b346bd-e92a-42a4-850f-9da59783958b</t>
  </si>
  <si>
    <t>5-201</t>
  </si>
  <si>
    <t>朱宝年</t>
  </si>
  <si>
    <t>SP202106210060</t>
  </si>
  <si>
    <t xml:space="preserve">(M)13952780189 </t>
  </si>
  <si>
    <t>江苏省扬州市邗江区杭集镇王集村李家组63号</t>
  </si>
  <si>
    <t>以标准总价为基准计算: (两年优惠分期付款（适用2、3、5、6、7、8、9栋） 100% × 清尾优惠折扣 85% × 年末冲刺大优惠2 96% × 自然到访优惠 96% - 网上购房总价优惠2万元 20000)</t>
  </si>
  <si>
    <t>扬州恒大云锦华庭-一期-5-201</t>
  </si>
  <si>
    <t>f5f241d1-51de-4baf-814d-a3dfb785f3fc</t>
  </si>
  <si>
    <t>5-202</t>
  </si>
  <si>
    <t>徐成文;周清</t>
  </si>
  <si>
    <t>SP202012230218</t>
  </si>
  <si>
    <t xml:space="preserve"> 321027198612156914;321027198703316928 </t>
  </si>
  <si>
    <t xml:space="preserve">(M)15952759977 </t>
  </si>
  <si>
    <t>江苏省扬州市广陵区杭集镇双隆村纪东组26号;江苏省扬州市广陵区杭集镇双隆村纪东组26号</t>
  </si>
  <si>
    <t>扬州恒大云锦华庭-一期-5-202</t>
  </si>
  <si>
    <t>5402bb51-5f9d-4d42-b38f-85e74c9a9f26</t>
  </si>
  <si>
    <t>5-203</t>
  </si>
  <si>
    <t>解星宇</t>
  </si>
  <si>
    <t>SP202101280061</t>
  </si>
  <si>
    <t xml:space="preserve">(M)15861352997 </t>
  </si>
  <si>
    <t>江苏省高邮市龙虬真白马村四组16号</t>
  </si>
  <si>
    <t>以标准总价为基准计算: ((普通商业按揭 100% × 年末冲刺大优惠2 96% × 房车宝推荐折扣 96% × 清尾优惠折扣 96% - 网上购房总价优惠2万元 20000) - 恒房通购房券优惠 10000)</t>
  </si>
  <si>
    <t>扬州恒大云锦华庭-一期-5-203</t>
  </si>
  <si>
    <t>53194F3E6E39B9EA</t>
  </si>
  <si>
    <t>d9fe1e3c-a245-4b38-89fa-96dd1f4c17f7</t>
  </si>
  <si>
    <t>5-204</t>
  </si>
  <si>
    <t>陈蓉蓉;梁军;梁文言</t>
  </si>
  <si>
    <t>SP202102280097</t>
  </si>
  <si>
    <t xml:space="preserve"> 321027197611070620;32102719741215061X;321003199812190627 </t>
  </si>
  <si>
    <t xml:space="preserve">(M)13585238782 </t>
  </si>
  <si>
    <t>江苏省扬州市邗江区李典镇田桥村陈家组22号;江苏省扬州市邗江区李典镇田桥村陈家组22号;江苏省扬州市邗江区李典镇田桥村陈家组22号</t>
  </si>
  <si>
    <t>扬州恒大云锦华庭-一期-5-204</t>
  </si>
  <si>
    <t>380547e3-e2bb-4240-9987-45c20392e504</t>
  </si>
  <si>
    <t>5-301</t>
  </si>
  <si>
    <t>黄国强</t>
  </si>
  <si>
    <t>SP202101290151</t>
  </si>
  <si>
    <t xml:space="preserve">(M)15396765453 </t>
  </si>
  <si>
    <t>江苏省扬州市广陵区霍桥镇菜市场服务大厅</t>
  </si>
  <si>
    <t>以标准总价为基准计算: (普通商业按揭 100% × 年末冲刺大优惠2 96% × 房车宝推荐折扣 96% × 清尾优惠折扣 94% - 网上购房总价优惠2万元 20000)</t>
  </si>
  <si>
    <t>扬州恒大云锦华庭-一期-5-301</t>
  </si>
  <si>
    <t>f0a8657d-4415-4bc9-99c2-63270e18be4e</t>
  </si>
  <si>
    <t>5-302</t>
  </si>
  <si>
    <t>许丽君;刘明鸣</t>
  </si>
  <si>
    <t>SP202012030070</t>
  </si>
  <si>
    <t xml:space="preserve"> 321027199407150323;321002199304095512 </t>
  </si>
  <si>
    <t xml:space="preserve">(M)13773565854 </t>
  </si>
  <si>
    <t>江苏省扬州市邗江区公道镇九龙岗新村119号;江苏省扬州市广陵区开发路君悦蓝庭2-303</t>
  </si>
  <si>
    <t>扬州恒大云锦华庭-一期-5-302</t>
  </si>
  <si>
    <t>680b6509-e596-4eca-be4d-a6444300fc26</t>
  </si>
  <si>
    <t>5-303</t>
  </si>
  <si>
    <t>刘林林</t>
  </si>
  <si>
    <t>SP202103190044</t>
  </si>
  <si>
    <t xml:space="preserve">(M)18151443222 </t>
  </si>
  <si>
    <t>河南省濮阳县柳屯镇刘拐村１００号</t>
  </si>
  <si>
    <t>以标准总价为基准计算: 首付优惠按揭付款 100%</t>
  </si>
  <si>
    <t>扬州恒大云锦华庭-一期-5-303</t>
  </si>
  <si>
    <t>76e5f3bc-cf78-4161-a6b2-047c1ae1cd04</t>
  </si>
  <si>
    <t>5-304</t>
  </si>
  <si>
    <t>胡可飞</t>
  </si>
  <si>
    <t>SP202102040078</t>
  </si>
  <si>
    <t xml:space="preserve">(M)17306292999 </t>
  </si>
  <si>
    <t>江苏省扬州市广陵区杭集镇锦都豪庭20幢一单元902室</t>
  </si>
  <si>
    <t>以标准总价为基准计算: (普通商业按揭 100% × 年末冲刺大优惠2 96% × 清尾优惠折扣 91% × 自然到访优惠 96% - 网上购房总价优惠2万元 20000)</t>
  </si>
  <si>
    <t>扬州恒大云锦华庭-一期-5-304</t>
  </si>
  <si>
    <t>42f8397a-03c9-4b56-9400-ae12d170188d</t>
  </si>
  <si>
    <t>5-401</t>
  </si>
  <si>
    <t>陈正洪;陈宇阳</t>
  </si>
  <si>
    <t>SP202101210003</t>
  </si>
  <si>
    <t xml:space="preserve"> 321121197411141815;321101199702134416 </t>
  </si>
  <si>
    <t xml:space="preserve">(M)13016817771 </t>
  </si>
  <si>
    <t>江苏省镇江市新区大港街道陈家荡48号;江苏省镇江市新区大港街道陈家荡48号</t>
  </si>
  <si>
    <t>扬州恒大云锦华庭-一期-5-401</t>
  </si>
  <si>
    <t>9B44BB7FE2416E6E</t>
  </si>
  <si>
    <t>ac014f79-3d2d-4d12-841d-100e08bb4b91</t>
  </si>
  <si>
    <t>5-402</t>
  </si>
  <si>
    <t>杨鹏</t>
  </si>
  <si>
    <t>SP202102050008</t>
  </si>
  <si>
    <t xml:space="preserve">(M)18052122464 </t>
  </si>
  <si>
    <t>江苏省扬州市广陵区头桥镇福成村济福九组23号</t>
  </si>
  <si>
    <t>以标准总价为基准计算: ((普通组合贷款 100% × 年末冲刺大优惠 95% × 房车宝推荐折扣 96% - 网上购房总价优惠2万元 20000) - 恒房通购房券优惠 10000)</t>
  </si>
  <si>
    <t>扬州恒大云锦华庭-一期-5-402</t>
  </si>
  <si>
    <t>28DCBDB72B0DF0B1</t>
  </si>
  <si>
    <t>32a6cb87-68ce-4f2d-aaf9-42bcbafedd81</t>
  </si>
  <si>
    <t>5-403</t>
  </si>
  <si>
    <t>薛祥斌;潘学燕</t>
  </si>
  <si>
    <t>SP202011270055</t>
  </si>
  <si>
    <t xml:space="preserve"> 321027197208116318;321027197506096343 </t>
  </si>
  <si>
    <t xml:space="preserve">(M)13338841037 </t>
  </si>
  <si>
    <t>江苏省扬州市广陵区翠月东苑24-705;江苏省扬州市邗江区沙头镇邱卜村丁庄组6号</t>
  </si>
  <si>
    <t>扬州恒大云锦华庭-一期-5-403</t>
  </si>
  <si>
    <t>11b66f7c-9d37-4f3b-b246-daadf7c7c6b6</t>
  </si>
  <si>
    <t>5-404</t>
  </si>
  <si>
    <t>任红梅;徐小兵</t>
  </si>
  <si>
    <t>SP202103260115</t>
  </si>
  <si>
    <t xml:space="preserve"> 321088197601084685;321088197311133952 </t>
  </si>
  <si>
    <t xml:space="preserve">(M)18036226390 </t>
  </si>
  <si>
    <t>江苏省江都市丁沟镇麾南村三河组36号;江苏省江都市丁沟镇麾南村三河组36号</t>
  </si>
  <si>
    <t>扬州恒大云锦华庭-一期-5-404</t>
  </si>
  <si>
    <t>0b9eea3c-66d3-4110-9aca-96d33ced3987</t>
  </si>
  <si>
    <t>5-501</t>
  </si>
  <si>
    <t>冯翠如;张祝平</t>
  </si>
  <si>
    <t>SP202011260125</t>
  </si>
  <si>
    <t xml:space="preserve"> 440923197207133423;321088197306065254 </t>
  </si>
  <si>
    <t xml:space="preserve">(M)13813156552 </t>
  </si>
  <si>
    <t>江苏省江都市丁伙镇双华村东坝组9号;江苏省江都市丁伙镇双华村东坝组9号</t>
  </si>
  <si>
    <t>扬州恒大云锦华庭-一期-5-501</t>
  </si>
  <si>
    <t>f258d1dc-f538-4126-bc32-69277f49c93b</t>
  </si>
  <si>
    <t>5-502</t>
  </si>
  <si>
    <t>尤西洋</t>
  </si>
  <si>
    <t>SP202011270022</t>
  </si>
  <si>
    <t xml:space="preserve">(M)13511759835 </t>
  </si>
  <si>
    <t>江苏省扬州市广陵区杭集镇龙王村张庄组25号</t>
  </si>
  <si>
    <t>扬州恒大云锦华庭-一期-5-502</t>
  </si>
  <si>
    <t>3ea2690a-0f74-4e14-b9b5-525a6ad0ba0c</t>
  </si>
  <si>
    <t>5-503</t>
  </si>
  <si>
    <t>周彪;徐汝华</t>
  </si>
  <si>
    <t>SP202012210142</t>
  </si>
  <si>
    <t xml:space="preserve"> 321002196408182414;321002196608041843 </t>
  </si>
  <si>
    <t xml:space="preserve">(M)15050788173 </t>
  </si>
  <si>
    <t>江苏省扬州市广陵区汤汪东晟花园13-202;江苏省扬州市维扬区扬子江北路6号梅庄新村29幢202室</t>
  </si>
  <si>
    <t>扬州恒大云锦华庭-一期-5-503</t>
  </si>
  <si>
    <t>e2fd8124-4a74-4ce3-9c71-c0905670d62c</t>
  </si>
  <si>
    <t>5-504</t>
  </si>
  <si>
    <t>孙成鑫</t>
  </si>
  <si>
    <t>SP202012030133</t>
  </si>
  <si>
    <t xml:space="preserve">(M)15150833793 </t>
  </si>
  <si>
    <t>江苏省扬州市邗江区光辉岁月3幢1002</t>
  </si>
  <si>
    <t>扬州恒大云锦华庭-一期-5-504</t>
  </si>
  <si>
    <t>3ba9f42f-bc3f-4091-9a16-fc24affbf4ef</t>
  </si>
  <si>
    <t>5-601</t>
  </si>
  <si>
    <t>朱道山;周秋香</t>
  </si>
  <si>
    <t>SP202012080107</t>
  </si>
  <si>
    <t xml:space="preserve"> 321011197408261236;321011197610051224 </t>
  </si>
  <si>
    <t xml:space="preserve">(M)13511767678 </t>
  </si>
  <si>
    <t>江苏省扬州市广陵区湾头镇联合村周后组15－1号;江苏省扬州市广陵区湾头镇联合村周后组15号</t>
  </si>
  <si>
    <t>以标准总价为基准计算: (一次性付款 99% - 总价优惠 -6368)</t>
  </si>
  <si>
    <t>扬州恒大云锦华庭-一期-5-601</t>
  </si>
  <si>
    <t>1b997344-0b9e-455d-99f7-02456f5a0c5c</t>
  </si>
  <si>
    <t>5-602</t>
  </si>
  <si>
    <t>毛佳佳</t>
  </si>
  <si>
    <t>SP202012020077</t>
  </si>
  <si>
    <t xml:space="preserve">(M)18852733212 </t>
  </si>
  <si>
    <t>扬州市邗江区新港名兴花园38幢</t>
  </si>
  <si>
    <t>扬州恒大云锦华庭-一期-5-602</t>
  </si>
  <si>
    <t>91b9d681-b1b8-4e06-a89d-33ff7ad5abb3</t>
  </si>
  <si>
    <t>5-603</t>
  </si>
  <si>
    <t>朱清;朱善明</t>
  </si>
  <si>
    <t>SP202012030003</t>
  </si>
  <si>
    <t xml:space="preserve"> 321088199709215252;321088197112145256 </t>
  </si>
  <si>
    <t xml:space="preserve">(M)17625852500 </t>
  </si>
  <si>
    <t>江苏省扬州市江都区丁伙镇富桥村村东组7号;江苏省江都市丁伙镇富桥村村东组7号</t>
  </si>
  <si>
    <t>扬州恒大云锦华庭-一期-5-603</t>
  </si>
  <si>
    <t>c46bc224-a931-45c8-bad9-c24922793466</t>
  </si>
  <si>
    <t>5-604</t>
  </si>
  <si>
    <t>彭扬龙</t>
  </si>
  <si>
    <t>SP202012220080</t>
  </si>
  <si>
    <t xml:space="preserve"> 36012320000628033X </t>
  </si>
  <si>
    <t xml:space="preserve">(M)18936231386 </t>
  </si>
  <si>
    <t>扬州市广陵区明发江湾城南门</t>
  </si>
  <si>
    <t>扬州恒大云锦华庭-一期-5-604</t>
  </si>
  <si>
    <t>17950c81-6632-4113-80ec-3984392a7f50</t>
  </si>
  <si>
    <t>5-701</t>
  </si>
  <si>
    <t>陆明州;马爱莉</t>
  </si>
  <si>
    <t>SP202012220193</t>
  </si>
  <si>
    <t xml:space="preserve"> 321002196507091518;321002196609243025 </t>
  </si>
  <si>
    <t xml:space="preserve">(M)18752546328 </t>
  </si>
  <si>
    <t>扬州市维扬区史可法西路25号梅玲新村3幢102室;扬州市维扬区史可法西路25号梅玲新村3幢102室</t>
  </si>
  <si>
    <t>以标准总价为基准计算: ((首付优惠按揭付款 100% × 年末冲刺大优惠 95% × 房车宝推荐折扣 96% - 恒房通购房券优惠 10000) - 网上购房总价优惠2万元 20000)</t>
  </si>
  <si>
    <t>扬州恒大云锦华庭-一期-5-701</t>
  </si>
  <si>
    <t>不参与提前还款统计</t>
  </si>
  <si>
    <t>HFTM1458792047</t>
  </si>
  <si>
    <t>381b2b50-fb45-4aed-9319-5809ed0488f2</t>
  </si>
  <si>
    <t>5-702</t>
  </si>
  <si>
    <t>陈学丹</t>
  </si>
  <si>
    <t>SP202012030118</t>
  </si>
  <si>
    <t xml:space="preserve">(M)18658800230 </t>
  </si>
  <si>
    <t>浙江省杭州市拱墅区衢州街19号</t>
  </si>
  <si>
    <t>扬州恒大云锦华庭-一期-5-702</t>
  </si>
  <si>
    <t>96944f5c-411f-4804-b09f-851b05d09579</t>
  </si>
  <si>
    <t>5-703</t>
  </si>
  <si>
    <t>刘复广</t>
  </si>
  <si>
    <t>SP202011130185</t>
  </si>
  <si>
    <t xml:space="preserve">(M)18105297266 (O)17751378563 </t>
  </si>
  <si>
    <t>江苏省江都市真武镇振兴村刘庄组56号</t>
  </si>
  <si>
    <t>扬州恒大云锦华庭-一期-5-703</t>
  </si>
  <si>
    <t>1f84d19e-d0c6-438c-9a91-3348bc2e70ae</t>
  </si>
  <si>
    <t>5-704</t>
  </si>
  <si>
    <t>夏仕桂;徐小白</t>
  </si>
  <si>
    <t>SP202011130059</t>
  </si>
  <si>
    <t xml:space="preserve"> 34260119750228181X;342601197510011844 </t>
  </si>
  <si>
    <t xml:space="preserve">(M)17701451316 </t>
  </si>
  <si>
    <t>安徽省巢湖市居巢区沐集镇万年村委会九冲寨村;安徽省巢湖市居巢区沐集镇万年村委会红沙段村</t>
  </si>
  <si>
    <t>扬州恒大云锦华庭-一期-5-704</t>
  </si>
  <si>
    <t>bc840328-d81c-4922-8fa6-2bf5a3f62b58</t>
  </si>
  <si>
    <t>5-801</t>
  </si>
  <si>
    <t>占古伟;陈新梅;占猛</t>
  </si>
  <si>
    <t>SP202012080153</t>
  </si>
  <si>
    <t xml:space="preserve"> 320923197409193910;320923197510103940;320923199708043911 </t>
  </si>
  <si>
    <t xml:space="preserve">(M)15861342826 </t>
  </si>
  <si>
    <t>江苏省阜宁县羊寨镇沙河北街56号;江苏省阜宁县羊寨镇沙河北街56号;江苏省阜宁县羊寨镇沙河北街56号</t>
  </si>
  <si>
    <t>扬州恒大云锦华庭-一期-5-801</t>
  </si>
  <si>
    <t>6934961f-db84-4d19-a11d-d14aa66c6d78</t>
  </si>
  <si>
    <t>5-802</t>
  </si>
  <si>
    <t>颜鑫;刘美</t>
  </si>
  <si>
    <t>SP202011260051</t>
  </si>
  <si>
    <t xml:space="preserve"> 320721198902011237;321088198909257540 </t>
  </si>
  <si>
    <t xml:space="preserve">(M)13951724638 </t>
  </si>
  <si>
    <t>江苏省扬州市邗江区四季园春竹苑5幢306室;江苏省扬州市江都区大桥镇迎山村谭家组16号</t>
  </si>
  <si>
    <t>扬州恒大云锦华庭-一期-5-802</t>
  </si>
  <si>
    <t>9b9f0d04-18ea-4e7c-a5b1-f48a70850bfa</t>
  </si>
  <si>
    <t>5-803</t>
  </si>
  <si>
    <t>孙琳倩</t>
  </si>
  <si>
    <t>SP202012220021</t>
  </si>
  <si>
    <t xml:space="preserve">(M)15105279691 </t>
  </si>
  <si>
    <t>江苏省扬州市广陵区苏高新名泽园12幢206室</t>
  </si>
  <si>
    <t>扬州恒大云锦华庭-一期-5-803</t>
  </si>
  <si>
    <t>f37efd69-8724-453d-b43c-f8a179a4b976</t>
  </si>
  <si>
    <t>5-804</t>
  </si>
  <si>
    <t>肖文轩</t>
  </si>
  <si>
    <t>SP202012210143</t>
  </si>
  <si>
    <t xml:space="preserve">(M)13921858399 </t>
  </si>
  <si>
    <t>江苏省建湖县汇文西路348号</t>
  </si>
  <si>
    <t>扬州恒大云锦华庭-一期-5-804</t>
  </si>
  <si>
    <t>ce9a21fe-6a2a-44b6-b55a-21cfe0b7bd43</t>
  </si>
  <si>
    <t>5-901</t>
  </si>
  <si>
    <t>范小丽</t>
  </si>
  <si>
    <t>SP202012300091</t>
  </si>
  <si>
    <t xml:space="preserve">(M)13952595749 </t>
  </si>
  <si>
    <t>江苏省扬州市邗江区沙头镇高桥村新庄组3号</t>
  </si>
  <si>
    <t>以标准总价为基准计算: ((两年分期付款 100% × 年末冲刺大优惠 95% × 房车宝推荐折扣 96% - 网上购房总价优惠2万元 20000) - 恒房通购房券优惠 10000)</t>
  </si>
  <si>
    <t>扬州恒大云锦华庭-一期-5-901</t>
  </si>
  <si>
    <t>F5A139FE00C59BAA</t>
  </si>
  <si>
    <t>2f1ab49c-8f2f-4685-b2c0-e326c2337326</t>
  </si>
  <si>
    <t>5-902</t>
  </si>
  <si>
    <t>戴丽丽</t>
  </si>
  <si>
    <t>SP202101280171</t>
  </si>
  <si>
    <t xml:space="preserve">(M)13511767586；15895773686 </t>
  </si>
  <si>
    <t>江苏省扬州市邗江区泰安镇金泰村东丁组33号</t>
  </si>
  <si>
    <t>扬州恒大云锦华庭-一期-5-902</t>
  </si>
  <si>
    <t>bc5af7a6-fb04-4de3-b6b3-c233e2a0852f</t>
  </si>
  <si>
    <t>5-903</t>
  </si>
  <si>
    <t>戴蕾;孟祥乐</t>
  </si>
  <si>
    <t>SP202101190054</t>
  </si>
  <si>
    <t xml:space="preserve"> 321283199108105823;341125198611228679 </t>
  </si>
  <si>
    <t xml:space="preserve">(M)18875037640 </t>
  </si>
  <si>
    <t>江苏省泰州市高港区胡庄镇汪群村合鹏一组57号;江苏省泰州市高港区胡庄镇汪群村合鹏一组57号</t>
  </si>
  <si>
    <t>以标准总价为基准计算: 一年优惠分期付款 100% × 渠道折扣 98% × 开盘额外优惠 97%</t>
  </si>
  <si>
    <t>扬州恒大云锦华庭-一期-5-903</t>
  </si>
  <si>
    <t>f83bfa69-25cc-4e2e-9ff3-1068a312683e</t>
  </si>
  <si>
    <t>5-904</t>
  </si>
  <si>
    <t>韩长时;陈小方</t>
  </si>
  <si>
    <t>SP202011260025</t>
  </si>
  <si>
    <t xml:space="preserve"> 321088197001282397;321088197010132403 </t>
  </si>
  <si>
    <t xml:space="preserve">(M)13852507860 </t>
  </si>
  <si>
    <t>江苏省江都市樊川镇东汇村陈家组26号;江苏省江都市樊川镇东汇村陈家组26号</t>
  </si>
  <si>
    <t>扬州恒大云锦华庭-一期-5-904</t>
  </si>
  <si>
    <t>6a52625f-5f6b-40f1-9681-44f688925ce9</t>
  </si>
  <si>
    <t>6-1001</t>
  </si>
  <si>
    <t>马鹏</t>
  </si>
  <si>
    <t>SP202011120198</t>
  </si>
  <si>
    <t xml:space="preserve">(M)13852178047 </t>
  </si>
  <si>
    <t>江苏省高邮市送桥镇送桥村迎驾组20号</t>
  </si>
  <si>
    <t>扬州恒大云锦华庭-一期-6-1001</t>
  </si>
  <si>
    <t>456fdd0f-14b0-42f1-ab19-475c97ec890c</t>
  </si>
  <si>
    <t>6-1002</t>
  </si>
  <si>
    <t>SP202012230182</t>
  </si>
  <si>
    <t xml:space="preserve">(M)18001453738 </t>
  </si>
  <si>
    <t>江苏省扬州市广陵区名城运河锦园29-404</t>
  </si>
  <si>
    <t>扬州恒大云锦华庭-一期-6-1002</t>
  </si>
  <si>
    <t>80529c72-b895-4d14-b8ff-70f31994d221</t>
  </si>
  <si>
    <t>6-1003</t>
  </si>
  <si>
    <t>于露;潘菊芹</t>
  </si>
  <si>
    <t>SP202011260035</t>
  </si>
  <si>
    <t xml:space="preserve"> 321027199402220628;321027197009180624 </t>
  </si>
  <si>
    <t xml:space="preserve">(M)13092093942 </t>
  </si>
  <si>
    <t>江苏省扬州市广陵区李典镇黄桥村大一组8号;江苏省扬州市广陵区李典镇黄桥村大一组8号</t>
  </si>
  <si>
    <t>线下推广-外展巡展</t>
  </si>
  <si>
    <t>扬州恒大云锦华庭-一期-6-1003</t>
  </si>
  <si>
    <t>c68fa9e1-8c27-43f8-84e5-362dc8143751</t>
  </si>
  <si>
    <t>6-1004</t>
  </si>
  <si>
    <t>朱方瑛</t>
  </si>
  <si>
    <t>SP202012210144</t>
  </si>
  <si>
    <t xml:space="preserve">(M)13952747148 </t>
  </si>
  <si>
    <t>江苏省扬州市广陵区江广智慧城慧景苑6幢103室</t>
  </si>
  <si>
    <t>扬州恒大云锦华庭-一期-6-1004</t>
  </si>
  <si>
    <t>84608352-4166-450c-a8db-3554d03c4098</t>
  </si>
  <si>
    <t>6-101</t>
  </si>
  <si>
    <t>徐博文</t>
  </si>
  <si>
    <t>SP202011130004</t>
  </si>
  <si>
    <t xml:space="preserve">(M)18021316950 </t>
  </si>
  <si>
    <t>江苏省扬州市广陵区联谊路32－3号</t>
  </si>
  <si>
    <t>扬州恒大云锦华庭-一期-6-101</t>
  </si>
  <si>
    <t>77e9a5a6-6b1d-4ecb-8640-46d2d3480aad</t>
  </si>
  <si>
    <t>6-104</t>
  </si>
  <si>
    <t>刘彤</t>
  </si>
  <si>
    <t>SP202101090143</t>
  </si>
  <si>
    <t xml:space="preserve">(M)13815849092 </t>
  </si>
  <si>
    <t>江苏省扬州市广陵区通运街9号</t>
  </si>
  <si>
    <t>扬州恒大云锦华庭-一期-6-104</t>
  </si>
  <si>
    <t>A21E9FC7854799CD</t>
  </si>
  <si>
    <t>52268aad-6e3d-4856-8417-db7b9ccc82da</t>
  </si>
  <si>
    <t>6-1101</t>
  </si>
  <si>
    <t>曹竟成</t>
  </si>
  <si>
    <t>SP202011120194</t>
  </si>
  <si>
    <t xml:space="preserve">(M)13773456019 </t>
  </si>
  <si>
    <t>江苏省高邮市海潮东路恒生欧洲城二区5幢302室</t>
  </si>
  <si>
    <t>扬州恒大云锦华庭-一期-6-1101</t>
  </si>
  <si>
    <t>f48a9332-07e0-4da5-a5f4-6a77449b4270</t>
  </si>
  <si>
    <t>6-1102</t>
  </si>
  <si>
    <t>丁江华;乔顺芹</t>
  </si>
  <si>
    <t>SP202011270014</t>
  </si>
  <si>
    <t xml:space="preserve"> 321023196503223036;321023197007133044 </t>
  </si>
  <si>
    <t xml:space="preserve">(M)15152703896 </t>
  </si>
  <si>
    <t>江苏省扬州市宝应县西安丰医院;江苏省扬州市宝应县西安丰医院</t>
  </si>
  <si>
    <t>扬州恒大云锦华庭-一期-6-1102</t>
  </si>
  <si>
    <t>a841749e-39b8-4ee7-8f91-f7040064f345</t>
  </si>
  <si>
    <t>6-1103</t>
  </si>
  <si>
    <t>厉志英</t>
  </si>
  <si>
    <t>SP202012030075</t>
  </si>
  <si>
    <t xml:space="preserve">(M)18936269819 </t>
  </si>
  <si>
    <t>扬州市江都区碧桂园融创领誉19幢901室</t>
  </si>
  <si>
    <t>扬州恒大云锦华庭-一期-6-1103</t>
  </si>
  <si>
    <t>13b22615-8c8a-428a-b375-2e110cce871b</t>
  </si>
  <si>
    <t>6-1104</t>
  </si>
  <si>
    <t>陆志军</t>
  </si>
  <si>
    <t xml:space="preserve">(M)13402678590 </t>
  </si>
  <si>
    <t>江苏省苏州市吴中区越溪大村观塘里26号</t>
  </si>
  <si>
    <t>扬州恒大云锦华庭-一期-6-1104</t>
  </si>
  <si>
    <t>f70b8cdb-ad7f-4daa-9c37-0255f29e1340</t>
  </si>
  <si>
    <t>6-1201</t>
  </si>
  <si>
    <t>戴宗香</t>
  </si>
  <si>
    <t>SP202011270031</t>
  </si>
  <si>
    <t xml:space="preserve">(M)15152781433 </t>
  </si>
  <si>
    <t>安徽省天长市大通镇坝田村於庄队15号</t>
  </si>
  <si>
    <t>扬州恒大云锦华庭-一期-6-1201</t>
  </si>
  <si>
    <t>3101366a-8f69-46a2-bca7-9fdc90696245</t>
  </si>
  <si>
    <t>6-1202</t>
  </si>
  <si>
    <t>孙培</t>
  </si>
  <si>
    <t>SP202012090129</t>
  </si>
  <si>
    <t xml:space="preserve">(M)13004329262 </t>
  </si>
  <si>
    <t>江苏省扬州市广陵区杭集镇通洲陆八怪酒店用品公司</t>
  </si>
  <si>
    <t>扬州恒大云锦华庭-一期-6-1202</t>
  </si>
  <si>
    <t>73a156c4-e937-43ef-a87c-fa662f9dca1e</t>
  </si>
  <si>
    <t>6-1203</t>
  </si>
  <si>
    <t>张欢乐</t>
  </si>
  <si>
    <t>SP202011130050</t>
  </si>
  <si>
    <t xml:space="preserve"> 32072419991201091X </t>
  </si>
  <si>
    <t xml:space="preserve">(M)18932363595 </t>
  </si>
  <si>
    <t>江苏省灌南县张店镇宋圩村九组</t>
  </si>
  <si>
    <t>扬州恒大云锦华庭-一期-6-1203</t>
  </si>
  <si>
    <t>2c6ae117-f298-46d0-b65a-9fdfe14878b8</t>
  </si>
  <si>
    <t>6-1204</t>
  </si>
  <si>
    <t>孟小平;夏明军</t>
  </si>
  <si>
    <t>SP202011260043</t>
  </si>
  <si>
    <t xml:space="preserve"> 321028197010141688;320621197103246515 </t>
  </si>
  <si>
    <t xml:space="preserve">(M)13912852282 </t>
  </si>
  <si>
    <t>江苏省南通市海安县雅周镇庞庄村二十三组14号;江苏省南通市海安县雅周镇庞庄村二十三组14号</t>
  </si>
  <si>
    <t>扬州恒大云锦华庭-一期-6-1204</t>
  </si>
  <si>
    <t>1a09f434-cf60-4a59-9a3e-fc3b928b2505</t>
  </si>
  <si>
    <t>6-1301</t>
  </si>
  <si>
    <t>张传珍;马庆军</t>
  </si>
  <si>
    <t>SP202012160081</t>
  </si>
  <si>
    <t xml:space="preserve"> 320382197412033448;320382197401183416 </t>
  </si>
  <si>
    <t xml:space="preserve">(M)15298469029 </t>
  </si>
  <si>
    <t>江苏省扬州市翠月南苑29-306;江苏省邳州市铁富镇连前村3组730号</t>
  </si>
  <si>
    <t>以标准总价为基准计算: (普通商业按揭 100% - 总价优惠 -5098)</t>
  </si>
  <si>
    <t>扬州恒大云锦华庭-一期-6-1301</t>
  </si>
  <si>
    <t>ba9c4a26-ffab-4938-a570-a11f44c381bf</t>
  </si>
  <si>
    <t>6-1302</t>
  </si>
  <si>
    <t>董飞</t>
  </si>
  <si>
    <t>SP202012220084</t>
  </si>
  <si>
    <t xml:space="preserve">(M)15952711506 </t>
  </si>
  <si>
    <t>江苏省扬州市广陵区恒大翡翠华庭14-1101</t>
  </si>
  <si>
    <t>以标准总价为基准计算: ((两年分期付款 100% × 年末冲刺大优惠 95% × 房车宝推荐折扣 96% × 佣金抵房款 99% - 网上购房总价优惠2万元 20000) - 恒房通购房券优惠 10000)</t>
  </si>
  <si>
    <t>扬州恒大云锦华庭-一期-6-1302</t>
  </si>
  <si>
    <t>HFTM5789513510</t>
  </si>
  <si>
    <t>e0e1bed7-e42e-4adf-8ec9-aa9c38ff629f</t>
  </si>
  <si>
    <t>6-1303</t>
  </si>
  <si>
    <t>赵元忠;许玲</t>
  </si>
  <si>
    <t>SP202012160059</t>
  </si>
  <si>
    <t xml:space="preserve"> 32102319720820331X;32102319760807334X </t>
  </si>
  <si>
    <t xml:space="preserve">(M)13852511867 </t>
  </si>
  <si>
    <t>宝应县阳光锦城21-205;江苏省宝应县泾河镇文化巷132号</t>
  </si>
  <si>
    <t>扬州恒大云锦华庭-一期-6-1303</t>
  </si>
  <si>
    <t>0a4df01e-64ce-4c88-9088-45ff49550f82</t>
  </si>
  <si>
    <t>6-1304</t>
  </si>
  <si>
    <t>孙士美;张运</t>
  </si>
  <si>
    <t>SP202103250003</t>
  </si>
  <si>
    <t xml:space="preserve"> 321088196307273165;321088198301036539 </t>
  </si>
  <si>
    <t xml:space="preserve">(M)13852590577 </t>
  </si>
  <si>
    <t>江苏省江都市真武镇滨西村李堡组137号;江苏省江都市真武镇滨西村李堡组137号</t>
  </si>
  <si>
    <t>以标准总价为基准计算: (((两年优惠分期付款 100% × 网购优惠折扣 90% - 注册南瓜会员优惠 20000) - 网上购房总价优惠 30000) - 房车宝购房券优惠 10000)</t>
  </si>
  <si>
    <t>扬州恒大云锦华庭-一期-6-1304</t>
  </si>
  <si>
    <t>449F19829B32C3D0</t>
  </si>
  <si>
    <t>AF1641220DBEE141</t>
  </si>
  <si>
    <t>F159D532198F3654</t>
  </si>
  <si>
    <t>d968538d-52fc-46a0-8d32-9a6758af007e</t>
  </si>
  <si>
    <t>6-1401</t>
  </si>
  <si>
    <t>许爱萍;刘金奎</t>
  </si>
  <si>
    <t>SP202012090012</t>
  </si>
  <si>
    <t xml:space="preserve"> 321027197107254228;321027197308034213 </t>
  </si>
  <si>
    <t xml:space="preserve">(M)13815831315 </t>
  </si>
  <si>
    <t>扬州市邗江区槐泗镇酒甸镇聚福苑6幢102室;江苏省扬州市邗江区槐泗镇包家村靳桥组28号</t>
  </si>
  <si>
    <t>扬州恒大云锦华庭-一期-6-1401</t>
  </si>
  <si>
    <t>4dc069a3-4947-4fa8-b5f9-bf80461519f3</t>
  </si>
  <si>
    <t>6-1402</t>
  </si>
  <si>
    <t>上官慧</t>
  </si>
  <si>
    <t>SP202012160045</t>
  </si>
  <si>
    <t xml:space="preserve">(M)18001026664 </t>
  </si>
  <si>
    <t>北京市东城区法华寺南里8楼104号</t>
  </si>
  <si>
    <t>扬州恒大云锦华庭-一期-6-1402</t>
  </si>
  <si>
    <t>77fe4b62-b6a0-42ab-8e6e-5151af8c4d0b</t>
  </si>
  <si>
    <t>6-1403</t>
  </si>
  <si>
    <t>丁韦;洪亮</t>
  </si>
  <si>
    <t>SP202012150255</t>
  </si>
  <si>
    <t xml:space="preserve"> 321027199207071823;32102719910401181X </t>
  </si>
  <si>
    <t xml:space="preserve">(M)15252747908 </t>
  </si>
  <si>
    <t>江苏省扬州市广陵区新坝镇新滩村新四组4号;江苏省扬州市广陵区李典镇新滩村新四组4号</t>
  </si>
  <si>
    <t>扬州恒大云锦华庭-一期-6-1403</t>
  </si>
  <si>
    <t>e1b7aa8f-a526-465b-9a8e-cc518b2f10ba</t>
  </si>
  <si>
    <t>6-1404</t>
  </si>
  <si>
    <t>张子璇</t>
  </si>
  <si>
    <t>SP202102200096</t>
  </si>
  <si>
    <t xml:space="preserve">(M)18652500808 </t>
  </si>
  <si>
    <t>江苏省扬州市广陵区江都南路11号4幢301室</t>
  </si>
  <si>
    <t>扬州恒大云锦华庭-一期-6-1404</t>
  </si>
  <si>
    <t>395c4dea-4cf3-4dca-a86d-768b5999c778</t>
  </si>
  <si>
    <t>6-1501</t>
  </si>
  <si>
    <t>潘诒明</t>
  </si>
  <si>
    <t>SP202011130002</t>
  </si>
  <si>
    <t xml:space="preserve"> 32102319930321645X </t>
  </si>
  <si>
    <t xml:space="preserve">(M)18305171820 </t>
  </si>
  <si>
    <t>扬州市邗江区瘦西湖街道大虹桥路34-1号4幢105</t>
  </si>
  <si>
    <t>扬州恒大云锦华庭-一期-6-1501</t>
  </si>
  <si>
    <t>2a1f036f-b1ed-47c1-96b9-dc45895b6016</t>
  </si>
  <si>
    <t>6-1502</t>
  </si>
  <si>
    <t>江霞;施学强</t>
  </si>
  <si>
    <t>SP202012220035</t>
  </si>
  <si>
    <t xml:space="preserve"> 421022198204030740;321027197711215436 </t>
  </si>
  <si>
    <t xml:space="preserve">(M)15380382217 </t>
  </si>
  <si>
    <t>江苏省扬州市广陵区李典镇新滩村解小组3－2号;江苏省扬州市广陵区</t>
  </si>
  <si>
    <t>扬州恒大云锦华庭-一期-6-1502</t>
  </si>
  <si>
    <t>c57f90cc-4882-4fab-af4e-61384b8736af</t>
  </si>
  <si>
    <t>6-1503</t>
  </si>
  <si>
    <t>蔡天峰</t>
  </si>
  <si>
    <t>SP202012020070</t>
  </si>
  <si>
    <t xml:space="preserve">(M)15861372187 </t>
  </si>
  <si>
    <t>扬州市广陵区宦桥路8号</t>
  </si>
  <si>
    <t>扬州恒大云锦华庭-一期-6-1503</t>
  </si>
  <si>
    <t>db68fd8d-fa2b-48ef-a1dc-fb2827074b2f</t>
  </si>
  <si>
    <t>6-1504</t>
  </si>
  <si>
    <t>李年红</t>
  </si>
  <si>
    <t>SP202102030015</t>
  </si>
  <si>
    <t xml:space="preserve">(M)15366873499 </t>
  </si>
  <si>
    <t>江苏省江都市武坚镇双林村东薛组7号</t>
  </si>
  <si>
    <t>扬州恒大云锦华庭-一期-6-1504</t>
  </si>
  <si>
    <t>c8e0a656-f5f8-4f7c-b7c5-39bf04cf5aa8</t>
  </si>
  <si>
    <t>6-1601</t>
  </si>
  <si>
    <t>杭圣利;杨兰英</t>
  </si>
  <si>
    <t>SP202011120169</t>
  </si>
  <si>
    <t xml:space="preserve"> 321027196611276915;32102319670113662X </t>
  </si>
  <si>
    <t xml:space="preserve">(M)18118203777 </t>
  </si>
  <si>
    <t>江苏省扬州市邗江区杭集镇双隆村红专组25号;江苏省扬州市广陵区杭集镇双隆村红专组25号</t>
  </si>
  <si>
    <t>扬州恒大云锦华庭-一期-6-1601</t>
  </si>
  <si>
    <t>93ebeb5f-9c72-4a9e-89d9-49856a393139</t>
  </si>
  <si>
    <t>6-1602</t>
  </si>
  <si>
    <t>练娟;童云</t>
  </si>
  <si>
    <t>SP202012150154</t>
  </si>
  <si>
    <t xml:space="preserve"> 321027198812086324;321027198812036036 </t>
  </si>
  <si>
    <t xml:space="preserve">(M)13952539382 </t>
  </si>
  <si>
    <t>江苏省扬州市广陵区沙头镇建新路40号;江苏省扬州市广陵区沙头镇建新路40号</t>
  </si>
  <si>
    <t>扬州恒大云锦华庭-一期-6-1602</t>
  </si>
  <si>
    <t>2eeb87b0-e090-4b64-935d-0d1eb9b6e917</t>
  </si>
  <si>
    <t>6-1603</t>
  </si>
  <si>
    <t>王欣</t>
  </si>
  <si>
    <t>SP202011270061</t>
  </si>
  <si>
    <t xml:space="preserve">(M)18012149889 </t>
  </si>
  <si>
    <t>江苏省扬州市广陵区头桥镇康郡花园9幢402</t>
  </si>
  <si>
    <t>扬州恒大云锦华庭-一期-6-1603</t>
  </si>
  <si>
    <t>fce392e5-2c48-4d57-8848-b975b6f3fd00</t>
  </si>
  <si>
    <t>6-1604</t>
  </si>
  <si>
    <t>王广仁;周晓玉</t>
  </si>
  <si>
    <t>SP202102190106</t>
  </si>
  <si>
    <t xml:space="preserve"> 321027198010276919;320882198712121222 </t>
  </si>
  <si>
    <t xml:space="preserve">(M)15298466001 </t>
  </si>
  <si>
    <t>江苏省扬州市广陵区杭集镇王集村李家组8号;江苏省扬州市广陵区杭集镇王集村李家组8号</t>
  </si>
  <si>
    <t>以标准总价为基准计算: (一次性付款 100% × 清尾优惠折扣 90% × 年末冲刺大优惠3 97% × 自然到访优惠 96% - 网上购房总价优惠2万元 20000)</t>
  </si>
  <si>
    <t>扬州恒大云锦华庭-一期-6-1604</t>
  </si>
  <si>
    <t>9d145494-b22a-414e-bd8c-aa39f9a11e24</t>
  </si>
  <si>
    <t>6-1701</t>
  </si>
  <si>
    <t>孙平;陈莹</t>
  </si>
  <si>
    <t>SP202011270045</t>
  </si>
  <si>
    <t xml:space="preserve"> 321088198109132555;321002198209087624 </t>
  </si>
  <si>
    <t xml:space="preserve">(M)13952793038 </t>
  </si>
  <si>
    <t>江苏省扬州市广陵区东花园东路42号东方丽景8-401;江苏省扬州市广陵区东花园东路42号东方丽景8-401</t>
  </si>
  <si>
    <t>扬州恒大云锦华庭-一期-6-1701</t>
  </si>
  <si>
    <t>ee8d2ef6-8dd4-49b1-8379-8dd3e6eb6a08</t>
  </si>
  <si>
    <t>6-1702</t>
  </si>
  <si>
    <t>黄毓</t>
  </si>
  <si>
    <t>SP202012150176</t>
  </si>
  <si>
    <t xml:space="preserve">(M)13390604447 </t>
  </si>
  <si>
    <t>江苏省扬州市江都区丁沟镇乔河村乔三组25号</t>
  </si>
  <si>
    <t>扬州恒大云锦华庭-一期-6-1702</t>
  </si>
  <si>
    <t>f709b4b2-10dd-44e2-9f32-2be2c00bf6bb</t>
  </si>
  <si>
    <t>6-1703</t>
  </si>
  <si>
    <t>张瑞兵</t>
  </si>
  <si>
    <t>SP202012150042</t>
  </si>
  <si>
    <t xml:space="preserve">(M)18952796081 </t>
  </si>
  <si>
    <t>江苏省扬州市广陵区广福花园1#804</t>
  </si>
  <si>
    <t>扬州恒大云锦华庭-一期-6-1703</t>
  </si>
  <si>
    <t>73220967-28b6-4d46-878e-fbfd68f6d32d</t>
  </si>
  <si>
    <t>6-1704</t>
  </si>
  <si>
    <t>韩乐乐</t>
  </si>
  <si>
    <t xml:space="preserve">(M)18251587286 </t>
  </si>
  <si>
    <t>江苏省邳州市议堂镇庄路村陆家53号</t>
  </si>
  <si>
    <t>吴方圆</t>
  </si>
  <si>
    <t>扬州恒大云锦华庭-一期-6-1704</t>
  </si>
  <si>
    <t>Z吴方圆</t>
  </si>
  <si>
    <t>bd8b6927-1e27-4bd0-a9ad-c67a097fb0cb</t>
  </si>
  <si>
    <t>6-1801</t>
  </si>
  <si>
    <t>张兆霞</t>
  </si>
  <si>
    <t xml:space="preserve">(M)13813238927 </t>
  </si>
  <si>
    <t>扬州恒大云锦华庭-一期-6-1801</t>
  </si>
  <si>
    <t>F30AA871DBB9274C</t>
  </si>
  <si>
    <t>B5554B31ABCD87C2</t>
  </si>
  <si>
    <t>808D5839EA7F3A0B</t>
  </si>
  <si>
    <t>ba8b79a7-6f25-4f78-acdf-4635b64eb3cd</t>
  </si>
  <si>
    <t>6-1802</t>
  </si>
  <si>
    <t>夏阿红;郭宏军</t>
  </si>
  <si>
    <t>SP202103110033</t>
  </si>
  <si>
    <t xml:space="preserve"> 321026197001257125;321088197212037519 </t>
  </si>
  <si>
    <t xml:space="preserve">(M)15029217990 </t>
  </si>
  <si>
    <t>江苏省江都市大桥镇童兴村富乐组41号;江苏省江都市大桥镇童兴村富乐组41号</t>
  </si>
  <si>
    <t>扬州恒大云锦华庭-一期-6-1802</t>
  </si>
  <si>
    <t>45c19093-27c4-432d-bfc0-34af0dd5404c</t>
  </si>
  <si>
    <t>6-1803</t>
  </si>
  <si>
    <t>张茗茗</t>
  </si>
  <si>
    <t>SP202012150134</t>
  </si>
  <si>
    <t xml:space="preserve">(M)18168418185 </t>
  </si>
  <si>
    <t>江苏省南京市鼓楼区中山北路576号恒大滨江13栋9楼902室</t>
  </si>
  <si>
    <t>以标准总价为基准计算: (普通商业按揭 100% - 总价优惠 -4799)</t>
  </si>
  <si>
    <t>扬州恒大云锦华庭-一期-6-1803</t>
  </si>
  <si>
    <t>f1b8b1f8-675a-4a73-9645-3b1cc656a066</t>
  </si>
  <si>
    <t>6-1804</t>
  </si>
  <si>
    <t>余秋芳</t>
  </si>
  <si>
    <t>SP202104020121</t>
  </si>
  <si>
    <t xml:space="preserve">(M)13656143980 </t>
  </si>
  <si>
    <t>江苏省常州市武进区横山桥镇五一村委小陈家村186号</t>
  </si>
  <si>
    <t>扬州恒大云锦华庭-一期-6-1804</t>
  </si>
  <si>
    <t>DB1879E18CC6D58A</t>
  </si>
  <si>
    <t>93A4C59A1CB2ED94</t>
  </si>
  <si>
    <t>E89FF7301D062149</t>
  </si>
  <si>
    <t>4acc2ee7-b5bb-44d0-8a6a-182f9ec5a541</t>
  </si>
  <si>
    <t>6-201</t>
  </si>
  <si>
    <t>朱立俊</t>
  </si>
  <si>
    <t>SP202102030078</t>
  </si>
  <si>
    <t xml:space="preserve">(M)17625869798 </t>
  </si>
  <si>
    <t>江苏省扬州市江都区大桥镇波斯村第五组35号</t>
  </si>
  <si>
    <t>扬州恒大云锦华庭-一期-6-201</t>
  </si>
  <si>
    <t>819228e6-620b-4fcf-b1e3-3598cdd0982f</t>
  </si>
  <si>
    <t>6-202</t>
  </si>
  <si>
    <t>潘宁;第五秀平</t>
  </si>
  <si>
    <t>SP202012220028</t>
  </si>
  <si>
    <t xml:space="preserve"> 32100219800123703X;610429198404165165 </t>
  </si>
  <si>
    <t xml:space="preserve">(M)13390663997 </t>
  </si>
  <si>
    <t>江苏省扬州市广陵区文昌中路18号29幢501室;江苏省扬州市广陵区文昌中路18号29幢501室</t>
  </si>
  <si>
    <t>扬州恒大云锦华庭-一期-6-202</t>
  </si>
  <si>
    <t>dbee5d66-2d5c-45d5-8485-9174e78caaa4</t>
  </si>
  <si>
    <t>6-203</t>
  </si>
  <si>
    <t>支素华</t>
  </si>
  <si>
    <t>SP202011260059</t>
  </si>
  <si>
    <t xml:space="preserve">(M)15962758127 </t>
  </si>
  <si>
    <t>江苏省南京建邺区水西门大街莞潮湖东路1606室</t>
  </si>
  <si>
    <t>扬州恒大云锦华庭-一期-6-203</t>
  </si>
  <si>
    <t>5d52bc24-9dc5-4e38-880b-b0ff17e52c7e</t>
  </si>
  <si>
    <t>6-204</t>
  </si>
  <si>
    <t>任建国;刘尚梅</t>
  </si>
  <si>
    <t>SP202103140034</t>
  </si>
  <si>
    <t xml:space="preserve"> 320325197703258316;320325197408198322 </t>
  </si>
  <si>
    <t xml:space="preserve">(M)13013726866 </t>
  </si>
  <si>
    <t>江苏省邳州市八路镇招贤村13组716号;江苏省邳州市八路镇招贤村13组716号</t>
  </si>
  <si>
    <t>杜骏</t>
  </si>
  <si>
    <t>扬州恒大云锦华庭-一期-6-204</t>
  </si>
  <si>
    <t>Z1杜骏</t>
  </si>
  <si>
    <t>c95f44ee-ee3c-4493-a59d-540061e75a2a</t>
  </si>
  <si>
    <t>6-301</t>
  </si>
  <si>
    <t>吴涛</t>
  </si>
  <si>
    <t>SP202012210135</t>
  </si>
  <si>
    <t xml:space="preserve">(M)15995146082 </t>
  </si>
  <si>
    <t>江苏省扬州市广陵区湾头镇沙联村严桥组42号</t>
  </si>
  <si>
    <t>扬州恒大云锦华庭-一期-6-301</t>
  </si>
  <si>
    <t>2A3448259E841B3F</t>
  </si>
  <si>
    <t>85201550-3d82-4cff-9d96-8f391b120aab</t>
  </si>
  <si>
    <t>6-302</t>
  </si>
  <si>
    <t>徐礼明</t>
  </si>
  <si>
    <t>SP202012200096</t>
  </si>
  <si>
    <t xml:space="preserve"> 32112119650906223X </t>
  </si>
  <si>
    <t xml:space="preserve">(M)18890046931 </t>
  </si>
  <si>
    <t>扬州市广陵区明发商业广场6幢3单元706室</t>
  </si>
  <si>
    <t>扬州恒大云锦华庭-一期-6-302</t>
  </si>
  <si>
    <t>a4efdc11-0236-473e-8e1c-cac6a0f1efaa</t>
  </si>
  <si>
    <t>6-303</t>
  </si>
  <si>
    <t>王力威</t>
  </si>
  <si>
    <t>SP202011270007</t>
  </si>
  <si>
    <t xml:space="preserve">(M)15195036772 </t>
  </si>
  <si>
    <t>江苏省扬州市江都区曹王林园场卉木路10号</t>
  </si>
  <si>
    <t>以标准总价为基准计算: 普通公积金按揭 100% × 开盘额外优惠 97% × 渠道折扣 98% × 佣金抵房款 98%</t>
  </si>
  <si>
    <t>扬州恒大云锦华庭-一期-6-303</t>
  </si>
  <si>
    <t>7160cb15-f996-4244-b861-d7cc33d5d0f2</t>
  </si>
  <si>
    <t>6-304</t>
  </si>
  <si>
    <t>李秀梅</t>
  </si>
  <si>
    <t>SP202104230024</t>
  </si>
  <si>
    <t xml:space="preserve">(M)13615242438 </t>
  </si>
  <si>
    <t>江苏省江都市丁火镇乔墅村双桥组9号</t>
  </si>
  <si>
    <t>扬州恒大云锦华庭-一期-6-304</t>
  </si>
  <si>
    <t>649381cb-1a09-44eb-b6a3-86f36cf5a2ab</t>
  </si>
  <si>
    <t>6-401</t>
  </si>
  <si>
    <t>祁郑浩;吴楠</t>
  </si>
  <si>
    <t>SP202011120161</t>
  </si>
  <si>
    <t xml:space="preserve"> 320623199605261258;320623199604087964 </t>
  </si>
  <si>
    <t xml:space="preserve">(M)18852547568 </t>
  </si>
  <si>
    <t>扬州市文昌西路456号华城科技广场1栋15楼江苏中杜律师事务所;江苏省如东县曹埠镇孙窑居委会十一组17号</t>
  </si>
  <si>
    <t>扬州恒大云锦华庭-一期-6-401</t>
  </si>
  <si>
    <t>b0f1aede-b3af-4f85-8dd6-417f23ea58ca</t>
  </si>
  <si>
    <t>6-402</t>
  </si>
  <si>
    <t>陈红梅</t>
  </si>
  <si>
    <t>SP202012030055</t>
  </si>
  <si>
    <t xml:space="preserve">(M)13773469810 (O)18651430308 </t>
  </si>
  <si>
    <t>江苏省南通市崇川区沿河路天都花苑南区28幢二单元204室</t>
  </si>
  <si>
    <t>扬州恒大云锦华庭-一期-6-402</t>
  </si>
  <si>
    <t>0a8b1744-048b-4184-863c-76df5db71d16</t>
  </si>
  <si>
    <t>6-403</t>
  </si>
  <si>
    <t>杨佳丽</t>
  </si>
  <si>
    <t>SP202012250099</t>
  </si>
  <si>
    <t xml:space="preserve"> 41031119891104154X </t>
  </si>
  <si>
    <t xml:space="preserve">(M)17605142577 </t>
  </si>
  <si>
    <t>邗江区梅岭东路陆琴脚艺</t>
  </si>
  <si>
    <t>扬州恒大云锦华庭-一期-6-403</t>
  </si>
  <si>
    <t>fabff9dc-7bf8-43b5-81ad-0df6d2430c45</t>
  </si>
  <si>
    <t>6-404</t>
  </si>
  <si>
    <t>郭云龙</t>
  </si>
  <si>
    <t>SP202102240077</t>
  </si>
  <si>
    <t xml:space="preserve">(M)19974855743 </t>
  </si>
  <si>
    <t>江苏省扬州市广陵区头桥镇安阜村光明组46号</t>
  </si>
  <si>
    <t>扬州恒大云锦华庭-一期-6-404</t>
  </si>
  <si>
    <t>f8936108-4e71-4998-8d4f-e1c9ed716a81</t>
  </si>
  <si>
    <t>6-501</t>
  </si>
  <si>
    <t>崔红</t>
  </si>
  <si>
    <t>SP202101030078</t>
  </si>
  <si>
    <t xml:space="preserve">(M)13813133581 </t>
  </si>
  <si>
    <t>江苏省江都市龙城苑6幢404室</t>
  </si>
  <si>
    <t>扬州恒大云锦华庭-一期-6-501</t>
  </si>
  <si>
    <t>afae7c8a-bec9-4c0e-bed0-8faa89385d11</t>
  </si>
  <si>
    <t>6-502</t>
  </si>
  <si>
    <t>周志龙</t>
  </si>
  <si>
    <t xml:space="preserve">(M)15895757895 </t>
  </si>
  <si>
    <t>江苏省仪征市铜山铜山村田云组20号</t>
  </si>
  <si>
    <t>扬州恒大云锦华庭-一期-6-502</t>
  </si>
  <si>
    <t>5fde776f-19e8-49fb-be69-bf10a4a83d8e</t>
  </si>
  <si>
    <t>6-503</t>
  </si>
  <si>
    <t>高琴;张良</t>
  </si>
  <si>
    <t>SP202012220161</t>
  </si>
  <si>
    <t xml:space="preserve"> 321027197906116323;321027197707086635 </t>
  </si>
  <si>
    <t xml:space="preserve">(M)13815803833 </t>
  </si>
  <si>
    <t>江苏省扬州市广陵湾头镇山河村幸福组第二排第三家;江苏省扬州市广陵区汤汪乡高桥村束六组13号</t>
  </si>
  <si>
    <t>线下推广-电梯框架广告</t>
  </si>
  <si>
    <t>扬州恒大云锦华庭-一期-6-503</t>
  </si>
  <si>
    <t>134008f5-79e6-4b32-8d69-dc2936ccf5f6</t>
  </si>
  <si>
    <t>6-504</t>
  </si>
  <si>
    <t>张殿平</t>
  </si>
  <si>
    <t>SP202102210070</t>
  </si>
  <si>
    <t xml:space="preserve">(M)13638901901 </t>
  </si>
  <si>
    <t>江苏省扬州市广陵区运河西路111号金域珑璟1栋</t>
  </si>
  <si>
    <t>以标准总价为基准计算: (两年优惠分期付款（适用2、3、5、6、7、8、9栋） 100% × 自然到访优惠 96% × 年末冲刺大优惠3 97% × 清尾优惠折扣 94% - 网上购房总价优惠2万元 20000)</t>
  </si>
  <si>
    <t>扬州恒大云锦华庭-一期-6-504</t>
  </si>
  <si>
    <t>fc8d6a02-6c7b-4dee-8bca-8e7f2107d1ae</t>
  </si>
  <si>
    <t>6-601</t>
  </si>
  <si>
    <t>刘海龙;刘芳芳</t>
  </si>
  <si>
    <t>SP202012220208</t>
  </si>
  <si>
    <t xml:space="preserve"> 360123198804040031;360123198810022227 </t>
  </si>
  <si>
    <t xml:space="preserve">(M)13390642700 </t>
  </si>
  <si>
    <t>江苏省扬州市广陵区杭集镇三笑物流园F区江隆物流;江苏省扬州市开发区扬子江南路469号11幢901室</t>
  </si>
  <si>
    <t>扬州恒大云锦华庭-一期-6-601</t>
  </si>
  <si>
    <t>d88d6895-c909-4961-be68-8a42be423d30</t>
  </si>
  <si>
    <t>6-602</t>
  </si>
  <si>
    <t>张金</t>
  </si>
  <si>
    <t xml:space="preserve">(M)15380338976 </t>
  </si>
  <si>
    <t>贵州省毕节市撒拉溪镇兴隆村五组28号</t>
  </si>
  <si>
    <t>扬州恒大云锦华庭-一期-6-602</t>
  </si>
  <si>
    <t>a4c50ee4-8bf9-48c3-b711-c4c7d1567e1a</t>
  </si>
  <si>
    <t>6-603</t>
  </si>
  <si>
    <t>童成钧;王示杰</t>
  </si>
  <si>
    <t>SP202012300081</t>
  </si>
  <si>
    <t xml:space="preserve"> 110108196301253458;110109196302020644 </t>
  </si>
  <si>
    <t xml:space="preserve">(M)15811181531 </t>
  </si>
  <si>
    <t>北京市海淀区车道沟南里9号楼1303号;北京市海淀区车道沟南里9号楼1303号</t>
  </si>
  <si>
    <t>以标准总价为基准计算: 一次性付款 99% × 开盘额外优惠 97% × 渠道折扣 98% × 佣金抵房款 98%</t>
  </si>
  <si>
    <t>扬州恒大云锦华庭-一期-6-603</t>
  </si>
  <si>
    <t>e4aea77b-ad98-479a-b8c3-89d1e8cfb33c</t>
  </si>
  <si>
    <t>6-604</t>
  </si>
  <si>
    <t>张道贵</t>
  </si>
  <si>
    <t>SP202102020196</t>
  </si>
  <si>
    <t xml:space="preserve">(M)17374757809 </t>
  </si>
  <si>
    <t>江苏省扬州市广陵区杭集镇杭集村杭集组2-4号</t>
  </si>
  <si>
    <t>以标准总价为基准计算: (两年优惠分期付款（适用2、3、5、6、7、8、9栋） 100% × 年末冲刺大优惠3 97% × 自然到访优惠 96% - 网上购房总价优惠2万元 20000)</t>
  </si>
  <si>
    <t>扬州恒大云锦华庭-一期-6-604</t>
  </si>
  <si>
    <t>7e82e46d-c1f7-4102-a9a3-9f5afe705c3b</t>
  </si>
  <si>
    <t>6-701</t>
  </si>
  <si>
    <t>曹友衎;孔令香</t>
  </si>
  <si>
    <t>SP202011120126</t>
  </si>
  <si>
    <t xml:space="preserve"> 32108819700818401X;321088197107063408 </t>
  </si>
  <si>
    <t xml:space="preserve">(M)18936241548 </t>
  </si>
  <si>
    <t>江苏省江都市宜陵镇园田村文星组1－1号;江苏省江都市宜陵镇园田村文星组1－1号</t>
  </si>
  <si>
    <t>扬州恒大云锦华庭-一期-6-701</t>
  </si>
  <si>
    <t>b0021a1e-ba3f-45d4-95f9-e1e6c17b7e59</t>
  </si>
  <si>
    <t>6-702</t>
  </si>
  <si>
    <t>顾军;崔海涛</t>
  </si>
  <si>
    <t>SP202011120195</t>
  </si>
  <si>
    <t xml:space="preserve"> 321027197707230617;320825197904201743 </t>
  </si>
  <si>
    <t xml:space="preserve">(M)13815844586 </t>
  </si>
  <si>
    <t>江苏省扬州市邗江区李典镇李典村后西组5号;江苏省扬州市邗江区李典镇兴丰路1－3号</t>
  </si>
  <si>
    <t>扬州恒大云锦华庭-一期-6-702</t>
  </si>
  <si>
    <t>0b1226c3-55ce-43c6-98ab-8f941a6471f1</t>
  </si>
  <si>
    <t>6-703</t>
  </si>
  <si>
    <t>魏露</t>
  </si>
  <si>
    <t xml:space="preserve"> 32102719961111512X </t>
  </si>
  <si>
    <t xml:space="preserve">(M)18260029636 </t>
  </si>
  <si>
    <t>江苏省扬州市广陵区头桥镇安埠村平民组5号</t>
  </si>
  <si>
    <t>扬州恒大云锦华庭-一期-6-703</t>
  </si>
  <si>
    <t>916cbef7-6f60-4d7f-8a87-a5880ec3cb9d</t>
  </si>
  <si>
    <t>6-704</t>
  </si>
  <si>
    <t>薛淑云</t>
  </si>
  <si>
    <t>SP202105050006</t>
  </si>
  <si>
    <t xml:space="preserve">(M)13773538616 </t>
  </si>
  <si>
    <t>江苏省扬州市广陵区明发路2号6幢304室</t>
  </si>
  <si>
    <t>扬州恒大云锦华庭-一期-6-704</t>
  </si>
  <si>
    <t>7f70ece4-9a2f-47ba-964d-cf54999ba7f7</t>
  </si>
  <si>
    <t>6-801</t>
  </si>
  <si>
    <t>彭红梅;宋书文</t>
  </si>
  <si>
    <t>SP202011120136</t>
  </si>
  <si>
    <t xml:space="preserve"> 340824199410236029;340824199306226015 </t>
  </si>
  <si>
    <t xml:space="preserve">(M)18952783639 </t>
  </si>
  <si>
    <t>江苏省扬州市广陵区杭集镇裔庙村牙刷城三笑街24号;江苏省扬州市广陵区杭集镇裔庙村牙刷城三笑街24号</t>
  </si>
  <si>
    <t>扬州恒大云锦华庭-一期-6-801</t>
  </si>
  <si>
    <t>3c325817-af46-43b0-accd-652f683dc5fa</t>
  </si>
  <si>
    <t>6-802</t>
  </si>
  <si>
    <t>江胜男</t>
  </si>
  <si>
    <t>SP202012090010</t>
  </si>
  <si>
    <t xml:space="preserve">(M)18852008476 </t>
  </si>
  <si>
    <t>扬州市广陵区环球金融城6栋1012室</t>
  </si>
  <si>
    <t>扬州恒大云锦华庭-一期-6-802</t>
  </si>
  <si>
    <t>b96936ec-c2c8-4fb5-b125-aa7eee7c4f03</t>
  </si>
  <si>
    <t>6-803</t>
  </si>
  <si>
    <t>孙红霞;董必和</t>
  </si>
  <si>
    <t>SP202102040005</t>
  </si>
  <si>
    <t xml:space="preserve"> 321027197308315429;321027197309160617 </t>
  </si>
  <si>
    <t xml:space="preserve">(M)18021333496 </t>
  </si>
  <si>
    <t>扬州市李典镇田桥村黄一组7号;</t>
  </si>
  <si>
    <t>以标准总价为基准计算: (普通公积金按揭 100% - 总价优惠 -4288)</t>
  </si>
  <si>
    <t>扬州恒大云锦华庭-一期-6-803</t>
  </si>
  <si>
    <t>02375c82-75ce-475a-939c-6f2297196278</t>
  </si>
  <si>
    <t>6-804</t>
  </si>
  <si>
    <t>钟荣;张凯</t>
  </si>
  <si>
    <t>SP202102030099</t>
  </si>
  <si>
    <t xml:space="preserve"> 360726199408031818;321088199503293626 </t>
  </si>
  <si>
    <t xml:space="preserve">(M)13511751604 </t>
  </si>
  <si>
    <t>江苏省扬州市邗江区江阳中路138号(曙光西苑);江苏省扬州市邗江区江阳中路138号(曙光西苑)</t>
  </si>
  <si>
    <t>以标准总价为基准计算: (普通组合贷款 100% × 清尾优惠折扣 95% × 年末冲刺大优惠2 96% × 自然到访优惠 96% - 网上购房总价优惠2万元 20000)</t>
  </si>
  <si>
    <t>扬州恒大云锦华庭-一期-6-804</t>
  </si>
  <si>
    <t>ac2a0a11-33e0-442c-8bca-7804ab1fa452</t>
  </si>
  <si>
    <t>6-901</t>
  </si>
  <si>
    <t>葛秀娟;金永建</t>
  </si>
  <si>
    <t>SP202012030069</t>
  </si>
  <si>
    <t xml:space="preserve"> 32102719710112692X;32102719700310695X </t>
  </si>
  <si>
    <t xml:space="preserve">(M)13338857516 </t>
  </si>
  <si>
    <t>江苏省扬州市邗江区杭集镇双隆村邱港组55号;江苏省扬州市邗江区杭集镇双隆村邱港组55号</t>
  </si>
  <si>
    <t>扬州恒大云锦华庭-一期-6-901</t>
  </si>
  <si>
    <t>3a729994-1748-4c33-a83f-e0f1a6019c29</t>
  </si>
  <si>
    <t>6-902</t>
  </si>
  <si>
    <t>孙清;石磊</t>
  </si>
  <si>
    <t>SP202012230001</t>
  </si>
  <si>
    <t xml:space="preserve"> 321002198010093322;321002197912217318 </t>
  </si>
  <si>
    <t xml:space="preserve">(M)13901458088 </t>
  </si>
  <si>
    <t>江苏省扬州市广陵区东圈门28－2号;江苏省扬州市开发区兴城东路98号南宝带新村2幢303室</t>
  </si>
  <si>
    <t>以标准总价为基准计算: 普通商业按揭 100% × 开盘额外优惠 97% × 渠道折扣 98% × 佣金抵房款 98.5%</t>
  </si>
  <si>
    <t>扬州恒大云锦华庭-一期-6-902</t>
  </si>
  <si>
    <t>505dcfc0-cfac-43d5-b308-fa3c9c648bbb</t>
  </si>
  <si>
    <t>6-903</t>
  </si>
  <si>
    <t>焦嘉辉</t>
  </si>
  <si>
    <t>SP202012090047</t>
  </si>
  <si>
    <t xml:space="preserve">(M)18014050123 </t>
  </si>
  <si>
    <t>江苏省扬州市江都区金湾瑞园11栋606室</t>
  </si>
  <si>
    <t>扬州恒大云锦华庭-一期-6-903</t>
  </si>
  <si>
    <t>1e2f14c3-711d-4bad-83cf-7b6fc7fe6301</t>
  </si>
  <si>
    <t>6-904</t>
  </si>
  <si>
    <t>杨柏;吕圆</t>
  </si>
  <si>
    <t>SP202012210141</t>
  </si>
  <si>
    <t xml:space="preserve"> 321323199505304112;321323199701124725 </t>
  </si>
  <si>
    <t xml:space="preserve">(M)13952537137 </t>
  </si>
  <si>
    <t>江苏省泗阳县张家圩镇张圩居委会十二组19号;江苏省泗阳县王集镇武集村路西组13号</t>
  </si>
  <si>
    <t>扬州恒大云锦华庭-一期-6-904</t>
  </si>
  <si>
    <t>c6fd2437-d399-4ddd-9435-c158aae80b38</t>
  </si>
  <si>
    <t>7-1001</t>
  </si>
  <si>
    <t>许春华;费润清</t>
  </si>
  <si>
    <t>SP202101270137</t>
  </si>
  <si>
    <t xml:space="preserve"> 321027196404026040;321027196306046013 </t>
  </si>
  <si>
    <t xml:space="preserve">(M)13705276968 </t>
  </si>
  <si>
    <t>江苏省扬州市邗江区沙头镇陈祠村小四组31号;江苏省扬州市邗江区沙头镇陈祠村小四组31号</t>
  </si>
  <si>
    <t>以标准总价为基准计算: ((普通商业按揭 100% × 年末冲刺大优惠2 96% × 房车宝推荐折扣 96% - 恒房通购房券优惠 10000) - 网上购房总价优惠2万元 20000)</t>
  </si>
  <si>
    <t>扬州恒大云锦华庭-一期-7-1001</t>
  </si>
  <si>
    <t>AEBA5ECFA1E85C56</t>
  </si>
  <si>
    <t>42affa5d-231f-41bb-a149-b2230b5b9bc0</t>
  </si>
  <si>
    <t>7-1002</t>
  </si>
  <si>
    <t>王桂花;徐清松;徐白杨</t>
  </si>
  <si>
    <t>SP202011260041</t>
  </si>
  <si>
    <t xml:space="preserve"> 522627197808225228;522627196811135034;522627200003105215 </t>
  </si>
  <si>
    <t xml:space="preserve">(M)17306299983 </t>
  </si>
  <si>
    <t>扬州市广陵区沙头镇中兴村祠西组19号;扬州市广陵区沙头镇中兴村祠西组19号;扬州市广陵区沙头镇中兴村祠西组19号</t>
  </si>
  <si>
    <t>扬州恒大云锦华庭-一期-7-1002</t>
  </si>
  <si>
    <t>5793beb9-8ee3-42c6-8d35-c9ab623a07d7</t>
  </si>
  <si>
    <t>7-1003</t>
  </si>
  <si>
    <t>李龙;王淑芬</t>
  </si>
  <si>
    <t>SP202012020047</t>
  </si>
  <si>
    <t xml:space="preserve"> 321027198812050612;320382198810208121 </t>
  </si>
  <si>
    <t xml:space="preserve">(M)13773412341 </t>
  </si>
  <si>
    <t>江苏省扬州市广陵区金虎豹有限公司;江苏省扬州市广陵区李典镇伏固村老圩西组9号</t>
  </si>
  <si>
    <t>扬州恒大云锦华庭-一期-7-1003</t>
  </si>
  <si>
    <t>ce28b1e5-4b52-4671-bba9-3ebca3558c04</t>
  </si>
  <si>
    <t>7-1004</t>
  </si>
  <si>
    <t>顾秀奇;朱娟</t>
  </si>
  <si>
    <t>SP202011130105</t>
  </si>
  <si>
    <t xml:space="preserve"> 321027198110166936;321011198205141220 </t>
  </si>
  <si>
    <t xml:space="preserve">(M)13912120601 </t>
  </si>
  <si>
    <t>江苏省扬州市广陵区杭集镇八圩村东三圩组37号;江苏省扬州市广陵区杭集镇八圩村东三圩组37号</t>
  </si>
  <si>
    <t>扬州恒大云锦华庭-一期-7-1004</t>
  </si>
  <si>
    <t>ac3e6957-f311-457f-8904-bfe60ecd8f60</t>
  </si>
  <si>
    <t>7-101</t>
  </si>
  <si>
    <t>韦晓雅;周磊</t>
  </si>
  <si>
    <t>SP202103240172</t>
  </si>
  <si>
    <t xml:space="preserve"> 321088198710235766;321027198907256613 </t>
  </si>
  <si>
    <t xml:space="preserve">(M)18168285899 </t>
  </si>
  <si>
    <t>江苏省扬州市江都区解放路132-5号;江苏省扬州市广陵区泰安镇七里村周东组25号</t>
  </si>
  <si>
    <t>以标准总价为基准计算: (((普通公积金按揭 100% × 网购优惠折扣 90% × 一口价首顶层优惠 70% - 网上购房总价优惠 30000) - 房车宝购房券优惠 10000) - 注册南瓜会员优惠 20000)</t>
  </si>
  <si>
    <t>扬州恒大云锦华庭-一期-7-101</t>
  </si>
  <si>
    <t>7E1023396390F208</t>
  </si>
  <si>
    <t>34B0727CBDD09E07</t>
  </si>
  <si>
    <t>EA9593B5B3102469</t>
  </si>
  <si>
    <t>a5305924-65be-4903-b45f-2dc294484010</t>
  </si>
  <si>
    <t>7-104</t>
  </si>
  <si>
    <t>朱晨红;朱斌</t>
  </si>
  <si>
    <t>SP202103230172</t>
  </si>
  <si>
    <t xml:space="preserve"> 320925199111081467;321088199010312219 </t>
  </si>
  <si>
    <t xml:space="preserve">(M)15161400020 </t>
  </si>
  <si>
    <t>江苏省建湖县近湖镇长沟村跃进组11号;江苏省扬州市江都区樊川镇同丰村四组35号</t>
  </si>
  <si>
    <t>扬州恒大云锦华庭-一期-7-104</t>
  </si>
  <si>
    <t>0B9C744E7A7E057B</t>
  </si>
  <si>
    <t>35684486BA84749B</t>
  </si>
  <si>
    <t>0BD9E231628E7D8A</t>
  </si>
  <si>
    <t>3460aef4-ea11-40c0-bb67-3d407b6f4ad8</t>
  </si>
  <si>
    <t>7-1101</t>
  </si>
  <si>
    <t>周光勇</t>
  </si>
  <si>
    <t>SP202102180042</t>
  </si>
  <si>
    <t xml:space="preserve">(M)18356032123 </t>
  </si>
  <si>
    <t>江苏省扬州市广陵区李典镇新滩村咸太组2号</t>
  </si>
  <si>
    <t>以标准总价为基准计算: ((首付优惠按揭付款 100% × 年末冲刺大优惠 95% × 房车宝推荐折扣 96% - 网上购房总价优惠2万元 20000) - 恒房通购房券优惠 10000)</t>
  </si>
  <si>
    <t>扬州恒大云锦华庭-一期-7-1101</t>
  </si>
  <si>
    <t>FCAFB548251208FD</t>
  </si>
  <si>
    <t>86131961-6d4d-46bc-b242-2ba25efd5151</t>
  </si>
  <si>
    <t>7-1102</t>
  </si>
  <si>
    <t>张国秀;宦兆君</t>
  </si>
  <si>
    <t>SP202011130001</t>
  </si>
  <si>
    <t xml:space="preserve"> 340321198209238021;321088198208177337 </t>
  </si>
  <si>
    <t xml:space="preserve">(M)18118245248 </t>
  </si>
  <si>
    <t>江苏省扬州市江都区大桥镇沿江公路华伦化工;江苏省扬州市江都区大桥镇沿江公路华伦化工</t>
  </si>
  <si>
    <t>扬州恒大云锦华庭-一期-7-1102</t>
  </si>
  <si>
    <t>d270515d-ef50-4ee5-8142-c9d38180922a</t>
  </si>
  <si>
    <t>7-1103</t>
  </si>
  <si>
    <t>李韦丽;倪浩</t>
  </si>
  <si>
    <t>SP202012090015</t>
  </si>
  <si>
    <t xml:space="preserve"> 341122199501143629;321088199309015913 </t>
  </si>
  <si>
    <t xml:space="preserve">(M)13505252224 </t>
  </si>
  <si>
    <t>扬州市广陵区和盛昌运河东郡5期5幢1503室;江苏省扬州市江都区大桥镇工农街65号</t>
  </si>
  <si>
    <t>扬州恒大云锦华庭-一期-7-1103</t>
  </si>
  <si>
    <t>5e270440-a91b-4585-befc-dcd6e80597cb</t>
  </si>
  <si>
    <t>7-1104</t>
  </si>
  <si>
    <t>季文</t>
  </si>
  <si>
    <t>SP202101070005</t>
  </si>
  <si>
    <t xml:space="preserve">(M)15062815853 </t>
  </si>
  <si>
    <t>江苏省扬州市广陵区杭集镇曙光路441号</t>
  </si>
  <si>
    <t>扬州恒大云锦华庭-一期-7-1104</t>
  </si>
  <si>
    <t>a48d96d3-b3b7-4f32-8932-2eebcdf3cfbc</t>
  </si>
  <si>
    <t>7-1201</t>
  </si>
  <si>
    <t>吴宇惠;冯雪明</t>
  </si>
  <si>
    <t>SP202012220146</t>
  </si>
  <si>
    <t xml:space="preserve"> 321002196403260022;321001196602200915 </t>
  </si>
  <si>
    <t xml:space="preserve">(M)13952790718 </t>
  </si>
  <si>
    <t>江苏省扬州市维扬区史可法西路16号;江苏省扬州市邗江区史可法西路16号3幢105室</t>
  </si>
  <si>
    <t>扬州恒大云锦华庭-一期-7-1201</t>
  </si>
  <si>
    <t>3c6b5e82-fca5-4ab9-aca2-04068a8cfc5c</t>
  </si>
  <si>
    <t>7-1202</t>
  </si>
  <si>
    <t>陈杨</t>
  </si>
  <si>
    <t>SP202012160159</t>
  </si>
  <si>
    <t xml:space="preserve">(M)18021330833 </t>
  </si>
  <si>
    <t>江苏省扬州市广陵区太平北路1号群发化工16幢105室</t>
  </si>
  <si>
    <t>扬州恒大云锦华庭-一期-7-1202</t>
  </si>
  <si>
    <t>424ae4bf-8c4e-4cae-812e-0bb37eda1354</t>
  </si>
  <si>
    <t>7-1203</t>
  </si>
  <si>
    <t>董乃秀;王梓豪;王林</t>
  </si>
  <si>
    <t>SP202101260005</t>
  </si>
  <si>
    <t xml:space="preserve"> 321027197311016921;321003200501096911;321027197207026919 </t>
  </si>
  <si>
    <t xml:space="preserve">(M)13305279312 </t>
  </si>
  <si>
    <t>江苏省扬州市广陵区杭集镇京杭明珠15-202;江苏省扬州市广陵区杭集镇王集村李家组64号;江苏省扬州市广陵区杭集镇王集村李家组64号</t>
  </si>
  <si>
    <t>扬州恒大云锦华庭-一期-7-1203</t>
  </si>
  <si>
    <t>3a76a10b-8eff-46a1-af34-693c37bad009</t>
  </si>
  <si>
    <t>7-1204</t>
  </si>
  <si>
    <t>毛广锐;栾娟</t>
  </si>
  <si>
    <t>SP202012020017</t>
  </si>
  <si>
    <t xml:space="preserve"> 321322199008196273;321011198610091220 </t>
  </si>
  <si>
    <t xml:space="preserve">(M)13952573432 </t>
  </si>
  <si>
    <t>扬州市广福花园福欣苑15-2305;扬州市广福花园福欣苑15-2305</t>
  </si>
  <si>
    <t>扬州恒大云锦华庭-一期-7-1204</t>
  </si>
  <si>
    <t>49d5820d-949b-4402-af7f-2fa6873b1754</t>
  </si>
  <si>
    <t>7-1301</t>
  </si>
  <si>
    <t>曹科;唐春梅</t>
  </si>
  <si>
    <t>SP202011130104</t>
  </si>
  <si>
    <t xml:space="preserve"> 321011198105251211;320921198311278408 </t>
  </si>
  <si>
    <t xml:space="preserve">(M)13585237935 </t>
  </si>
  <si>
    <t>江苏省扬州市广陵区湾头镇万寿村后曹组40号;江苏省扬州市广陵区湾头镇万寿村后曹组40号</t>
  </si>
  <si>
    <t>扬州恒大云锦华庭-一期-7-1301</t>
  </si>
  <si>
    <t>3065464a-1f77-4ae7-912b-184709690d5d</t>
  </si>
  <si>
    <t>7-1302</t>
  </si>
  <si>
    <t>倪家敏;冷春</t>
  </si>
  <si>
    <t>SP202012020024</t>
  </si>
  <si>
    <t xml:space="preserve"> 321027199402106921;321027199312246912 </t>
  </si>
  <si>
    <t xml:space="preserve">(M)18752734660 </t>
  </si>
  <si>
    <t>江苏省扬州市广陵区杭集镇三笑花苑C区7排9号;江苏省扬州市广陵区杭集镇三笑花苑C区7排9号</t>
  </si>
  <si>
    <t>扬州恒大云锦华庭-一期-7-1302</t>
  </si>
  <si>
    <t>514dc43e-6bf9-4451-91e0-28ba08a937bd</t>
  </si>
  <si>
    <t>7-1303</t>
  </si>
  <si>
    <t>张磊</t>
  </si>
  <si>
    <t>SP202012080169</t>
  </si>
  <si>
    <t xml:space="preserve"> 32102719910819211X </t>
  </si>
  <si>
    <t xml:space="preserve">(M)18893564647 (O)18036265536 </t>
  </si>
  <si>
    <t>扬州恒大云锦华庭-一期-7-1303</t>
  </si>
  <si>
    <t>f1be8a79-249b-44d2-8868-5606d769c93a</t>
  </si>
  <si>
    <t>7-1304</t>
  </si>
  <si>
    <t>李长先</t>
  </si>
  <si>
    <t>SP202011130111</t>
  </si>
  <si>
    <t xml:space="preserve">(M)15396764939 </t>
  </si>
  <si>
    <t>杭集镇富民路81号长全洒店用品</t>
  </si>
  <si>
    <t>线下推广-报纸</t>
  </si>
  <si>
    <t>扬州恒大云锦华庭-一期-7-1304</t>
  </si>
  <si>
    <t>17041a99-b14b-4b68-8059-1cc1de6f88eb</t>
  </si>
  <si>
    <t>7-1401</t>
  </si>
  <si>
    <t>朱俊峰</t>
  </si>
  <si>
    <t>SP202102050003</t>
  </si>
  <si>
    <t xml:space="preserve">(M)13270535368 </t>
  </si>
  <si>
    <t>上海市松江区工业区茸江路120号</t>
  </si>
  <si>
    <t>扬州恒大云锦华庭-一期-7-1401</t>
  </si>
  <si>
    <t>27cd3867-8aff-4bfb-92b6-9472f62d734a</t>
  </si>
  <si>
    <t>7-1402</t>
  </si>
  <si>
    <t>白洋;钱海艳</t>
  </si>
  <si>
    <t>SP202012150170</t>
  </si>
  <si>
    <t xml:space="preserve"> 32100219780720091X;320923198406127824 </t>
  </si>
  <si>
    <t xml:space="preserve">(M)18917875537 </t>
  </si>
  <si>
    <t>江苏省扬州市广陵区通泗街朝阳苑16幢204室;江苏省扬州市广陵区通泗街朝阳苑16幢204室</t>
  </si>
  <si>
    <t>扬州恒大云锦华庭-一期-7-1402</t>
  </si>
  <si>
    <t>31832d27-5686-4cb0-9ca4-6da7c689f4eb</t>
  </si>
  <si>
    <t>7-1403</t>
  </si>
  <si>
    <t>俞文婷;嵇卫</t>
  </si>
  <si>
    <t>SP202012020062</t>
  </si>
  <si>
    <t xml:space="preserve"> 321088198909247326;321088198805195912 </t>
  </si>
  <si>
    <t xml:space="preserve">(M)15105253202 </t>
  </si>
  <si>
    <t>扬州市江都区大桥镇三丰安置区A区17栋106室;扬州市江都区大桥镇三丰安置区A区17栋106室</t>
  </si>
  <si>
    <t>扬州恒大云锦华庭-一期-7-1403</t>
  </si>
  <si>
    <t>41c0b6af-fdb4-4c9b-b6a3-f9877062e414</t>
  </si>
  <si>
    <t>7-1404</t>
  </si>
  <si>
    <t>张克思</t>
  </si>
  <si>
    <t>SP202012150166</t>
  </si>
  <si>
    <t xml:space="preserve">(M)18768001037 </t>
  </si>
  <si>
    <t>扬州市江都区大桥镇招商局金陵鼎衡船舶扬州有限公司</t>
  </si>
  <si>
    <t>扬州恒大云锦华庭-一期-7-1404</t>
  </si>
  <si>
    <t>fe8114bb-f236-4423-91c8-8865c5bec7fe</t>
  </si>
  <si>
    <t>7-1501</t>
  </si>
  <si>
    <t>钟巧燕;汪德金</t>
  </si>
  <si>
    <t>SP202011260055</t>
  </si>
  <si>
    <t xml:space="preserve"> 320123198803014029;321081198810165115 </t>
  </si>
  <si>
    <t xml:space="preserve">(M)13511728871 </t>
  </si>
  <si>
    <t>江苏省仪征市月塘乡大云村蒋庄组4号;江苏省仪征市月塘镇大云村蒋庄组4号</t>
  </si>
  <si>
    <t>扬州恒大云锦华庭-一期-7-1501</t>
  </si>
  <si>
    <t>e9e23111-a0b6-4466-9cc7-80d0a4731823</t>
  </si>
  <si>
    <t>房产中介经纪人</t>
  </si>
  <si>
    <t>7-1502</t>
  </si>
  <si>
    <t>薛海兵;姚晓兰</t>
  </si>
  <si>
    <t>SP202011270062</t>
  </si>
  <si>
    <t xml:space="preserve"> 321027197404026918;321027197207046928 </t>
  </si>
  <si>
    <t xml:space="preserve">(M)13338867463 </t>
  </si>
  <si>
    <t>扬州市邗江区杭集镇杭府街45#远东旅游用品厂;扬州市邗江区杭集镇杭府街45#远东旅游用品厂</t>
  </si>
  <si>
    <t>扬州恒大云锦华庭-一期-7-1502</t>
  </si>
  <si>
    <t>5efc8d7f-649f-4ad2-a6cc-79ed1ab7a501</t>
  </si>
  <si>
    <t>7-1503</t>
  </si>
  <si>
    <t>刘聚;张海燕</t>
  </si>
  <si>
    <t>SP202011260036</t>
  </si>
  <si>
    <t xml:space="preserve"> 321011198503101219;321088198507033149 </t>
  </si>
  <si>
    <t xml:space="preserve">(M)18136223111 </t>
  </si>
  <si>
    <t>江苏省扬州市广陵区京杭融园10栋1203室;江苏省扬州市广陵区湾头镇夏桥村耿云组24－1号</t>
  </si>
  <si>
    <t>扬州恒大云锦华庭-一期-7-1503</t>
  </si>
  <si>
    <t>e2221d8f-442b-4891-8bd7-7f0d710d25e6</t>
  </si>
  <si>
    <t>7-1504</t>
  </si>
  <si>
    <t>陈三红;吴洪利</t>
  </si>
  <si>
    <t>SP202103050121</t>
  </si>
  <si>
    <t xml:space="preserve"> 320821198108173904;320821197803083930 </t>
  </si>
  <si>
    <t xml:space="preserve">(M)18762002028 </t>
  </si>
  <si>
    <t>江苏省淮安市淮阴区西宋集镇合兴村一组9-2号;江苏省淮安市淮阴区西宋集镇合兴村一组9-2号</t>
  </si>
  <si>
    <t>扬州恒大云锦华庭-一期-7-1504</t>
  </si>
  <si>
    <t>D2402FFC19D5E645</t>
  </si>
  <si>
    <t>28ed77fb-ae98-4680-a060-59b6665f4d8a</t>
  </si>
  <si>
    <t>7-1601</t>
  </si>
  <si>
    <t>童圣杰</t>
  </si>
  <si>
    <t>SP202011120138</t>
  </si>
  <si>
    <t xml:space="preserve">(M)17321500333 (O)15358529968 </t>
  </si>
  <si>
    <t>江苏省扬州市广陵区金盛国际家居A家家居</t>
  </si>
  <si>
    <t>扬州恒大云锦华庭-一期-7-1601</t>
  </si>
  <si>
    <t>1e2ce778-ea3d-42de-b790-2c36793d3ad1</t>
  </si>
  <si>
    <t>7-1602</t>
  </si>
  <si>
    <t>王佳佳;王广明</t>
  </si>
  <si>
    <t>SP202011120142</t>
  </si>
  <si>
    <t xml:space="preserve"> 321027198708046920;321027196609256915 </t>
  </si>
  <si>
    <t xml:space="preserve">(M)18012127589 </t>
  </si>
  <si>
    <t>扬州市广陵区杭集镇春艺园小区;扬州市广陵区杭集镇春艺园小区</t>
  </si>
  <si>
    <t>扬州恒大云锦华庭-一期-7-1602</t>
  </si>
  <si>
    <t>3bbdca0f-9e4d-43ff-88d0-a3a9c0400da5</t>
  </si>
  <si>
    <t>7-1603</t>
  </si>
  <si>
    <t>吕悦</t>
  </si>
  <si>
    <t>SP202011270047</t>
  </si>
  <si>
    <t xml:space="preserve">(M)15949071557 </t>
  </si>
  <si>
    <t>江苏省江都市小纪镇华阳村杨裕组63号</t>
  </si>
  <si>
    <t>扬州恒大云锦华庭-一期-7-1603</t>
  </si>
  <si>
    <t>50192095-5fc5-4fe6-b77c-7291e7494a19</t>
  </si>
  <si>
    <t>7-1604</t>
  </si>
  <si>
    <t>陆许荣</t>
  </si>
  <si>
    <t xml:space="preserve">(M)13773521059 </t>
  </si>
  <si>
    <t>扬州市邗江区瘦西湖名苑4幢405室</t>
  </si>
  <si>
    <t>扬州恒大云锦华庭-一期-7-1604</t>
  </si>
  <si>
    <t>7f4101b2-c189-42e9-82d0-62def3f79750</t>
  </si>
  <si>
    <t>7-1701</t>
  </si>
  <si>
    <t>曾玲香;王海滨</t>
  </si>
  <si>
    <t>SP202012220090</t>
  </si>
  <si>
    <t xml:space="preserve"> 321027198103124826;321002197709061215 </t>
  </si>
  <si>
    <t xml:space="preserve">(M)19962632705 </t>
  </si>
  <si>
    <t>江苏省扬州市邗江区百祥路上林苑2-201;江苏省扬州市邗江区百祥路上林苑2-201</t>
  </si>
  <si>
    <t>扬州恒大云锦华庭-一期-7-1701</t>
  </si>
  <si>
    <t>323A5B53674ADABC</t>
  </si>
  <si>
    <t>05fde102-c0b6-45df-9e15-f97e31ea0b57</t>
  </si>
  <si>
    <t>7-1702</t>
  </si>
  <si>
    <t>吕大鹏;陈惠</t>
  </si>
  <si>
    <t>SP202012030067</t>
  </si>
  <si>
    <t xml:space="preserve"> 321027197907075412;321027198010185427 </t>
  </si>
  <si>
    <t xml:space="preserve">(M)13773538580 </t>
  </si>
  <si>
    <t>江苏省扬州市广陵区李典镇新坝富民新苑436号;江苏省扬州市广陵区李典镇新坝富民新苑436号</t>
  </si>
  <si>
    <t>扬州恒大云锦华庭-一期-7-1702</t>
  </si>
  <si>
    <t>599dc9ac-db26-4b8e-99c5-106aab9d6ed1</t>
  </si>
  <si>
    <t>7-1703</t>
  </si>
  <si>
    <t>郭苏闽</t>
  </si>
  <si>
    <t>SP202012230034</t>
  </si>
  <si>
    <t xml:space="preserve">(M)13773357995 </t>
  </si>
  <si>
    <t>江苏省扬州市邗江区万科金城金域华府3幢804室</t>
  </si>
  <si>
    <t>扬州恒大云锦华庭-一期-7-1703</t>
  </si>
  <si>
    <t>b47f3bc9-57f4-4a2a-ac8a-322c04779139</t>
  </si>
  <si>
    <t>7-1704</t>
  </si>
  <si>
    <t>卜凤香</t>
  </si>
  <si>
    <t xml:space="preserve">(M)15312841555 </t>
  </si>
  <si>
    <t>江苏省扬州市维扬区黄金坝路30号</t>
  </si>
  <si>
    <t>扬州恒大云锦华庭-一期-7-1704</t>
  </si>
  <si>
    <t>91e082e7-85d7-4cb5-951e-5f0962a10a29</t>
  </si>
  <si>
    <t>7-1801</t>
  </si>
  <si>
    <t>程世宜;黄嘉珉</t>
  </si>
  <si>
    <t>SP202103060057</t>
  </si>
  <si>
    <t xml:space="preserve"> 321002195610131827;321002195210071837 </t>
  </si>
  <si>
    <t xml:space="preserve">(M)18939933208 </t>
  </si>
  <si>
    <t>上海市静安区泰兴路362弄11号304室;上海市静安区泰兴路362弄11号304室</t>
  </si>
  <si>
    <t>以标准总价为基准计算: ((两年优惠分期付款 100% × 网购优惠折扣 90% - 网上购房总价优惠 30000) - 房车宝购房券优惠 10000)</t>
  </si>
  <si>
    <t>扬州恒大云锦华庭-一期-7-1801</t>
  </si>
  <si>
    <t>CCCCA3D37586AED3</t>
  </si>
  <si>
    <t>d78811a3-76cb-43e6-9e10-e6ce3d12d271</t>
  </si>
  <si>
    <t>7-1802</t>
  </si>
  <si>
    <t>姜传友;赵晶</t>
  </si>
  <si>
    <t>SP202102020087</t>
  </si>
  <si>
    <t xml:space="preserve"> 32108819821230049X;62210219860329862X </t>
  </si>
  <si>
    <t xml:space="preserve">(M)18793799555 </t>
  </si>
  <si>
    <t>江苏省扬州市江都区小纪镇西贾村新庄组75号;甘肃省酒泉市肃州区敦煌路29号春光丽都15栋1单元1702号</t>
  </si>
  <si>
    <t>扬州恒大云锦华庭-一期-7-1802</t>
  </si>
  <si>
    <t>f7ad7d05-fc4e-4d97-86d2-a99cb1532d5d</t>
  </si>
  <si>
    <t>7-1803</t>
  </si>
  <si>
    <t>张远扬;高月超</t>
  </si>
  <si>
    <t>SP202102050032</t>
  </si>
  <si>
    <t xml:space="preserve"> 321002198710317016;130627198908230622 </t>
  </si>
  <si>
    <t xml:space="preserve">(M)13761801204 </t>
  </si>
  <si>
    <t>上海市浦东新区秋亭路88弄108号201室;河北省保定市唐县王京镇东安乐村南关门牌297号</t>
  </si>
  <si>
    <t>以标准总价为基准计算: (两年优惠分期付款（适用2、3、5、6、7、8、9栋） 100% × 清尾优惠折扣 93% × 年末冲刺大优惠3 97% × 房车宝推荐折扣 96% - 网上购房总价优惠2万元 20000)</t>
  </si>
  <si>
    <t>扬州恒大云锦华庭-一期-7-1803</t>
  </si>
  <si>
    <t>baf49e90-a90f-43e9-90ef-74de3153950c</t>
  </si>
  <si>
    <t>7-1804</t>
  </si>
  <si>
    <t>俞佳芸</t>
  </si>
  <si>
    <t>SP202103230024</t>
  </si>
  <si>
    <t>普通组合贷款（首付5成）</t>
  </si>
  <si>
    <t xml:space="preserve">(M)15062802461 </t>
  </si>
  <si>
    <t>江西省上饶市广丰区嵩峰乡十一都村溪西42号</t>
  </si>
  <si>
    <t>以标准总价为基准计算: (((普通组合贷款（首付5成） 100% × 网购优惠折扣 90% × 一口价首顶层优惠 90% - 网上购房总价优惠 30000) - 房车宝购房券优惠 10000) - 注册南瓜会员优惠 20000)</t>
  </si>
  <si>
    <t>扬州恒大云锦华庭-一期-7-1804</t>
  </si>
  <si>
    <t>0F72ED9BA9CE7E82</t>
  </si>
  <si>
    <t>CD9A8F083F483734</t>
  </si>
  <si>
    <t>2CEEED06104E5346</t>
  </si>
  <si>
    <t>f23a3512-f61e-44ae-99bf-b53d8b4235d1</t>
  </si>
  <si>
    <t>7-201</t>
  </si>
  <si>
    <t>高扬;赵铧</t>
  </si>
  <si>
    <t>SP202103210110</t>
  </si>
  <si>
    <t xml:space="preserve"> 41142519950819721X;410421199712130040 </t>
  </si>
  <si>
    <t xml:space="preserve">(M)15938317693 </t>
  </si>
  <si>
    <t>扬州市广陵区新坝镇宝桥公寓;扬州市广陵区新坝镇宝桥公寓</t>
  </si>
  <si>
    <t>以标准总价为基准计算: ((普通组合贷款 100% × 网购优惠折扣 90% - 网上购房总价优惠 30000) - 房车宝购房券优惠 10000)</t>
  </si>
  <si>
    <t>扬州恒大云锦华庭-一期-7-201</t>
  </si>
  <si>
    <t>CFAEC1C592B66CFE</t>
  </si>
  <si>
    <t>3de6b072-899a-4543-89ca-32ff3d4ccae9</t>
  </si>
  <si>
    <t>7-202</t>
  </si>
  <si>
    <t>周娜娜</t>
  </si>
  <si>
    <t>SP202101270224</t>
  </si>
  <si>
    <t xml:space="preserve">(M)18306766970 </t>
  </si>
  <si>
    <t>江苏省扬州市江都区仙女镇陈甸村周前组105号</t>
  </si>
  <si>
    <t>扬州恒大云锦华庭-一期-7-202</t>
  </si>
  <si>
    <t>eb3447c0-d6c9-4f10-b879-0a9477feb948</t>
  </si>
  <si>
    <t>7-203</t>
  </si>
  <si>
    <t>王小露</t>
  </si>
  <si>
    <t xml:space="preserve">(M)15050785239 </t>
  </si>
  <si>
    <t>江苏省扬州市江都区丁沟镇丁东村兴东组255号</t>
  </si>
  <si>
    <t>以标准总价为基准计算: (两年优惠分期付款（适用2、3、5、6、7、8、9栋） 100% × 年末冲刺大优惠3 97% × 清尾优惠折扣 90% × 自然到访优惠 96% - 网上购房总价优惠2万元 20000)</t>
  </si>
  <si>
    <t>扬州恒大云锦华庭-一期-7-203</t>
  </si>
  <si>
    <t>ZY房超</t>
  </si>
  <si>
    <t>9b2dd273-2a9b-46cc-9024-c4540c6868ab</t>
  </si>
  <si>
    <t>7-204</t>
  </si>
  <si>
    <t>王秀香;金灿</t>
  </si>
  <si>
    <t>SP202103220117</t>
  </si>
  <si>
    <t xml:space="preserve"> 321002195211062123;32100219530422331X </t>
  </si>
  <si>
    <t xml:space="preserve">(M)15252767669 </t>
  </si>
  <si>
    <t>江苏省扬州市广陵区曲江街道沙口村翟西组9号;江苏省扬州市广陵区曲江街道沙口村翟西组9号</t>
  </si>
  <si>
    <t>以标准总价为基准计算: (((两年优惠分期付款（首付5成） 100% × 网购优惠折扣 90% × 一口价去化率达90及以上清尾优惠 85% - 网上购房总价优惠 30000) - 房车宝购房券优惠 10000) - 注册南瓜会员优惠 20000)</t>
  </si>
  <si>
    <t>扬州恒大云锦华庭-一期-7-204</t>
  </si>
  <si>
    <t>14B389FDCA9BF875</t>
  </si>
  <si>
    <t>5E5E9A687A145162</t>
  </si>
  <si>
    <t>7A7AB761455C8082</t>
  </si>
  <si>
    <t>c391e878-2bc4-4218-bb8d-7fcd8c73185c</t>
  </si>
  <si>
    <t>7-301</t>
  </si>
  <si>
    <t>刘良纲;刘欣悦</t>
  </si>
  <si>
    <t>SP202103230014</t>
  </si>
  <si>
    <t xml:space="preserve"> 321027197411016953;321002201810280040 </t>
  </si>
  <si>
    <t xml:space="preserve">(M)15252780966 </t>
  </si>
  <si>
    <t>江苏省扬州市邗江区杭集镇王集村刘一组48号;江苏省扬州市邗江区杭集镇王集村刘一组48号</t>
  </si>
  <si>
    <t>以标准总价为基准计算: (((两年优惠分期付款 100% × 网购优惠折扣 90% - 网上购房总价优惠 30000) - 注册南瓜会员优惠 20000) - 房车宝购房券优惠 10000)</t>
  </si>
  <si>
    <t>扬州恒大云锦华庭-一期-7-301</t>
  </si>
  <si>
    <t>6581EEDDBA9725CF</t>
  </si>
  <si>
    <t>544402620FC2532A</t>
  </si>
  <si>
    <t>3F3161344A8D57F6</t>
  </si>
  <si>
    <t>6b3fa0cb-d424-44ee-a9e5-3ba7ad52c0e7</t>
  </si>
  <si>
    <t>7-302</t>
  </si>
  <si>
    <t>易小丽;罗开英</t>
  </si>
  <si>
    <t>SP202011260046</t>
  </si>
  <si>
    <t xml:space="preserve"> 362526198707150821;362103198111135835 </t>
  </si>
  <si>
    <t xml:space="preserve">(M)13511753231 </t>
  </si>
  <si>
    <t>江苏省扬州市杉湾花园3期93栋103室;江苏省扬州市杉湾花园3期93栋103室</t>
  </si>
  <si>
    <t>扬州恒大云锦华庭-一期-7-302</t>
  </si>
  <si>
    <t>5cb0aff2-08de-4a6f-83ab-280400a5ffa7</t>
  </si>
  <si>
    <t>7-303</t>
  </si>
  <si>
    <t>单帮举</t>
  </si>
  <si>
    <t>SP202011130098</t>
  </si>
  <si>
    <t xml:space="preserve">(M)13514903135 </t>
  </si>
  <si>
    <t>扬州市解放北路凯运天地23幢101室</t>
  </si>
  <si>
    <t>扬州恒大云锦华庭-一期-7-303</t>
  </si>
  <si>
    <t>1d4b24a0-b602-4a98-9aea-c0a2123953c2</t>
  </si>
  <si>
    <t>7-304</t>
  </si>
  <si>
    <t>薛士菊;陶志才</t>
  </si>
  <si>
    <t>SP202103190046</t>
  </si>
  <si>
    <t xml:space="preserve"> 320826197012205665;321027197705216918 </t>
  </si>
  <si>
    <t xml:space="preserve">(M)13773385286 </t>
  </si>
  <si>
    <t>江苏省扬州市邗江区杭集镇王集村刘一组42号;江苏省扬州市广陵区杭集镇王集村刘一组42号</t>
  </si>
  <si>
    <t>以标准总价为基准计算: ((两年优惠分期付款 100% × 网购优惠折扣 90% - 网上购房总价优惠 30000) - 注册南瓜会员优惠 20000)</t>
  </si>
  <si>
    <t>扬州恒大云锦华庭-一期-7-304</t>
  </si>
  <si>
    <t>F9CE51AD9078E4F2</t>
  </si>
  <si>
    <t>7901C55CF39B5C76</t>
  </si>
  <si>
    <t>4104D38F2202F25C</t>
  </si>
  <si>
    <t>9402d8ca-f5ed-4eaf-9055-b73f86fd36b6</t>
  </si>
  <si>
    <t>7-401</t>
  </si>
  <si>
    <t>刘龙喜;王芳</t>
  </si>
  <si>
    <t>SP202103200044</t>
  </si>
  <si>
    <t xml:space="preserve"> 321027195212226916;321027195707216920 </t>
  </si>
  <si>
    <t xml:space="preserve">(M)13338850093 </t>
  </si>
  <si>
    <t>江苏省扬州市邗江区杭集镇王集村刘一组35号;江苏省扬州市邗江区杭集镇王集村刘一组35号</t>
  </si>
  <si>
    <t>扬州恒大云锦华庭-一期-7-401</t>
  </si>
  <si>
    <t>97EB2AD2F9EA1091</t>
  </si>
  <si>
    <t>42970301A0E41F8C</t>
  </si>
  <si>
    <t>66E5FFFF2F12CE14</t>
  </si>
  <si>
    <t>347eb276-3272-4796-a4d0-d9ac792c0ed1</t>
  </si>
  <si>
    <t>7-402</t>
  </si>
  <si>
    <t>郜秀花;于海洋</t>
  </si>
  <si>
    <t>SP202012020078</t>
  </si>
  <si>
    <t xml:space="preserve"> 321088199010021841;321088199105090313 </t>
  </si>
  <si>
    <t xml:space="preserve">(M)18952709129 </t>
  </si>
  <si>
    <t>江苏省扬州市江都区小纪镇人民北路51-14号;江苏省江都市小纪镇人民北路51－14号</t>
  </si>
  <si>
    <t>扬州恒大云锦华庭-一期-7-402</t>
  </si>
  <si>
    <t>9ead521c-c5de-4c1f-867b-95b51ea5f5b7</t>
  </si>
  <si>
    <t>7-403</t>
  </si>
  <si>
    <t>王庚爱;葛玮</t>
  </si>
  <si>
    <t>SP202101080158</t>
  </si>
  <si>
    <t xml:space="preserve"> 320823198102068014;321027198703014225 </t>
  </si>
  <si>
    <t xml:space="preserve">(M)15895777838 </t>
  </si>
  <si>
    <t>江苏省扬州市邗江区槐泗镇陈沟村良庄组12号;江苏省扬州市邗江区槐泗镇陈沟村良庄组12号</t>
  </si>
  <si>
    <t>扬州恒大云锦华庭-一期-7-403</t>
  </si>
  <si>
    <t>a8b474eb-0b23-4a49-87cb-0a62a1f76b48</t>
  </si>
  <si>
    <t>7-404</t>
  </si>
  <si>
    <t>李俊;李红圣;居井秀;赵春艳</t>
  </si>
  <si>
    <t>SP202106130026</t>
  </si>
  <si>
    <t xml:space="preserve"> 321088198909243130;321088196901123151;321088197001272965;511304199203201421 </t>
  </si>
  <si>
    <t xml:space="preserve">(M)13626118264 </t>
  </si>
  <si>
    <t>江苏省扬州市江都区真武镇滨西村李堡组139号;江苏省扬州市江都区真武镇滨西村李堡组139号;江苏省扬州市江都区真武镇滨西村李堡组139号;江苏省扬州市江都区真武镇滨西村李堡组139号</t>
  </si>
  <si>
    <t>线上媒体-PC端全国门户网站</t>
  </si>
  <si>
    <t>扬州恒大云锦华庭-一期-7-404</t>
  </si>
  <si>
    <t>EAF4128A9BB7C2E1</t>
  </si>
  <si>
    <t>883a524c-d582-4298-9f58-ecdd80d23bb7</t>
  </si>
  <si>
    <t>7-501</t>
  </si>
  <si>
    <t>周峰;陆兴叶</t>
  </si>
  <si>
    <t>SP202012310192</t>
  </si>
  <si>
    <t xml:space="preserve"> 321027198507046916;321027198510010623 </t>
  </si>
  <si>
    <t xml:space="preserve">(M)13382707795 </t>
  </si>
  <si>
    <t>江苏省扬州市广陵区杭集镇科技新城区三笑花苑C区2排9号;江苏省扬州市广陵区杭集镇新生村刘庄组35号</t>
  </si>
  <si>
    <t>扬州恒大云锦华庭-一期-7-501</t>
  </si>
  <si>
    <t>29b4c198-58ce-474a-947b-951cfb7a6ea7</t>
  </si>
  <si>
    <t>7-502</t>
  </si>
  <si>
    <t>周明燕;钱凯</t>
  </si>
  <si>
    <t>SP202012020020</t>
  </si>
  <si>
    <t xml:space="preserve"> 321322198501185864;321027198707210610 </t>
  </si>
  <si>
    <t xml:space="preserve">(M)17715878221 </t>
  </si>
  <si>
    <t>江苏省扬州市广陵区李典镇田桥村沙东组15号;江苏省扬州市广陵区李典镇田桥村沙东组15号</t>
  </si>
  <si>
    <t>扬州恒大云锦华庭-一期-7-502</t>
  </si>
  <si>
    <t>4d068e84-6bd2-4203-b934-810b2973d719</t>
  </si>
  <si>
    <t>7-503</t>
  </si>
  <si>
    <t>卞鸭狗;闻青</t>
  </si>
  <si>
    <t>SP202011260127</t>
  </si>
  <si>
    <t xml:space="preserve"> 321281198209263057;321088198510052041 </t>
  </si>
  <si>
    <t xml:space="preserve">(M)13773468957 </t>
  </si>
  <si>
    <t>扬州市江都区樊川镇野前组3号;江苏省扬州市江都区樊川镇樊南村野前组3号</t>
  </si>
  <si>
    <t>扬州恒大云锦华庭-一期-7-503</t>
  </si>
  <si>
    <t>491c6890-9533-45e4-bc37-99d6a00e7ca8</t>
  </si>
  <si>
    <t>7-504</t>
  </si>
  <si>
    <t>肖颖</t>
  </si>
  <si>
    <t>SP202102080056</t>
  </si>
  <si>
    <t xml:space="preserve">(M)13004327119 </t>
  </si>
  <si>
    <t>江苏省海安县曲塘镇李庄村七组14号</t>
  </si>
  <si>
    <t>扬州恒大云锦华庭-一期-7-504</t>
  </si>
  <si>
    <t>86feed26-7edf-4168-999d-44adccd73fa5</t>
  </si>
  <si>
    <t>7-601</t>
  </si>
  <si>
    <t>刘松;安长艳</t>
  </si>
  <si>
    <t>SP202012080141</t>
  </si>
  <si>
    <t xml:space="preserve"> 321011198703091238;321011198706151240 </t>
  </si>
  <si>
    <t xml:space="preserve">(M)13179790128 </t>
  </si>
  <si>
    <t>江苏省扬州市广陵区湾头镇沙联村王西组6号文保车行;江苏省扬州市广陵区湾头镇沙联村王西组6号文保车行</t>
  </si>
  <si>
    <t>以标准总价为基准计算: 普通组合贷款 100% × 开盘额外优惠 97% × 渠道折扣 98% × 佣金抵房款 98%</t>
  </si>
  <si>
    <t>扬州恒大云锦华庭-一期-7-601</t>
  </si>
  <si>
    <t>4a85feb8-aa73-4c4e-9030-dc3d8ed9aee8</t>
  </si>
  <si>
    <t>7-602</t>
  </si>
  <si>
    <t>高国韦;曹静</t>
  </si>
  <si>
    <t>SP202012020081</t>
  </si>
  <si>
    <t xml:space="preserve"> 321027198401046619;412727198408040747 </t>
  </si>
  <si>
    <t xml:space="preserve">(M)15605827950 </t>
  </si>
  <si>
    <t>江苏省扬州市邗江区泰安镇金泰村前九组33号;江苏省扬州市广陵区泰安镇金泰村前九组33号</t>
  </si>
  <si>
    <t>扬州恒大云锦华庭-一期-7-602</t>
  </si>
  <si>
    <t>50d62b14-960f-4405-8d7d-e079ce585178</t>
  </si>
  <si>
    <t>7-603</t>
  </si>
  <si>
    <t>王园</t>
  </si>
  <si>
    <t>SP202011270023</t>
  </si>
  <si>
    <t xml:space="preserve">(M)15952757786 </t>
  </si>
  <si>
    <t>江苏省扬州市广陵区扬霍路28号皇都漫城二期14-703</t>
  </si>
  <si>
    <t>扬州恒大云锦华庭-一期-7-603</t>
  </si>
  <si>
    <t>4cab7c03-e92b-4dfd-81ab-971a6b902e70</t>
  </si>
  <si>
    <t>7-604</t>
  </si>
  <si>
    <t>卢鹏</t>
  </si>
  <si>
    <t>SP202011130093</t>
  </si>
  <si>
    <t xml:space="preserve">(M)15358501088 </t>
  </si>
  <si>
    <t>江苏省扬州市广陵区江湾城52幢602室</t>
  </si>
  <si>
    <t>扬州恒大云锦华庭-一期-7-604</t>
  </si>
  <si>
    <t>feb4dcf6-767e-4f6b-ac66-293f22558c46</t>
  </si>
  <si>
    <t>7-701</t>
  </si>
  <si>
    <t>周益;唐爱萍</t>
  </si>
  <si>
    <t>SP202012030024</t>
  </si>
  <si>
    <t xml:space="preserve"> 321021197403224535;321002197511053367 </t>
  </si>
  <si>
    <t xml:space="preserve">(M)15150800035 </t>
  </si>
  <si>
    <t>江苏省扬州市碧水栖庭1幢304室;江苏省扬州市碧水栖庭1幢304室</t>
  </si>
  <si>
    <t>扬州恒大云锦华庭-一期-7-701</t>
  </si>
  <si>
    <t>a0be5ab7-5d6c-42aa-9f6a-fc7b16193a03</t>
  </si>
  <si>
    <t>7-702</t>
  </si>
  <si>
    <t>吴杰</t>
  </si>
  <si>
    <t>SP202011260071</t>
  </si>
  <si>
    <t xml:space="preserve">(M)18168669710 </t>
  </si>
  <si>
    <t>江苏省扬州市广陵区新古一巷95号</t>
  </si>
  <si>
    <t>扬州恒大云锦华庭-一期-7-702</t>
  </si>
  <si>
    <t>aa13f7a8-7e09-45cc-b725-2d8fa3ee9eeb</t>
  </si>
  <si>
    <t>7-703</t>
  </si>
  <si>
    <t>丁国春;朱清华</t>
  </si>
  <si>
    <t>SP202011120172</t>
  </si>
  <si>
    <t xml:space="preserve"> 321027197602055410;320923197712164848 </t>
  </si>
  <si>
    <t xml:space="preserve">(M)15995142762 </t>
  </si>
  <si>
    <t>江苏省扬州市邗江区李典镇恩余村七一组3号;江苏省扬州市邗江区李典镇恩余村七一组3号</t>
  </si>
  <si>
    <t>扬州恒大云锦华庭-一期-7-703</t>
  </si>
  <si>
    <t>e4ad4bf5-f164-489f-9d28-3c3b419d4266</t>
  </si>
  <si>
    <t>7-704</t>
  </si>
  <si>
    <t>葛玉凤;王正彬</t>
  </si>
  <si>
    <t>SP202012130022</t>
  </si>
  <si>
    <t xml:space="preserve"> 321027196303036928;321027195910136918 </t>
  </si>
  <si>
    <t xml:space="preserve">(M)13773520315 </t>
  </si>
  <si>
    <t>江苏省扬州市广陵区杭集镇王桥村郭周组1号;江苏省扬州市广陵区杭集镇王桥村郭周组1号</t>
  </si>
  <si>
    <t>扬州恒大云锦华庭-一期-7-704</t>
  </si>
  <si>
    <t>f7fb91e2-e3fb-4b10-8465-d2252f07a475</t>
  </si>
  <si>
    <t>7-801</t>
  </si>
  <si>
    <t>孔德朝</t>
  </si>
  <si>
    <t>SP202102080068</t>
  </si>
  <si>
    <t xml:space="preserve">(M)18351040520 </t>
  </si>
  <si>
    <t>江苏省江都市邵伯镇南渡村跳一组2号</t>
  </si>
  <si>
    <t>以标准总价为基准计算: (普通商业按揭 100% × 清尾优惠折扣 94% × 自然到访优惠 96% × 年末冲刺大优惠3 97% - 网上购房总价优惠2万元 20000)</t>
  </si>
  <si>
    <t>扬州恒大云锦华庭-一期-7-801</t>
  </si>
  <si>
    <t>71b224ba-bec3-403d-a2c2-c97f53a238c1</t>
  </si>
  <si>
    <t>7-802</t>
  </si>
  <si>
    <t>高志娟;房连杰</t>
  </si>
  <si>
    <t>SP202012220077</t>
  </si>
  <si>
    <t xml:space="preserve"> 321081198911236023;321023198704056018 </t>
  </si>
  <si>
    <t xml:space="preserve">(M)15094370818 </t>
  </si>
  <si>
    <t>江苏省扬州市广陵区万福路1009号天顺花园324栋104室;江苏省扬州市广陵区万福路1009号天顺花园324栋104室</t>
  </si>
  <si>
    <t>扬州恒大云锦华庭-一期-7-802</t>
  </si>
  <si>
    <t>27f42860-1124-4bed-877c-89199fbabe91</t>
  </si>
  <si>
    <t>7-803</t>
  </si>
  <si>
    <t>张维祥</t>
  </si>
  <si>
    <t>SP202012090116</t>
  </si>
  <si>
    <t xml:space="preserve">(M)13906656275;15861359000 </t>
  </si>
  <si>
    <t>浙江省温州市龙湾区永中万康锦绣城4幢402室</t>
  </si>
  <si>
    <t>扬州恒大云锦华庭-一期-7-803</t>
  </si>
  <si>
    <t>8d6f5da5-13a5-4ea0-b5f0-919ef6f70961</t>
  </si>
  <si>
    <t>7-804</t>
  </si>
  <si>
    <t>王城;严继琴</t>
  </si>
  <si>
    <t>SP202012020064</t>
  </si>
  <si>
    <t xml:space="preserve"> 321027197912236911;321088197910217920 </t>
  </si>
  <si>
    <t xml:space="preserve">(M)13773502517 </t>
  </si>
  <si>
    <t>江苏省扬州市广陵区杭集镇裔庙村岸西组31号;江苏省扬州市邗江区杭集镇裔庙村岸西组31号</t>
  </si>
  <si>
    <t>扬州恒大云锦华庭-一期-7-804</t>
  </si>
  <si>
    <t>e7b86f36-f7f2-4f8b-9cd3-ea254ad03b06</t>
  </si>
  <si>
    <t>7-901</t>
  </si>
  <si>
    <t>马明霞</t>
  </si>
  <si>
    <t>SP202012220217</t>
  </si>
  <si>
    <t>江苏省江都市人民路26号503室</t>
  </si>
  <si>
    <t>扬州恒大云锦华庭-一期-7-901</t>
  </si>
  <si>
    <t>HFTM7083366253</t>
  </si>
  <si>
    <t>8f87ed05-8688-4074-97ff-8f82791a1afd</t>
  </si>
  <si>
    <t>7-902</t>
  </si>
  <si>
    <t>谈荣桂</t>
  </si>
  <si>
    <t>SP202012080108</t>
  </si>
  <si>
    <t xml:space="preserve">(M)13773390013 </t>
  </si>
  <si>
    <t>江苏省江都区长江东路公交宿舍区1幢406室（妇幼旁）</t>
  </si>
  <si>
    <t>扬州恒大云锦华庭-一期-7-902</t>
  </si>
  <si>
    <t>b823d847-2aa4-40b4-b047-976ca631fba5</t>
  </si>
  <si>
    <t>7-903</t>
  </si>
  <si>
    <t>禹良玲;李绪军</t>
  </si>
  <si>
    <t>SP202012090109</t>
  </si>
  <si>
    <t xml:space="preserve"> 321088197803314688;321088197402012857 </t>
  </si>
  <si>
    <t xml:space="preserve">(M)13852581372 </t>
  </si>
  <si>
    <t>江苏省江都区世纪花园107-602;江苏省江都区世纪花园107-602</t>
  </si>
  <si>
    <t>扬州恒大云锦华庭-一期-7-903</t>
  </si>
  <si>
    <t>a20b99d3-f857-4e31-8ecf-ed15ccc558a4</t>
  </si>
  <si>
    <t>7-904</t>
  </si>
  <si>
    <t>韩良明</t>
  </si>
  <si>
    <t>SP202012090036</t>
  </si>
  <si>
    <t xml:space="preserve">(M)13952578857 </t>
  </si>
  <si>
    <t>江苏省扬州市邗江区杭集镇牙刷城友谊街36号</t>
  </si>
  <si>
    <t>扬州恒大云锦华庭-一期-7-904</t>
  </si>
  <si>
    <t>8811fb0c-0645-45e0-8194-fe820ec7e1e8</t>
  </si>
  <si>
    <t>8-1001</t>
  </si>
  <si>
    <t>马建月;张立军</t>
  </si>
  <si>
    <t>SP202011270037</t>
  </si>
  <si>
    <t xml:space="preserve"> 32082819760623364X;320923197403246313 </t>
  </si>
  <si>
    <t xml:space="preserve">(M)15252743871 </t>
  </si>
  <si>
    <t>扬州市杭集镇大殷庄23号;江苏省阜宁县古河镇许高村二组36号</t>
  </si>
  <si>
    <t>扬州恒大云锦华庭-一期-8-1-1001</t>
  </si>
  <si>
    <t>0c4350ab-3227-4d3b-a9b2-dfaa0ab25a33</t>
  </si>
  <si>
    <t>8-1002</t>
  </si>
  <si>
    <t>高红雁;陶磊</t>
  </si>
  <si>
    <t>SP202012230011</t>
  </si>
  <si>
    <t xml:space="preserve"> 410223198606263023;321027198404010611 </t>
  </si>
  <si>
    <t xml:space="preserve">(M)15195552804 </t>
  </si>
  <si>
    <t>江苏省扬州市邗江区李典镇伏业村小五组7号;江苏省扬州市广陵区李典镇伏业村小五组7号</t>
  </si>
  <si>
    <t>扬州恒大云锦华庭-一期-8-1-1002</t>
  </si>
  <si>
    <t>ff66a86d-2e35-468f-aeaa-28827a71e7b3</t>
  </si>
  <si>
    <t>8-1003</t>
  </si>
  <si>
    <t>王天逸</t>
  </si>
  <si>
    <t>SP202101100007</t>
  </si>
  <si>
    <t xml:space="preserve">(M)13852599933 </t>
  </si>
  <si>
    <t>江苏省扬州市江都区舜天路198号9幢202室</t>
  </si>
  <si>
    <t>扬州恒大云锦华庭-一期-8-1-1003</t>
  </si>
  <si>
    <t>003f49ac-9e9d-474b-91d9-f453b40494a8</t>
  </si>
  <si>
    <t>8-1004</t>
  </si>
  <si>
    <t>马亚涛;魏河河</t>
  </si>
  <si>
    <t>SP202012030040</t>
  </si>
  <si>
    <t xml:space="preserve"> 34122319891229391X;341223198605103928 </t>
  </si>
  <si>
    <t xml:space="preserve">(M)19975058402 </t>
  </si>
  <si>
    <t>扬州市广陵区东方名城对面;扬州市广陵区东方名城对面</t>
  </si>
  <si>
    <t>扬州恒大云锦华庭-一期-8-1-1004</t>
  </si>
  <si>
    <t>4742dde1-16cb-40ed-ae5e-591e6e383d94</t>
  </si>
  <si>
    <t>8-1005</t>
  </si>
  <si>
    <t>印俊;顾云;印建飞</t>
  </si>
  <si>
    <t>SP202011260118</t>
  </si>
  <si>
    <t xml:space="preserve"> 321027199701275119;321027197007265122;321027197201125131 </t>
  </si>
  <si>
    <t xml:space="preserve">(M)13951435839 </t>
  </si>
  <si>
    <t>江苏省扬州市邗江区头桥镇新桥村三二组19号;江苏省扬州市邗江区头桥镇新桥村三二组19号;江苏省扬州市广陵区头桥镇新桥村三二组19号</t>
  </si>
  <si>
    <t>扬州恒大云锦华庭-一期-8-2-1005</t>
  </si>
  <si>
    <t>1c4c2dc4-a781-4af5-841f-3316495e50a7</t>
  </si>
  <si>
    <t>8-1006</t>
  </si>
  <si>
    <t>徐洁</t>
  </si>
  <si>
    <t>SP202012030037</t>
  </si>
  <si>
    <t xml:space="preserve">(M)18360300768 (O)15205272156 </t>
  </si>
  <si>
    <t>扬州市广陵区城市之光1-1403</t>
  </si>
  <si>
    <t>扬州恒大云锦华庭-一期-8-2-1006</t>
  </si>
  <si>
    <t>3dbf916b-fc50-476e-b716-0252f65058ca</t>
  </si>
  <si>
    <t>8-1007</t>
  </si>
  <si>
    <t>李昆;李吉林;金桂琴</t>
  </si>
  <si>
    <t>SP202012160009</t>
  </si>
  <si>
    <t xml:space="preserve"> 321284199711046617;321284197310100812;321028197310012247 </t>
  </si>
  <si>
    <t xml:space="preserve">(M)17714878996 </t>
  </si>
  <si>
    <t>扬州市广陵区明发商住小区4-308;;</t>
  </si>
  <si>
    <t>扬州恒大云锦华庭-一期-8-2-1007</t>
  </si>
  <si>
    <t>42260379-ebfa-4b43-92b8-9bae382f1897</t>
  </si>
  <si>
    <t>8-1008</t>
  </si>
  <si>
    <t>杨帆;贾如月</t>
  </si>
  <si>
    <t>SP202012030106</t>
  </si>
  <si>
    <t xml:space="preserve"> 321001199805091417;321027199606176323 </t>
  </si>
  <si>
    <t xml:space="preserve">(M)15618704310 </t>
  </si>
  <si>
    <t>扬州市广陵区运河人家广竹苑10幢1204室;扬州市广陵区运河人家广竹苑10幢1204室</t>
  </si>
  <si>
    <t>扬州恒大云锦华庭-一期-8-2-1008</t>
  </si>
  <si>
    <t>e04a8953-5c7a-452e-abc8-f4f5bfa94d65</t>
  </si>
  <si>
    <t>8-1101</t>
  </si>
  <si>
    <t>陆留红;周邵勇</t>
  </si>
  <si>
    <t>SP202012150168</t>
  </si>
  <si>
    <t xml:space="preserve"> 321025196807141622;321088196706160037 </t>
  </si>
  <si>
    <t xml:space="preserve">(M)15150857197 </t>
  </si>
  <si>
    <t>江苏省江都区南苑二村24-101;江苏省江都市龙城路133号</t>
  </si>
  <si>
    <t>以标准总价为基准计算: (普通商业按揭 100% - 总价优惠 -3258)</t>
  </si>
  <si>
    <t>扬州恒大云锦华庭-一期-8-1-1101</t>
  </si>
  <si>
    <t>bf6d56b6-c4ec-42f2-8a49-76b1937b6063</t>
  </si>
  <si>
    <t>8-1102</t>
  </si>
  <si>
    <t>王文鹏</t>
  </si>
  <si>
    <t>SP202104280106</t>
  </si>
  <si>
    <t xml:space="preserve">(M)18452466653；13706286299 </t>
  </si>
  <si>
    <t>江苏省扬州市江都区樊川镇友爱村湖南组11号</t>
  </si>
  <si>
    <t>以标准总价为基准计算: 两年分期付款 100% × 开盘额外优惠 97% × 渠道折扣 98%</t>
  </si>
  <si>
    <t>扬州恒大云锦华庭-一期-8-1-1102</t>
  </si>
  <si>
    <t>be362653-0356-40a1-91d2-d5aced274cbe</t>
  </si>
  <si>
    <t>8-1103</t>
  </si>
  <si>
    <t>俞海洋</t>
  </si>
  <si>
    <t>SP202012160012</t>
  </si>
  <si>
    <t xml:space="preserve">(M)15895728181 </t>
  </si>
  <si>
    <t>江苏省扬州市江都区镇北路北苑34幢506室</t>
  </si>
  <si>
    <t>扬州恒大云锦华庭-一期-8-1-1103</t>
  </si>
  <si>
    <t>46fc56c9-5efd-45b7-8bcc-2f09d06e8f5c</t>
  </si>
  <si>
    <t>8-1104</t>
  </si>
  <si>
    <t>徐国琴;刘军</t>
  </si>
  <si>
    <t>SP202101270210</t>
  </si>
  <si>
    <t xml:space="preserve"> 321088197104174882;321088197008114855 </t>
  </si>
  <si>
    <t xml:space="preserve">(M)15952553649 </t>
  </si>
  <si>
    <t>江苏省江都市邵伯镇谢庄村许庄组30号;江苏省江都市邵伯镇谢庄村许庄组30号</t>
  </si>
  <si>
    <t>扬州恒大云锦华庭-一期-8-1-1104</t>
  </si>
  <si>
    <t>09CB6E76977B898B</t>
  </si>
  <si>
    <t>9a63484a-5215-4c14-9412-de07c5d97198</t>
  </si>
  <si>
    <t>8-1105</t>
  </si>
  <si>
    <t>SP202012080124</t>
  </si>
  <si>
    <t>扬州恒大云锦华庭-一期-8-2-1105</t>
  </si>
  <si>
    <t>8db6dc9f-4c6a-49d2-8bd3-b2898932a186</t>
  </si>
  <si>
    <t>8-1106</t>
  </si>
  <si>
    <t>方丽</t>
  </si>
  <si>
    <t>SP202101260082</t>
  </si>
  <si>
    <t xml:space="preserve">(M)17705272799 </t>
  </si>
  <si>
    <t>扬州市邗江区兴城西路香格里拉山庄9-505</t>
  </si>
  <si>
    <t>以标准总价为基准计算: (((普通公积金按揭 100% × 房车宝推荐折扣 96% × 年末冲刺大优惠 95% - 网上购房总价优惠2万元 20000) - 总价优惠 -696) - 恒房通购房券优惠 10000)</t>
  </si>
  <si>
    <t>扬州恒大云锦华庭-一期-8-2-1106</t>
  </si>
  <si>
    <t>HFTM5623030215</t>
  </si>
  <si>
    <t>bd1d54ec-c207-4339-a77e-ca70fd34a4bf</t>
  </si>
  <si>
    <t>8-1107</t>
  </si>
  <si>
    <t>戴圆圆</t>
  </si>
  <si>
    <t>SP202012220032</t>
  </si>
  <si>
    <t xml:space="preserve"> 32108419870220522X </t>
  </si>
  <si>
    <t xml:space="preserve">(M)13815833144 </t>
  </si>
  <si>
    <t>江苏省高邮市文游南路步康花苑15幢309室</t>
  </si>
  <si>
    <t>扬州恒大云锦华庭-一期-8-2-1107</t>
  </si>
  <si>
    <t>d1aeb5bd-42a3-4dc2-b5eb-fcef5970e2c3</t>
  </si>
  <si>
    <t>8-1108</t>
  </si>
  <si>
    <t>王伟;高磊</t>
  </si>
  <si>
    <t>SP202101270229</t>
  </si>
  <si>
    <t xml:space="preserve"> 32102719920310662X;321027199206256615 </t>
  </si>
  <si>
    <t xml:space="preserve">(M)18662395447 </t>
  </si>
  <si>
    <t>江苏省扬州市广陵区泰安镇金泰村东院组7号;江苏省扬州市广陵区泰安镇金湾村高庄组18号</t>
  </si>
  <si>
    <t>以标准总价为基准计算: ((两年分期付款 100% × 房车宝推荐折扣 96% × 年末冲刺大优惠2 96% × 清尾优惠折扣 96.5% - 恒房通购房券优惠 10000) - 网上购房总价优惠2万元 20000)</t>
  </si>
  <si>
    <t>扬州恒大云锦华庭-一期-8-2-1108</t>
  </si>
  <si>
    <t>CB454C98491D5E0F</t>
  </si>
  <si>
    <t>93fa4ccd-02d8-4990-b469-bf0557e12cc2</t>
  </si>
  <si>
    <t>8-1201</t>
  </si>
  <si>
    <t>全玉;贾松</t>
  </si>
  <si>
    <t>SP202011130115</t>
  </si>
  <si>
    <t xml:space="preserve"> 420323198709183429;321027198211115716 </t>
  </si>
  <si>
    <t xml:space="preserve">(M)13382727478 </t>
  </si>
  <si>
    <t>江苏省扬州市广陵区头桥镇福成村济福五组6号;江苏省扬州市广陵区头桥镇福成村济福五组6号</t>
  </si>
  <si>
    <t>扬州恒大云锦华庭-一期-8-1-1201</t>
  </si>
  <si>
    <t>5a1acb9c-78d0-44d1-a633-67496e025025</t>
  </si>
  <si>
    <t>8-1202</t>
  </si>
  <si>
    <t>朱永全</t>
  </si>
  <si>
    <t>SP202012090052</t>
  </si>
  <si>
    <t xml:space="preserve">(M)15380376797 </t>
  </si>
  <si>
    <t>扬州市广陵区明发广场5幢1单元904</t>
  </si>
  <si>
    <t>扬州恒大云锦华庭-一期-8-1-1202</t>
  </si>
  <si>
    <t>81364107-fe90-4857-9c14-d216fdd540df</t>
  </si>
  <si>
    <t>8-1203</t>
  </si>
  <si>
    <t>朱婕</t>
  </si>
  <si>
    <t>SP202012150131</t>
  </si>
  <si>
    <t xml:space="preserve">(M)18505223775 </t>
  </si>
  <si>
    <t>江苏省扬州市邗江区黄金坝路25号</t>
  </si>
  <si>
    <t>扬州恒大云锦华庭-一期-8-1-1203</t>
  </si>
  <si>
    <t>04d5ff5a-976c-4fc7-826b-9df2bfd42569</t>
  </si>
  <si>
    <t>8-1204</t>
  </si>
  <si>
    <t>张俊;张树祥</t>
  </si>
  <si>
    <t>SP202012080094</t>
  </si>
  <si>
    <t xml:space="preserve"> 32108819940528155X;321088197109184174 </t>
  </si>
  <si>
    <t xml:space="preserve">(M)18086760506 </t>
  </si>
  <si>
    <t>江苏省扬州市广陵经济技术开发区大众港路8号;江苏省江都市郭村镇庄桥村十巷组52号</t>
  </si>
  <si>
    <t>扬州恒大云锦华庭-一期-8-1-1204</t>
  </si>
  <si>
    <t>fc7a5a7c-65b6-408e-b44a-6fde3e3b6452</t>
  </si>
  <si>
    <t>8-1205</t>
  </si>
  <si>
    <t>王正兰;王四刚</t>
  </si>
  <si>
    <t>SP202011260042</t>
  </si>
  <si>
    <t xml:space="preserve"> 321084197901243021;321088197509022553 </t>
  </si>
  <si>
    <t xml:space="preserve">(M)15952567618 </t>
  </si>
  <si>
    <t>江苏省扬州市江都区樊川镇阳光花园3-301;江苏省江都市樊川镇阳光花园3-301</t>
  </si>
  <si>
    <t>扬州恒大云锦华庭-一期-8-2-1205</t>
  </si>
  <si>
    <t>432e7efb-42b1-4e04-b2ab-021d7cd2a48c</t>
  </si>
  <si>
    <t>8-1206</t>
  </si>
  <si>
    <t>张文;李慧</t>
  </si>
  <si>
    <t>SP202012020027</t>
  </si>
  <si>
    <t xml:space="preserve"> 321027199001106015;321027199004156026 </t>
  </si>
  <si>
    <t xml:space="preserve">(M)18061169823 </t>
  </si>
  <si>
    <t>江苏省扬州市广陵区沙头镇陈祠村大四组24号;江苏省扬州市广陵区沙头镇沙头村永昌组72号</t>
  </si>
  <si>
    <t>扬州恒大云锦华庭-一期-8-2-1206</t>
  </si>
  <si>
    <t>6083afa2-17ea-4218-a875-bb4d5a1b91f5</t>
  </si>
  <si>
    <t>8-1207</t>
  </si>
  <si>
    <t>戴济业</t>
  </si>
  <si>
    <t>SP202101070073</t>
  </si>
  <si>
    <t xml:space="preserve">(M)17715840158 </t>
  </si>
  <si>
    <t>江苏省扬州市广陵区杭集镇裔庙村岸东组33号</t>
  </si>
  <si>
    <t>扬州恒大云锦华庭-一期-8-2-1207</t>
  </si>
  <si>
    <t>A8E2C8E8E5FDB91F</t>
  </si>
  <si>
    <t>232bc3fe-0aa7-417e-8c72-2d6f3bf9976b</t>
  </si>
  <si>
    <t>8-1208</t>
  </si>
  <si>
    <t>叶芳;朱志兵</t>
  </si>
  <si>
    <t>SP202101060122</t>
  </si>
  <si>
    <t xml:space="preserve"> 321324197205150040;321324197305060130 </t>
  </si>
  <si>
    <t xml:space="preserve">(M)18262939937 </t>
  </si>
  <si>
    <t>江苏省泗洪县青阳镇老庄居民委员会三组;江苏省泗洪县青阳镇老庄社区居民委员会三组47号</t>
  </si>
  <si>
    <t>扬州恒大云锦华庭-一期-8-2-1208</t>
  </si>
  <si>
    <t>87bdd6f0-7ddc-442a-b83a-eb4c8aad4684</t>
  </si>
  <si>
    <t>8-1301</t>
  </si>
  <si>
    <t>巴桂林;葛庆林;巴佳</t>
  </si>
  <si>
    <t>SP202012220034</t>
  </si>
  <si>
    <t xml:space="preserve"> 321011196309161219;321084198111095014;321011198506261242 </t>
  </si>
  <si>
    <t xml:space="preserve">(M)18101444059 </t>
  </si>
  <si>
    <t>江苏省扬州市广陵区湾头镇沙联村董庄组40号;江苏省扬州市维扬区史可法路67号;江苏省扬州市维扬区史可法路67号</t>
  </si>
  <si>
    <t>扬州恒大云锦华庭-一期-8-1-1301</t>
  </si>
  <si>
    <t>d1c42971-df65-46cd-9ac8-ae234900f45f</t>
  </si>
  <si>
    <t>8-1302</t>
  </si>
  <si>
    <t>仇立安;胡春霞</t>
  </si>
  <si>
    <t>SP202101100039</t>
  </si>
  <si>
    <t xml:space="preserve"> 321027197309055411;321027197303015427 </t>
  </si>
  <si>
    <t xml:space="preserve">(M)18952597555 </t>
  </si>
  <si>
    <t>江苏省扬州市邗江区李典镇新坝集镇新兴路102-1号;江苏省扬州市邗江区李典镇新坝集镇新兴路102-1号</t>
  </si>
  <si>
    <t>扬州恒大云锦华庭-一期-8-1-1302</t>
  </si>
  <si>
    <t>C16EAA59E6BB2122</t>
  </si>
  <si>
    <t>70e0c7b6-a3da-4c09-819a-61f3d604071d</t>
  </si>
  <si>
    <t>8-1303</t>
  </si>
  <si>
    <t>罗勇</t>
  </si>
  <si>
    <t>SP202011130124</t>
  </si>
  <si>
    <t xml:space="preserve">(M)18752786655 </t>
  </si>
  <si>
    <t>江苏省扬州市邗江区杭集镇杭府街134号</t>
  </si>
  <si>
    <t>扬州恒大云锦华庭-一期-8-1-1303</t>
  </si>
  <si>
    <t>7613b24b-49c1-4c79-a408-fe1d12cc1ea4</t>
  </si>
  <si>
    <t>8-1304</t>
  </si>
  <si>
    <t>许礼涛</t>
  </si>
  <si>
    <t>SP202101200073</t>
  </si>
  <si>
    <t xml:space="preserve">(M)18761152930 </t>
  </si>
  <si>
    <t>江苏省扬州市广陵区泰安镇金泰村黄二组1号</t>
  </si>
  <si>
    <t>扬州恒大云锦华庭-一期-8-1-1304</t>
  </si>
  <si>
    <t>5903D893D669D8C1</t>
  </si>
  <si>
    <t>ed464040-8ce0-4a42-b8b6-998fcce60c0c</t>
  </si>
  <si>
    <t>8-1305</t>
  </si>
  <si>
    <t>耿宝祥;徐雯</t>
  </si>
  <si>
    <t>SP202011130014</t>
  </si>
  <si>
    <t xml:space="preserve"> 321027198204306610;310101198204110545 </t>
  </si>
  <si>
    <t xml:space="preserve">(M)13661685544 </t>
  </si>
  <si>
    <t>上海市浦东新区利津路385弄36号1101室;上海市浦东新区金工路172弄52号501室</t>
  </si>
  <si>
    <t>扬州恒大云锦华庭-一期-8-2-1305</t>
  </si>
  <si>
    <t>ee25053e-0dc6-4000-8032-0bf629867464</t>
  </si>
  <si>
    <t>8-1306</t>
  </si>
  <si>
    <t>邬荣兴;刘美华</t>
  </si>
  <si>
    <t>SP202012150027</t>
  </si>
  <si>
    <t xml:space="preserve"> 321027197610086671;522725197402236122 </t>
  </si>
  <si>
    <t xml:space="preserve">(M)18605208309 </t>
  </si>
  <si>
    <t>江苏省扬州市邗江区泰安镇芒稻村马西组1号;江苏省扬州市邗江区泰安镇芒稻村马西组1号</t>
  </si>
  <si>
    <t>以标准总价为基准计算: (普通商业按揭 100% - 总价优惠 -2185)</t>
  </si>
  <si>
    <t>扬州恒大云锦华庭-一期-8-2-1306</t>
  </si>
  <si>
    <t>6763c253-501e-4e5c-a3a1-78634e97ffa8</t>
  </si>
  <si>
    <t>8-1307</t>
  </si>
  <si>
    <t>杭子凯</t>
  </si>
  <si>
    <t>SP202011260099</t>
  </si>
  <si>
    <t xml:space="preserve">(M)18952752063 (O)15358506830 </t>
  </si>
  <si>
    <t>江苏省扬州市广陵区杭集镇夏庄村杭港组20号</t>
  </si>
  <si>
    <t>扬州恒大云锦华庭-一期-8-2-1307</t>
  </si>
  <si>
    <t>4f9181e6-17a4-40b2-a5c3-e6bf90f64142</t>
  </si>
  <si>
    <t>8-1308</t>
  </si>
  <si>
    <t>张学俊;孙卫华</t>
  </si>
  <si>
    <t>SP202011270056</t>
  </si>
  <si>
    <t xml:space="preserve"> 321088197510033970;321088197611273965 </t>
  </si>
  <si>
    <t xml:space="preserve">(M)13952704089 </t>
  </si>
  <si>
    <t>江苏省扬州市江都区金鹰文昌华府6幢1101室;江苏省扬州市江都区金鹰文昌华府6幢1101室</t>
  </si>
  <si>
    <t>扬州恒大云锦华庭-一期-8-2-1308</t>
  </si>
  <si>
    <t>52435ea8-076a-4b17-9791-176ed77eb3ed</t>
  </si>
  <si>
    <t>8-1401</t>
  </si>
  <si>
    <t>郭华丽</t>
  </si>
  <si>
    <t>SP202101250075</t>
  </si>
  <si>
    <t xml:space="preserve">(M)15952553533 </t>
  </si>
  <si>
    <t>江苏省扬州市江都区家得福建材市场华宝家居</t>
  </si>
  <si>
    <t>以标准总价为基准计算: ((两年分期付款 100% × 年末冲刺大优惠2 96% × 房车宝推荐折扣 96% × 清尾优惠折扣 95% - 恒房通购房券优惠 10000) - 网上购房总价优惠2万元 20000)</t>
  </si>
  <si>
    <t>扬州恒大云锦华庭-一期-8-1-1401</t>
  </si>
  <si>
    <t>2A1FE377C887A559</t>
  </si>
  <si>
    <t>805599fc-238b-413f-bf7f-f181cd0d5f22</t>
  </si>
  <si>
    <t>8-1402</t>
  </si>
  <si>
    <t>魏文敏</t>
  </si>
  <si>
    <t>SP202101100016</t>
  </si>
  <si>
    <t xml:space="preserve">(M)15152788069 </t>
  </si>
  <si>
    <t>扬州市东方银座A座1203室</t>
  </si>
  <si>
    <t>扬州恒大云锦华庭-一期-8-1-1402</t>
  </si>
  <si>
    <t>1EABC899B8C4D60F</t>
  </si>
  <si>
    <t>854b2dae-b944-498c-a7dd-442005d13ca3</t>
  </si>
  <si>
    <t>8-1403</t>
  </si>
  <si>
    <t>郭红兰;朱云俊</t>
  </si>
  <si>
    <t>SP202101280019</t>
  </si>
  <si>
    <t xml:space="preserve"> 321027197702265722;321027197808013910 </t>
  </si>
  <si>
    <t xml:space="preserve">(M)13952783108 </t>
  </si>
  <si>
    <t>江苏省扬州市邗江区头桥镇红桥集镇红星路6-8号;江苏省扬州市邗江区头桥镇红桥集镇红星路6-8号</t>
  </si>
  <si>
    <t>以标准总价为基准计算: ((一次性付款 100% × 房车宝推荐折扣 96% × 年末冲刺大优惠 96% - 网上购房总价优惠2万元 20000) - 恒房通购房券优惠 10000)</t>
  </si>
  <si>
    <t>扬州恒大云锦华庭-一期-8-1-1403</t>
  </si>
  <si>
    <t>0C347E54E1D7E24E</t>
  </si>
  <si>
    <t>e6dccec4-1360-4108-a3e5-5ea9c5af793f</t>
  </si>
  <si>
    <t>8-1404</t>
  </si>
  <si>
    <t>李华;黄晓清</t>
  </si>
  <si>
    <t>SP202101260121</t>
  </si>
  <si>
    <t xml:space="preserve"> 321011197609220924;320705197611220018 </t>
  </si>
  <si>
    <t xml:space="preserve">(M)18005270020 </t>
  </si>
  <si>
    <t>江苏省扬州市广陵区曲江街道新农村李家组22号;江苏省扬州市维扬区扬子江中路746号</t>
  </si>
  <si>
    <t>扬州恒大云锦华庭-一期-8-1-1404</t>
  </si>
  <si>
    <t>8815a734-90ec-4d9e-ad51-0de6a4ed3552</t>
  </si>
  <si>
    <t>8-1405</t>
  </si>
  <si>
    <t>李跃香</t>
  </si>
  <si>
    <t>SP202102030093</t>
  </si>
  <si>
    <t xml:space="preserve">(M)13815827328 </t>
  </si>
  <si>
    <t>江苏省扬州市维扬区城北乡黄金村余前组34号</t>
  </si>
  <si>
    <t>扬州恒大云锦华庭-一期-8-2-1405</t>
  </si>
  <si>
    <t>6492E78420FB731C</t>
  </si>
  <si>
    <t>4608ee9d-1b84-42cb-a1ab-0ffd110bcba1</t>
  </si>
  <si>
    <t>8-1406</t>
  </si>
  <si>
    <t>王家汶</t>
  </si>
  <si>
    <t>SP202101260020</t>
  </si>
  <si>
    <t xml:space="preserve">(M)18151448158 </t>
  </si>
  <si>
    <t>江苏省兴化市垛田镇三羊村六组44号</t>
  </si>
  <si>
    <t>扬州恒大云锦华庭-一期-8-2-1406</t>
  </si>
  <si>
    <t>0FC4863423424DF2</t>
  </si>
  <si>
    <t>588fbdd4-5548-4c83-aeda-3c6294a9b34e</t>
  </si>
  <si>
    <t>8-1407</t>
  </si>
  <si>
    <t>潘钰;王晓兵</t>
  </si>
  <si>
    <t>SP202103080098</t>
  </si>
  <si>
    <t xml:space="preserve"> 321023197609100426;321023197209182258 </t>
  </si>
  <si>
    <t xml:space="preserve">(M)18168279655 </t>
  </si>
  <si>
    <t>江苏省宝应县白田路新加坡花园316幢102室;江苏省宝应县白田路新加坡花园316幢102室</t>
  </si>
  <si>
    <t>以标准总价为基准计算: ((普通公积金按揭 100% × 年末冲刺大优惠2 96% × 房车宝推荐折扣 96% - 恒房通购房券优惠 10000) - 网上购房总价优惠2万元 20000)</t>
  </si>
  <si>
    <t>扬州恒大云锦华庭-一期-8-2-1407</t>
  </si>
  <si>
    <t>C40ABAD6ADD7C6DA</t>
  </si>
  <si>
    <t>82de7b7f-d7f5-40ad-bb87-8d1fcdf1e1d5</t>
  </si>
  <si>
    <t>8-1408</t>
  </si>
  <si>
    <t>方昊</t>
  </si>
  <si>
    <t>SP202104290003</t>
  </si>
  <si>
    <t xml:space="preserve"> 32108819970920377X </t>
  </si>
  <si>
    <t xml:space="preserve">(M)13852208432 </t>
  </si>
  <si>
    <t>江苏省江都市丁沟镇育才路15号</t>
  </si>
  <si>
    <t>以标准总价为基准计算: (两年优惠分期付款（适用2、3、5、6、7、8、9栋） 100% × 清尾优惠折扣 85% × 年末冲刺大优惠3 97% × 房车宝推荐折扣 96% - 网上购房总价优惠2万元 20000)</t>
  </si>
  <si>
    <t>扬州恒大云锦华庭-一期-8-2-1408</t>
  </si>
  <si>
    <t>d9a73d3f-21fd-414f-b5f2-331d79541607</t>
  </si>
  <si>
    <t>8-1501</t>
  </si>
  <si>
    <t>朱善培</t>
  </si>
  <si>
    <t>SP202011260037</t>
  </si>
  <si>
    <t xml:space="preserve">(M)13912133338 </t>
  </si>
  <si>
    <t>江苏省扬州市广陵区杭集镇曙光路273号</t>
  </si>
  <si>
    <t>扬州恒大云锦华庭-一期-8-1-1501</t>
  </si>
  <si>
    <t>f07404f8-f17a-4704-8c51-24bd0f0f9175</t>
  </si>
  <si>
    <t>8-1502</t>
  </si>
  <si>
    <t>吴坚</t>
  </si>
  <si>
    <t>SP202012230058</t>
  </si>
  <si>
    <t xml:space="preserve">(M)13773565632 </t>
  </si>
  <si>
    <t>江苏省扬州市广陵区粉妆巷19号</t>
  </si>
  <si>
    <t>扬州恒大云锦华庭-一期-8-1-1502</t>
  </si>
  <si>
    <t>1b308247-b028-4df8-802a-c1f608c3de0a</t>
  </si>
  <si>
    <t>8-1503</t>
  </si>
  <si>
    <t>张芬;严冬生</t>
  </si>
  <si>
    <t>SP202102030113</t>
  </si>
  <si>
    <t xml:space="preserve"> 321027197709116922;321027197609136934 </t>
  </si>
  <si>
    <t xml:space="preserve">(M)19905142425 </t>
  </si>
  <si>
    <t>江苏省扬州市邗江区杭集镇龙王村蒋庄组29号;江苏省邗江区杭集镇龙王村蒋庄组</t>
  </si>
  <si>
    <t>扬州恒大云锦华庭-一期-8-1-1503</t>
  </si>
  <si>
    <t>22ce1f09-61f7-4a0b-973b-2ef9364af0b3</t>
  </si>
  <si>
    <t>8-1504</t>
  </si>
  <si>
    <t>陶志美</t>
  </si>
  <si>
    <t>SP202012150010</t>
  </si>
  <si>
    <t xml:space="preserve">(M)18021320160 </t>
  </si>
  <si>
    <t>江苏省扬州市邗江区泰安镇金泰村东胡组28号</t>
  </si>
  <si>
    <t>扬州恒大云锦华庭-一期-8-1-1504</t>
  </si>
  <si>
    <t>97a91148-08c0-4c96-b069-67363d7ca686</t>
  </si>
  <si>
    <t>8-1505</t>
  </si>
  <si>
    <t>纪美珍;吴圣权</t>
  </si>
  <si>
    <t>SP202012020083</t>
  </si>
  <si>
    <t xml:space="preserve"> 321027197805106927;321027197503016934 </t>
  </si>
  <si>
    <t xml:space="preserve">(M)13815808126 </t>
  </si>
  <si>
    <t>江苏省扬州市广陵区杭集镇琼花大道70号;江苏省扬州市邗江区杭集镇杭府街134号</t>
  </si>
  <si>
    <t>扬州恒大云锦华庭-一期-8-2-1505</t>
  </si>
  <si>
    <t>9aa40d24-6204-4be9-bc3c-5b8d41695654</t>
  </si>
  <si>
    <t>8-1506</t>
  </si>
  <si>
    <t>蔡森</t>
  </si>
  <si>
    <t>SP202012220099</t>
  </si>
  <si>
    <t xml:space="preserve">(M)18994884938 </t>
  </si>
  <si>
    <t>江苏省扬州市广陵区李典镇长生村千和组16－2号</t>
  </si>
  <si>
    <t>扬州恒大云锦华庭-一期-8-2-1506</t>
  </si>
  <si>
    <t>5db38588-5bd0-4012-acdc-762275ec9eb8</t>
  </si>
  <si>
    <t>8-1507</t>
  </si>
  <si>
    <t>王昌安;朱永香</t>
  </si>
  <si>
    <t>SP202104080102</t>
  </si>
  <si>
    <t xml:space="preserve"> 321027195404220631;321027195910130647 </t>
  </si>
  <si>
    <t xml:space="preserve">(M)13735863978 </t>
  </si>
  <si>
    <t>江苏省扬州市邗江区华扬西路700号;江苏省扬州市邗江区华扬西路700号</t>
  </si>
  <si>
    <t>扬州恒大云锦华庭-一期-8-2-1507</t>
  </si>
  <si>
    <t>61c3142c-6136-4162-805f-3982c7236ca6</t>
  </si>
  <si>
    <t>8-1508</t>
  </si>
  <si>
    <t>何敏</t>
  </si>
  <si>
    <t>SP202012310040</t>
  </si>
  <si>
    <t xml:space="preserve">(M)13121075727 </t>
  </si>
  <si>
    <t>北京市朝阳区拂林园13#505</t>
  </si>
  <si>
    <t>扬州恒大云锦华庭-一期-8-2-1508</t>
  </si>
  <si>
    <t>75bcab88-9b44-4392-adca-21df665ed559</t>
  </si>
  <si>
    <t>8-1601</t>
  </si>
  <si>
    <t>黄伟豪</t>
  </si>
  <si>
    <t>SP202102220058</t>
  </si>
  <si>
    <t xml:space="preserve">(M)17705250077 </t>
  </si>
  <si>
    <t>江苏省扬州市江都区新村路7号有线电厂宿舍</t>
  </si>
  <si>
    <t>扬州恒大云锦华庭-一期-8-1-1601</t>
  </si>
  <si>
    <t>ca4e2162-d40d-472b-bcac-b39669fb9513</t>
  </si>
  <si>
    <t>8-1602</t>
  </si>
  <si>
    <t>尤星月;张忍冬</t>
  </si>
  <si>
    <t>SP202012300255</t>
  </si>
  <si>
    <t xml:space="preserve"> 321027198903077220;320623198812292132 </t>
  </si>
  <si>
    <t xml:space="preserve">(M)15061126908 </t>
  </si>
  <si>
    <t>扬州市广陵区佳源珑境4-1204;扬州市广陵区佳源珑境4-1204</t>
  </si>
  <si>
    <t>扬州恒大云锦华庭-一期-8-1-1602</t>
  </si>
  <si>
    <t>67a38fad-bbca-46c4-88fc-70c1e6c95bbc</t>
  </si>
  <si>
    <t>8-1603</t>
  </si>
  <si>
    <t>黄佳伟;黄健</t>
  </si>
  <si>
    <t>SP202103230147</t>
  </si>
  <si>
    <t xml:space="preserve"> 321027199708016013;321027197210286033 </t>
  </si>
  <si>
    <t xml:space="preserve">(M)13092003987 </t>
  </si>
  <si>
    <t>江苏省扬州市广陵区沙头镇小虹桥村东风组1号;江苏省扬州市广陵区沙头镇小虹桥村东风组1号</t>
  </si>
  <si>
    <t>以标准总价为基准计算: ((普通组合贷款 100% × 年末冲刺大优惠 96% × 房车宝推荐折扣 96% - 网上购房总价优惠2万元 20000) - 恒房通购房券优惠 10000)</t>
  </si>
  <si>
    <t>扬州恒大云锦华庭-一期-8-1-1603</t>
  </si>
  <si>
    <t>HFTM7749852348</t>
  </si>
  <si>
    <t>5ade99e6-3384-493e-b1b4-2f5f995b9fd1</t>
  </si>
  <si>
    <t>8-1604</t>
  </si>
  <si>
    <t>昌立新;杨同花</t>
  </si>
  <si>
    <t>SP202103160046</t>
  </si>
  <si>
    <t xml:space="preserve"> 32102319620914285X;321023196208120309 </t>
  </si>
  <si>
    <t xml:space="preserve">(M)13852562209 </t>
  </si>
  <si>
    <t>江苏省宝应县望直港镇和平村王品组35号;江苏省宝应县望直港镇和平村王平组35号</t>
  </si>
  <si>
    <t>以标准总价为基准计算: ((普通商业按揭 100% × 房车宝推荐折扣 96% × 年末冲刺大优惠 95% - 网上购房总价优惠2万元 20000) - 恒房通购房券优惠 10000)</t>
  </si>
  <si>
    <t>扬州恒大云锦华庭-一期-8-1-1604</t>
  </si>
  <si>
    <t>HFTM2005558781</t>
  </si>
  <si>
    <t>c788b398-d58d-4356-b506-df6553d3ed16</t>
  </si>
  <si>
    <t>8-1605</t>
  </si>
  <si>
    <t>李右</t>
  </si>
  <si>
    <t>SP202012260150</t>
  </si>
  <si>
    <t xml:space="preserve">(M)13582590588 </t>
  </si>
  <si>
    <t>扬州恒大云锦华庭-一期-8-2-1605</t>
  </si>
  <si>
    <t>efa4ad89-2526-4f86-835d-894e1e9433ba</t>
  </si>
  <si>
    <t>8-1606</t>
  </si>
  <si>
    <t>严军;许如静</t>
  </si>
  <si>
    <t>SP202101080202</t>
  </si>
  <si>
    <t xml:space="preserve"> 320211198108033834;321027198311286328 </t>
  </si>
  <si>
    <t xml:space="preserve">(M)15298468291 </t>
  </si>
  <si>
    <t>扬州市广陵区沙头镇潮龙村王巷组25号;江苏省扬州市广陵区沙头镇潮龙村王巷组25号</t>
  </si>
  <si>
    <t>扬州恒大云锦华庭-一期-8-2-1606</t>
  </si>
  <si>
    <t>12FFA446E04E2AF6</t>
  </si>
  <si>
    <t>e693701c-d341-4247-8d35-c903e24db814</t>
  </si>
  <si>
    <t>8-1607</t>
  </si>
  <si>
    <t>张浩</t>
  </si>
  <si>
    <t>SP202012230090</t>
  </si>
  <si>
    <t xml:space="preserve">(M)16605145599 (O)15895719630 </t>
  </si>
  <si>
    <t>江苏省扬州市邗江区万鸿城市花园28栋516室</t>
  </si>
  <si>
    <t>扬州恒大云锦华庭-一期-8-2-1607</t>
  </si>
  <si>
    <t>5af28ca2-0b75-4247-8b7e-3345d0f86bc0</t>
  </si>
  <si>
    <t>8-1608</t>
  </si>
  <si>
    <t>陈志明;黄萍</t>
  </si>
  <si>
    <t>SP202101280016</t>
  </si>
  <si>
    <t xml:space="preserve"> 321023197208121613;321023197608210447 </t>
  </si>
  <si>
    <t xml:space="preserve">(M)18052561838 </t>
  </si>
  <si>
    <t>江苏省宝应县安民路三支巷146-20号;江苏省宝应县泰山西路156号</t>
  </si>
  <si>
    <t>以标准总价为基准计算: ((两年分期付款 100% × 年末冲刺大优惠2 96% × 房车宝推荐折扣 96% × 清尾优惠折扣 96% - 网上购房总价优惠2万元 20000) - 恒房通购房券优惠 10000)</t>
  </si>
  <si>
    <t>扬州恒大云锦华庭-一期-8-2-1608</t>
  </si>
  <si>
    <t>1F4305B4B2F2C5DF</t>
  </si>
  <si>
    <t>ce411a20-11f7-479e-863b-d19824a813f1</t>
  </si>
  <si>
    <t>8-1701</t>
  </si>
  <si>
    <t>季巧</t>
  </si>
  <si>
    <t>SP202011130139</t>
  </si>
  <si>
    <t xml:space="preserve"> 32102319930414024X </t>
  </si>
  <si>
    <t xml:space="preserve">(M)15366915678 (O)13092087088 </t>
  </si>
  <si>
    <t>扬州市广陵区杭集镇新生村兴隆15号</t>
  </si>
  <si>
    <t>扬州恒大云锦华庭-一期-8-1-1701</t>
  </si>
  <si>
    <t>837c3609-337a-48f7-8908-d46891aac4e7</t>
  </si>
  <si>
    <t>8-1702</t>
  </si>
  <si>
    <t>郑传涛</t>
  </si>
  <si>
    <t>SP202011260115</t>
  </si>
  <si>
    <t xml:space="preserve">(M)17715857037 </t>
  </si>
  <si>
    <t>江苏省扬州市广陵区运河西路51号</t>
  </si>
  <si>
    <t>扬州恒大云锦华庭-一期-8-1-1702</t>
  </si>
  <si>
    <t>808296de-fe60-46b8-be13-3e00a1074a9b</t>
  </si>
  <si>
    <t>8-1703</t>
  </si>
  <si>
    <t>朱武乾</t>
  </si>
  <si>
    <t>SP202011270020</t>
  </si>
  <si>
    <t xml:space="preserve">(M)17605142683 </t>
  </si>
  <si>
    <t>江苏省兴化市沙沟镇联溪村夏舍9号</t>
  </si>
  <si>
    <t>扬州恒大云锦华庭-一期-8-1-1703</t>
  </si>
  <si>
    <t>fb74186e-3574-436a-8aab-1db2280207e1</t>
  </si>
  <si>
    <t>8-1704</t>
  </si>
  <si>
    <t>林加杰</t>
  </si>
  <si>
    <t>SP202012150021</t>
  </si>
  <si>
    <t xml:space="preserve">(M)13616291173 </t>
  </si>
  <si>
    <t>江苏省扬州市广陵区东方丽景5-301</t>
  </si>
  <si>
    <t>扬州恒大云锦华庭-一期-8-1-1704</t>
  </si>
  <si>
    <t>d33d3d50-de40-4cb8-856e-4636cb1a66ab</t>
  </si>
  <si>
    <t>8-1705</t>
  </si>
  <si>
    <t>尹丽;王彪</t>
  </si>
  <si>
    <t>SP202101060011</t>
  </si>
  <si>
    <t xml:space="preserve"> 340121198006207347;321027197809276018 </t>
  </si>
  <si>
    <t xml:space="preserve">(M)15952789781 </t>
  </si>
  <si>
    <t>江苏省扬州市广陵区沙头镇天诚公司;江苏省扬州市广陵区沙头镇天诚公司</t>
  </si>
  <si>
    <t>以标准总价为基准计算: (一次性付款 99% × 佣金抵房款 98% - 总价优惠 -3623)</t>
  </si>
  <si>
    <t>扬州恒大云锦华庭-一期-8-2-1705</t>
  </si>
  <si>
    <t>eca09272-1752-4810-8d40-5b0908266ea2</t>
  </si>
  <si>
    <t>8-1706</t>
  </si>
  <si>
    <t>夏良伶</t>
  </si>
  <si>
    <t>SP202012150079</t>
  </si>
  <si>
    <t xml:space="preserve">(M)15152738548 </t>
  </si>
  <si>
    <t>江苏省扬州市广陵区万福西路运河水府25幢503室</t>
  </si>
  <si>
    <t>扬州恒大云锦华庭-一期-8-2-1706</t>
  </si>
  <si>
    <t>396ddf9c-4099-49be-bdae-9871160a124e</t>
  </si>
  <si>
    <t>8-1707</t>
  </si>
  <si>
    <t>汪茂才;郑小丽</t>
  </si>
  <si>
    <t>SP202012220233</t>
  </si>
  <si>
    <t xml:space="preserve"> 321027198502024515;52212419881215124X </t>
  </si>
  <si>
    <t xml:space="preserve">(M)18699980969 </t>
  </si>
  <si>
    <t>江苏省扬州市邗江区方巷镇花城村光明组34号;江苏省扬州市邗江区方巷镇花城村光明组34号</t>
  </si>
  <si>
    <t>扬州恒大云锦华庭-一期-8-2-1707</t>
  </si>
  <si>
    <t>d1b0766b-8d99-4390-aeaf-4c366251b328</t>
  </si>
  <si>
    <t>8-1708</t>
  </si>
  <si>
    <t>许健</t>
  </si>
  <si>
    <t>SP202011130006</t>
  </si>
  <si>
    <t xml:space="preserve">(M)13616299731;19975077926 </t>
  </si>
  <si>
    <t>江苏省扬州市广陵区旧城堂子巷3号</t>
  </si>
  <si>
    <t>扬州恒大云锦华庭-一期-8-2-1708</t>
  </si>
  <si>
    <t>cd55b204-996a-4da8-a1be-b6396b56ffd9</t>
  </si>
  <si>
    <t>8-1801</t>
  </si>
  <si>
    <t>郭谦苗;郭红昱</t>
  </si>
  <si>
    <t>SP202104110003</t>
  </si>
  <si>
    <t xml:space="preserve"> 321088198810264900;321023198808071810 </t>
  </si>
  <si>
    <t xml:space="preserve">(M)15895766590 </t>
  </si>
  <si>
    <t>江苏省宝应县兴阳北路2号楼408室;江苏省宝应县柳堡镇联丰村胜利组43号</t>
  </si>
  <si>
    <t>扬州恒大云锦华庭-一期-8-1-1801</t>
  </si>
  <si>
    <t>244d4412-3980-456f-8dbd-3821438a1941</t>
  </si>
  <si>
    <t>8-1802</t>
  </si>
  <si>
    <t>林智</t>
  </si>
  <si>
    <t>SP202103040016</t>
  </si>
  <si>
    <t xml:space="preserve">(M)18362822744 </t>
  </si>
  <si>
    <t>江苏省扬州市广陵区沙头镇迎宾小区1栋402室</t>
  </si>
  <si>
    <t>以标准总价为基准计算: (普通组合贷款 100% × 清尾优惠折扣 85% × 年末冲刺大优惠3 97% × 房车宝推荐折扣 96% - 网上购房总价优惠2万元 20000)</t>
  </si>
  <si>
    <t>扬州恒大云锦华庭-一期-8-1-1802</t>
  </si>
  <si>
    <t>2070b164-f62c-4e9d-ac02-85da481d4055</t>
  </si>
  <si>
    <t>8-1803</t>
  </si>
  <si>
    <t>邢丹丹</t>
  </si>
  <si>
    <t>SP202104020111</t>
  </si>
  <si>
    <t xml:space="preserve"> 32082119960117370X </t>
  </si>
  <si>
    <t xml:space="preserve">(M)13328136520 </t>
  </si>
  <si>
    <t>江苏省淮安市淮阴区刘老庄镇老圩村东楼庄82号</t>
  </si>
  <si>
    <t>扬州恒大云锦华庭-一期-8-1-1803</t>
  </si>
  <si>
    <t>39BE33D27A5A8440</t>
  </si>
  <si>
    <t>01443176263BD4F3</t>
  </si>
  <si>
    <t>1C34134D9978D8A5</t>
  </si>
  <si>
    <t>7f3a9cab-b7ca-48bc-9cfa-86ae595f4dc8</t>
  </si>
  <si>
    <t>8-1804</t>
  </si>
  <si>
    <t>刘和;郭云君</t>
  </si>
  <si>
    <t>SP202103230018</t>
  </si>
  <si>
    <t xml:space="preserve"> 320382199002224830;321011198804110047 </t>
  </si>
  <si>
    <t xml:space="preserve">(M)15062848760 </t>
  </si>
  <si>
    <t>;江苏省扬州市邗江区西湖镇俞桥村南庄组10号</t>
  </si>
  <si>
    <t>以标准总价为基准计算: (两年优惠分期付款（首付5成） 100% × 网购优惠折扣 90% × 一口价首顶层优惠 85% - 网上购房总价优惠 30000)</t>
  </si>
  <si>
    <t>扬州恒大云锦华庭-一期-8-1-1804</t>
  </si>
  <si>
    <t>ae8425af-6edf-4bd6-87ad-73adf7f47da8</t>
  </si>
  <si>
    <t>8-1805</t>
  </si>
  <si>
    <t>王有凤;梁文武</t>
  </si>
  <si>
    <t xml:space="preserve"> 321027197101056028;321027197006266019 </t>
  </si>
  <si>
    <t xml:space="preserve">(M)13328120886 </t>
  </si>
  <si>
    <t>江苏省扬州市邗江区沙头镇陈祠村五七组11号;江苏省扬州市邗江区沙头镇陈祠村五七组11号</t>
  </si>
  <si>
    <t>扬州恒大云锦华庭-一期-8-2-1805</t>
  </si>
  <si>
    <t>e2d06301-2359-4456-b423-1ff1cd1081f8</t>
  </si>
  <si>
    <t>8-1806</t>
  </si>
  <si>
    <t>刘奇兵;仇宝群</t>
  </si>
  <si>
    <t>SP202103260059</t>
  </si>
  <si>
    <t xml:space="preserve"> 321088197101275119;321088197401225105 </t>
  </si>
  <si>
    <t xml:space="preserve">(M)18036227101 </t>
  </si>
  <si>
    <t>江苏省江都市东方红西路龙川山庄;江苏省江都市东方红西路龙川山庄</t>
  </si>
  <si>
    <t>扬州恒大云锦华庭-一期-8-2-1806</t>
  </si>
  <si>
    <t>0B41E16A38E2EF49</t>
  </si>
  <si>
    <t>161016F4C2D3BC3C</t>
  </si>
  <si>
    <t>4C7923E224CB7C05</t>
  </si>
  <si>
    <t>135d9e74-b440-41c7-9aab-b06462718b5a</t>
  </si>
  <si>
    <t>8-1807</t>
  </si>
  <si>
    <t>杨孙健</t>
  </si>
  <si>
    <t>SP202103090187</t>
  </si>
  <si>
    <t xml:space="preserve">(M)13952517364 </t>
  </si>
  <si>
    <t>江苏省扬州市江都区丁沟镇麾东村共南组15号</t>
  </si>
  <si>
    <t>扬州恒大云锦华庭-一期-8-2-1807</t>
  </si>
  <si>
    <t>c5f3fd62-ac66-4098-9d61-8893e535fb6b</t>
  </si>
  <si>
    <t>8-1808</t>
  </si>
  <si>
    <t>佘远富;张媛媛</t>
  </si>
  <si>
    <t>SP202103100275</t>
  </si>
  <si>
    <t xml:space="preserve"> 321002196705040914;321002196911150321 </t>
  </si>
  <si>
    <t xml:space="preserve">(M)13705277956 </t>
  </si>
  <si>
    <t>江苏省扬州市开发区维扬路140号桂香苑17幢104室;江苏省扬州市开发区维扬路140号桂香苑17幢104室</t>
  </si>
  <si>
    <t>扬州恒大云锦华庭-一期-8-2-1808</t>
  </si>
  <si>
    <t>32830854CB701BB9</t>
  </si>
  <si>
    <t>6f442dd7-df1f-4111-92df-642098203fd4</t>
  </si>
  <si>
    <t>8-201</t>
  </si>
  <si>
    <t>吴小军</t>
  </si>
  <si>
    <t>SP202104240058</t>
  </si>
  <si>
    <t xml:space="preserve">(M)18252515758 </t>
  </si>
  <si>
    <t>江苏省泰兴市黄桥镇吴家庄村五组90号</t>
  </si>
  <si>
    <t>以标准总价为基准计算: (两年优惠分期付款（首付5成） 100% × 网购优惠折扣 90% × 一口价首顶层优惠 88% - 网上购房总价优惠 30000)</t>
  </si>
  <si>
    <t>扬州恒大云锦华庭-一期-8-1-201</t>
  </si>
  <si>
    <t>d7adc81b-c905-47f9-9c21-a32d99ce0090</t>
  </si>
  <si>
    <t>8-202</t>
  </si>
  <si>
    <t>陈玲;沈俊军</t>
  </si>
  <si>
    <t>SP202101280174</t>
  </si>
  <si>
    <t xml:space="preserve"> 321088197703255924;321088197507095919 </t>
  </si>
  <si>
    <t xml:space="preserve">(M)18118245800 </t>
  </si>
  <si>
    <t>恒大宝网上认购默认地址;江苏省江都市大会堂路10号</t>
  </si>
  <si>
    <t>以标准总价为基准计算: (普通组合贷款 100% × 年末冲刺大优惠2 96% × 房车宝推荐折扣 96% × 清尾优惠折扣 95% - 网上购房总价优惠2万元 20000)</t>
  </si>
  <si>
    <t>扬州恒大云锦华庭-一期-8-1-202</t>
  </si>
  <si>
    <t>6ef16cba-00ef-4f62-8c44-04286fe1c72c</t>
  </si>
  <si>
    <t>8-203</t>
  </si>
  <si>
    <t>黄琼</t>
  </si>
  <si>
    <t>SP202101260177</t>
  </si>
  <si>
    <t xml:space="preserve">(M)15298469733 </t>
  </si>
  <si>
    <t>江苏省泗洪县天岗湖乡联淮居民委员会七组159号</t>
  </si>
  <si>
    <t>以标准总价为基准计算: ((普通商业按揭 100% × 年末冲刺大优惠 96% × 自然到访优惠 96% - 网上购房总价优惠2万元 20000) - 恒房通购房券优惠 10000)</t>
  </si>
  <si>
    <t>扬州恒大云锦华庭-一期-8-1-203</t>
  </si>
  <si>
    <t>HFTM9090740141</t>
  </si>
  <si>
    <t>c13471e1-cb52-4350-8337-5d10b54b9e36</t>
  </si>
  <si>
    <t>8-204</t>
  </si>
  <si>
    <t>仇会俊</t>
  </si>
  <si>
    <t>SP202102250006</t>
  </si>
  <si>
    <t xml:space="preserve">(M)17751717085 </t>
  </si>
  <si>
    <t>江苏省扬州市江都区邵伯镇梁庄村湖口组32号</t>
  </si>
  <si>
    <t>新媒体-专业房产APP</t>
  </si>
  <si>
    <t>扬州恒大云锦华庭-一期-8-1-204</t>
  </si>
  <si>
    <t>72c29d89-5a94-41a4-bca0-3d8b5d2df991</t>
  </si>
  <si>
    <t>8-205</t>
  </si>
  <si>
    <t>兰艳;王磊</t>
  </si>
  <si>
    <t>SP202102240044</t>
  </si>
  <si>
    <t xml:space="preserve"> 321027198302210620;320723198109050612 </t>
  </si>
  <si>
    <t xml:space="preserve">(M)15380350768 </t>
  </si>
  <si>
    <t>江苏省扬州市广陵区李典镇伏业村梁小组7号;江苏省灌云县燕尾港镇无名巷69-1号</t>
  </si>
  <si>
    <t>以标准总价为基准计算: (普通组合贷款 100% × 清尾优惠折扣 90.5% × 年末冲刺大优惠3 97% × 房车宝推荐折扣 96% - 网上购房总价优惠2万元 20000)</t>
  </si>
  <si>
    <t>扬州恒大云锦华庭-一期-8-2-205</t>
  </si>
  <si>
    <t>874f81a3-2f8b-4b13-8f9d-8bf2c7ed104d</t>
  </si>
  <si>
    <t>8-206</t>
  </si>
  <si>
    <t>倪云龙;徐巍</t>
  </si>
  <si>
    <t>SP202012030054</t>
  </si>
  <si>
    <t xml:space="preserve"> 321027199112096016;32120219921218392X </t>
  </si>
  <si>
    <t xml:space="preserve">(M)18796609042 </t>
  </si>
  <si>
    <t>江苏省扬州市广陵区沙头镇金富园B区3-3;江苏省泰州市海陵区城东街道魏徐村十一组23号</t>
  </si>
  <si>
    <t>扬州恒大云锦华庭-一期-8-2-206</t>
  </si>
  <si>
    <t>7108fa6f-33a2-48cb-9a2e-1c32517959ab</t>
  </si>
  <si>
    <t>8-207</t>
  </si>
  <si>
    <t>黄晓晨</t>
  </si>
  <si>
    <t xml:space="preserve"> 32102719930725511X </t>
  </si>
  <si>
    <t xml:space="preserve">(M)18952535958 </t>
  </si>
  <si>
    <t>江苏省扬州市广陵区头桥镇头桥村电力组27号</t>
  </si>
  <si>
    <t>以标准总价为基准计算: (两年优惠分期付款（适用2、3、5、6、7、8、9栋） 100% × 清尾优惠折扣 85% × 年末冲刺大优惠3 97% × 自然到访优惠 96% - 网上购房总价优惠2万元 20000)</t>
  </si>
  <si>
    <t>扬州恒大云锦华庭-一期-8-2-207</t>
  </si>
  <si>
    <t>a52cd586-78c5-4970-866a-696ebad6312c</t>
  </si>
  <si>
    <t>8-208</t>
  </si>
  <si>
    <t>孙海;王俐丽</t>
  </si>
  <si>
    <t>SP202103120241</t>
  </si>
  <si>
    <t xml:space="preserve"> 320926197507270018;320926197702270427 </t>
  </si>
  <si>
    <t xml:space="preserve">(M)15851006789 </t>
  </si>
  <si>
    <t>江苏省大丰市大中镇黄海西路49号2幢307室;江苏省大丰市大中镇黄海西路49号2幢307室</t>
  </si>
  <si>
    <t>扬州恒大云锦华庭-一期-8-2-208</t>
  </si>
  <si>
    <t>f5e1bde1-cb9a-47ab-9fa2-08d3973e69d3</t>
  </si>
  <si>
    <t>8-305</t>
  </si>
  <si>
    <t>朱秋香;严淮</t>
  </si>
  <si>
    <t>SP202107130125</t>
  </si>
  <si>
    <t xml:space="preserve"> 320923199009093362;32102719900219511X </t>
  </si>
  <si>
    <t xml:space="preserve">(M)18252722588 </t>
  </si>
  <si>
    <t>江苏省扬州市广陵区头桥镇辉煌门窗 187—3号;江苏省扬州市广陵区头桥镇辉煌门窗 187—3号</t>
  </si>
  <si>
    <t>以标准总价为基准计算: (两年优惠分期付款（适用2、3、5、6、7、8、9栋） 100% × 清尾优惠折扣 90% × 年末冲刺大优惠2 96% × 自然到访优惠 96% - 网上购房总价优惠2万元 20000)</t>
  </si>
  <si>
    <t>扬州恒大云锦华庭-一期-8-2-305</t>
  </si>
  <si>
    <t>47522f9d-a1a8-4d00-ac69-c526ce525f32</t>
  </si>
  <si>
    <t>8-306</t>
  </si>
  <si>
    <t>朱峙弛</t>
  </si>
  <si>
    <t>SP202101190052</t>
  </si>
  <si>
    <t xml:space="preserve">(M)18252718277 </t>
  </si>
  <si>
    <t>江苏省扬州市广陵区李典镇伏业村九西组25号</t>
  </si>
  <si>
    <t>扬州恒大云锦华庭-一期-8-2-306</t>
  </si>
  <si>
    <t>9568414FDF7C044C</t>
  </si>
  <si>
    <t>ef0c2b7c-d150-4cee-92ae-94c3e8e81608</t>
  </si>
  <si>
    <t>8-307</t>
  </si>
  <si>
    <t>王晓华;于小宝</t>
  </si>
  <si>
    <t>SP202101270216</t>
  </si>
  <si>
    <t xml:space="preserve"> 32100219801025304X;320382198108101033 </t>
  </si>
  <si>
    <t xml:space="preserve">(M)19825384376 </t>
  </si>
  <si>
    <t>江苏省扬州市广陵区东关街388号;江苏省扬州市广陵区东关街388号</t>
  </si>
  <si>
    <t>扬州恒大云锦华庭-一期-8-2-307</t>
  </si>
  <si>
    <t>04C4B0DE341DC0DF</t>
  </si>
  <si>
    <t>745d32f0-5c89-4f19-898e-1cd030a12bbc</t>
  </si>
  <si>
    <t>8-308</t>
  </si>
  <si>
    <t>殷成群</t>
  </si>
  <si>
    <t>SP202102200011</t>
  </si>
  <si>
    <t xml:space="preserve">(M)18061831536 </t>
  </si>
  <si>
    <t>江苏省兴化市临城镇瓦庄村160号</t>
  </si>
  <si>
    <t>扬州恒大云锦华庭-一期-8-2-308</t>
  </si>
  <si>
    <t>2082b8f5-b792-4cea-b9c5-7e23f259c59d</t>
  </si>
  <si>
    <t>8-401</t>
  </si>
  <si>
    <t>严桂英;李绪顺</t>
  </si>
  <si>
    <t>SP202101270222</t>
  </si>
  <si>
    <t xml:space="preserve"> 321027196808207008;321027196410276919 </t>
  </si>
  <si>
    <t xml:space="preserve">(M)13338850846 </t>
  </si>
  <si>
    <t>扬州市杭集镇建新东苑9栋202;江苏省扬州市杭集镇建新东苑9栋202</t>
  </si>
  <si>
    <t>扬州恒大云锦华庭-一期-8-1-401</t>
  </si>
  <si>
    <t>223004EE9BAA1674</t>
  </si>
  <si>
    <t>6255ea2f-67da-4706-b829-a11b3169cca9</t>
  </si>
  <si>
    <t>8-402</t>
  </si>
  <si>
    <t>黄经敏;杨丹丹</t>
  </si>
  <si>
    <t>SP202011130040</t>
  </si>
  <si>
    <t xml:space="preserve"> 321023199012036619;321023199010161221 </t>
  </si>
  <si>
    <t xml:space="preserve">(M)19962795907 </t>
  </si>
  <si>
    <t>江苏省苏州市张家港市杨舍镇翡翠公馆34栋308室;江苏省苏州市张家港市杨舍镇翡翠公馆34栋308室</t>
  </si>
  <si>
    <t>扬州恒大云锦华庭-一期-8-1-402</t>
  </si>
  <si>
    <t>bdc9e5b4-bce8-468d-9eb9-e9d80b4e1f0f</t>
  </si>
  <si>
    <t>8-403</t>
  </si>
  <si>
    <t>孙正明;刘彩红</t>
  </si>
  <si>
    <t>SP202102050065</t>
  </si>
  <si>
    <t xml:space="preserve"> 320821196610213335;320821197101063329 </t>
  </si>
  <si>
    <t xml:space="preserve">(M)13705273205 </t>
  </si>
  <si>
    <t>江苏省淮安市淮阴区刘老庄乡马湾村孙庄21号;江苏省淮安市淮阴区刘老庄乡马湾村孙庄21号</t>
  </si>
  <si>
    <t>扬州恒大云锦华庭-一期-8-1-403</t>
  </si>
  <si>
    <t>6F288919E8158CF3</t>
  </si>
  <si>
    <t>6455aad7-1565-4143-9fe2-804618a11f82</t>
  </si>
  <si>
    <t>8-404</t>
  </si>
  <si>
    <t>彭珍珍</t>
  </si>
  <si>
    <t>SP202102040032</t>
  </si>
  <si>
    <t xml:space="preserve">(M)15371258817 </t>
  </si>
  <si>
    <t>安徽省宿州市萧县大屯镇王胡寨行政村何楼自然村50号</t>
  </si>
  <si>
    <t>以标准总价为基准计算: (((普通商业按揭 100% × 年末冲刺大优惠2 96% × 房车宝推荐折扣 96% - 网上购房总价优惠2万元 20000) - 恒房通购房券优惠 10000) - 注册南瓜会员3000元优惠 3000)</t>
  </si>
  <si>
    <t>扬州恒大云锦华庭-一期-8-1-404</t>
  </si>
  <si>
    <t>C4A12074D82AE1A0</t>
  </si>
  <si>
    <t>5E9B4450CAA7245F</t>
  </si>
  <si>
    <t>de9b334d-6a95-4911-b323-152aa9fc5fae</t>
  </si>
  <si>
    <t>8-405</t>
  </si>
  <si>
    <t>黄春阳;黄惠民</t>
  </si>
  <si>
    <t>SP202101210039</t>
  </si>
  <si>
    <t xml:space="preserve"> 321084196701272413;321084199210200013 </t>
  </si>
  <si>
    <t xml:space="preserve">(M)18994850950 </t>
  </si>
  <si>
    <t>扬州市邗江区国宇电子有限公司;扬州市邗江区国宇电子有限公司</t>
  </si>
  <si>
    <t>扬州恒大云锦华庭-一期-8-2-405</t>
  </si>
  <si>
    <t>D5315D2304D171BDA</t>
  </si>
  <si>
    <t>5d736e32-3cab-4967-8186-d22ef8ab2beb</t>
  </si>
  <si>
    <t>8-406</t>
  </si>
  <si>
    <t>夏媛媛</t>
  </si>
  <si>
    <t>SP202012230201</t>
  </si>
  <si>
    <t xml:space="preserve">(M)17605287945 </t>
  </si>
  <si>
    <t>江苏省扬州市广陵区李典镇伏固村张家组23号</t>
  </si>
  <si>
    <t>扬州恒大云锦华庭-一期-8-2-406</t>
  </si>
  <si>
    <t>d8ddd512-236e-437c-9b03-12847e49b9e7</t>
  </si>
  <si>
    <t>8-407</t>
  </si>
  <si>
    <t>徐祥;赵云;徐嘉斌</t>
  </si>
  <si>
    <t>SP202101300151</t>
  </si>
  <si>
    <t xml:space="preserve"> 321027196509186315;321027196808206320;321027199004256318 </t>
  </si>
  <si>
    <t xml:space="preserve">(M)18951449303 </t>
  </si>
  <si>
    <t>江苏省扬州市邗江区沙头镇霍桥集镇富民东路199号;江苏省扬州市邗江区沙头镇霍桥集镇富民东路199号;江苏省扬州市邗江区沙头镇霍桥集镇富民东路199号</t>
  </si>
  <si>
    <t>扬州恒大云锦华庭-一期-8-2-407</t>
  </si>
  <si>
    <t>D3205F02A6E00557</t>
  </si>
  <si>
    <t>3f2f148f-9a8e-4be5-8dad-a55c03b42f36</t>
  </si>
  <si>
    <t>8-408</t>
  </si>
  <si>
    <t>何明桂</t>
  </si>
  <si>
    <t>SP202102210108</t>
  </si>
  <si>
    <t xml:space="preserve">(M)13773450226 </t>
  </si>
  <si>
    <t>江苏省高邮市汤庄镇东屏村四组50号</t>
  </si>
  <si>
    <t>扬州恒大云锦华庭-一期-8-2-408</t>
  </si>
  <si>
    <t>366d64f8-a4cf-4910-9eeb-45deb9bb365d</t>
  </si>
  <si>
    <t>8-501</t>
  </si>
  <si>
    <t>刘文兰;孙子涵</t>
  </si>
  <si>
    <t>SP202012150016</t>
  </si>
  <si>
    <t xml:space="preserve"> 321011196303121224;32100220110920244X </t>
  </si>
  <si>
    <t xml:space="preserve">(M)15062831386 </t>
  </si>
  <si>
    <t>江苏省扬州市广陵区健民路新东路和昌运河东郡3期12-1703;江苏省扬州市广陵区健民路新东路和昌运河东郡3期12-1703</t>
  </si>
  <si>
    <t>扬州恒大云锦华庭-一期-8-1-501</t>
  </si>
  <si>
    <t>be56bc3d-e02f-4774-b663-aa6c175b80e4</t>
  </si>
  <si>
    <t>8-502</t>
  </si>
  <si>
    <t>王清</t>
  </si>
  <si>
    <t>SP202012150069</t>
  </si>
  <si>
    <t xml:space="preserve">(M)18852552877 </t>
  </si>
  <si>
    <t>江苏省扬州市广陵区李典镇小乾村红专组26号</t>
  </si>
  <si>
    <t>以标准总价为基准计算: 普通组合贷款 100% × 渠道折扣 98% × 开盘额外优惠 97% × 佣金抵房款 98%</t>
  </si>
  <si>
    <t>扬州恒大云锦华庭-一期-8-1-502</t>
  </si>
  <si>
    <t>f8abe411-d4bd-4963-99fa-3e6ad8a69b8f</t>
  </si>
  <si>
    <t>8-503</t>
  </si>
  <si>
    <t>上官婉红</t>
  </si>
  <si>
    <t>SP202101060074</t>
  </si>
  <si>
    <t xml:space="preserve"> 41010319681121372X </t>
  </si>
  <si>
    <t xml:space="preserve">(M)13608699000 </t>
  </si>
  <si>
    <t>郑州市中原区互助路15-2-2</t>
  </si>
  <si>
    <t>扬州恒大云锦华庭-一期-8-1-503</t>
  </si>
  <si>
    <t>ec81aa49-e30d-46a3-90bf-1b231fded210</t>
  </si>
  <si>
    <t>8-504</t>
  </si>
  <si>
    <t>焦开伟;吴艳</t>
  </si>
  <si>
    <t>SP202012030080</t>
  </si>
  <si>
    <t xml:space="preserve"> 321027197412296619;321027197206256624 </t>
  </si>
  <si>
    <t xml:space="preserve">(M)13305275019 </t>
  </si>
  <si>
    <t>江苏省扬州市邗江区泰安镇金桥东路24号;江苏省扬州市广陵区泰安镇勤俭村焦庄组8号</t>
  </si>
  <si>
    <t>扬州恒大云锦华庭-一期-8-1-504</t>
  </si>
  <si>
    <t>2e6464d9-2987-4aeb-939a-78736eebf46c</t>
  </si>
  <si>
    <t>8-505</t>
  </si>
  <si>
    <t>胡健;孙爱红</t>
  </si>
  <si>
    <t>SP202011120215</t>
  </si>
  <si>
    <t xml:space="preserve"> 321027199311066610;320882199502064025 </t>
  </si>
  <si>
    <t xml:space="preserve">(M)17751372468 </t>
  </si>
  <si>
    <t>江苏省扬州市广陵区泰安镇勤俭村包院组25号;江苏省扬州市广陵区泰安镇勤俭村包院组25号</t>
  </si>
  <si>
    <t>扬州恒大云锦华庭-一期-8-2-505</t>
  </si>
  <si>
    <t>4f1da92d-f69a-4f74-ba57-60d9b23c7c45</t>
  </si>
  <si>
    <t>8-506</t>
  </si>
  <si>
    <t>孙艺赫</t>
  </si>
  <si>
    <t>SP202011270005</t>
  </si>
  <si>
    <t xml:space="preserve">(M)13514551772 </t>
  </si>
  <si>
    <t>扬州市邗江区鸿大路3号雅居乐花园5-1901</t>
  </si>
  <si>
    <t>扬州恒大云锦华庭-一期-8-2-506</t>
  </si>
  <si>
    <t>fd03c95e-2e59-4fc2-bab8-687609f35315</t>
  </si>
  <si>
    <t>8-507</t>
  </si>
  <si>
    <t>张爱娟</t>
  </si>
  <si>
    <t>SP202103300052</t>
  </si>
  <si>
    <t xml:space="preserve">(M)13270590111 </t>
  </si>
  <si>
    <t>江苏省扬州市邗江区京华城路万豪西花苑墨香轩2栋105</t>
  </si>
  <si>
    <t>扬州恒大云锦华庭-一期-8-2-507</t>
  </si>
  <si>
    <t>8dc2b4ba-5cfb-49e8-9d2c-5702bb6ab817</t>
  </si>
  <si>
    <t>8-508</t>
  </si>
  <si>
    <t>姚美娟</t>
  </si>
  <si>
    <t>SP202102050195</t>
  </si>
  <si>
    <t xml:space="preserve">(M)18061160583 </t>
  </si>
  <si>
    <t>江苏省扬州市广陵区江广智慧城慧景苑7幢1201室</t>
  </si>
  <si>
    <t>扬州恒大云锦华庭-一期-8-2-508</t>
  </si>
  <si>
    <t>85B35262CB9B2AFA</t>
  </si>
  <si>
    <t>cbe9876b-afef-48e4-8c33-026f395b9408</t>
  </si>
  <si>
    <t>8-601</t>
  </si>
  <si>
    <t>陈阳;翁薇</t>
  </si>
  <si>
    <t>SP202012030090</t>
  </si>
  <si>
    <t xml:space="preserve"> 321027198802056914;321027198903176923 </t>
  </si>
  <si>
    <t xml:space="preserve">(M)15150813266 </t>
  </si>
  <si>
    <t>江苏省扬州市邗江区杭集镇龙王路4号天威扬酒店用品有限公司;江苏省扬州市邗江区杭集镇龙王路4号天威扬酒店用品有限公司</t>
  </si>
  <si>
    <t>扬州恒大云锦华庭-一期-8-1-601</t>
  </si>
  <si>
    <t>f5fccf4c-926d-40e3-a06c-497e2ddca5c1</t>
  </si>
  <si>
    <t>8-602</t>
  </si>
  <si>
    <t>潘亚秋</t>
  </si>
  <si>
    <t>SP202101070074</t>
  </si>
  <si>
    <t xml:space="preserve">(M)15651052275 </t>
  </si>
  <si>
    <t>江苏省常州市钟楼区龙江中路86号常州东芝变压器有限公司</t>
  </si>
  <si>
    <t>扬州恒大云锦华庭-一期-8-1-602</t>
  </si>
  <si>
    <t>f2aa5b0d-04f8-4dec-97ef-d16c6d60d2f1</t>
  </si>
  <si>
    <t>8-603</t>
  </si>
  <si>
    <t>董飞跃;李孟丽</t>
  </si>
  <si>
    <t>SP202012030071</t>
  </si>
  <si>
    <t xml:space="preserve"> 341226198908053736;341226199003213760 </t>
  </si>
  <si>
    <t xml:space="preserve">(M)18049994668 </t>
  </si>
  <si>
    <t>扬州市邗江区沙头镇强民村南圩组11号;江苏省扬州市邗江区沙头镇强民村南圩组11号</t>
  </si>
  <si>
    <t>扬州恒大云锦华庭-一期-8-1-603</t>
  </si>
  <si>
    <t>b69b5066-1286-4a16-b836-2f16005fe206</t>
  </si>
  <si>
    <t>8-604</t>
  </si>
  <si>
    <t>丁卫红</t>
  </si>
  <si>
    <t xml:space="preserve">(M)13814466065 </t>
  </si>
  <si>
    <t>江苏省靖江市马桥镇迎祥村施家埭31-1号</t>
  </si>
  <si>
    <t>以标准总价为基准计算: (两年优惠分期付款（适用2、3、5、6、7、8、9栋） 100% × 清尾优惠折扣 94% × 年末冲刺大优惠3 97% × 房车宝推荐折扣 96% - 网上购房总价优惠2万元 20000)</t>
  </si>
  <si>
    <t>扬州恒大云锦华庭-一期-8-1-604</t>
  </si>
  <si>
    <t>a478767f-b52f-41e1-8b13-53f2c99f8aee</t>
  </si>
  <si>
    <t>8-605</t>
  </si>
  <si>
    <t>秦春明;余秧梅;秦琨</t>
  </si>
  <si>
    <t>SP202011120158</t>
  </si>
  <si>
    <t xml:space="preserve"> 321022197502124018;321084197504244469;321084199912194017 </t>
  </si>
  <si>
    <t xml:space="preserve">(M)13773445629 </t>
  </si>
  <si>
    <t>江苏省高邮市三垛镇柳南村二组15号;江苏省高邮市三垛镇柳南村二组15号;高邮市三垛镇柳南村二组15号</t>
  </si>
  <si>
    <t>扬州恒大云锦华庭-一期-8-2-605</t>
  </si>
  <si>
    <t>e9050d0a-4f9e-4cd6-9646-bfe2e99f1d23</t>
  </si>
  <si>
    <t>8-606</t>
  </si>
  <si>
    <t>万广俊;阮方</t>
  </si>
  <si>
    <t>SP202012160036</t>
  </si>
  <si>
    <t xml:space="preserve"> 321088198910301377;612430198711010021 </t>
  </si>
  <si>
    <t xml:space="preserve">(M)15252584395 </t>
  </si>
  <si>
    <t>浙江省杭州市余杭区黄湖镇青山村大马湾六善酒店项目;浙江省杭州市余杭区黄湖镇青山村大马湾六善酒店项目</t>
  </si>
  <si>
    <t>扬州恒大云锦华庭-一期-8-2-606</t>
  </si>
  <si>
    <t>534d5dbf-fa3d-489c-9513-6c73fcb04fc8</t>
  </si>
  <si>
    <t>8-607</t>
  </si>
  <si>
    <t>纪豪;孙慧</t>
  </si>
  <si>
    <t>SP202012160096</t>
  </si>
  <si>
    <t xml:space="preserve"> 321027199402016918;321084199409152426 </t>
  </si>
  <si>
    <t xml:space="preserve">(M)15195560124 </t>
  </si>
  <si>
    <t>江苏省扬州市广陵区杭集镇殷庄小区;江苏省高邮市汉留镇跃进村九组17号</t>
  </si>
  <si>
    <t>扬州恒大云锦华庭-一期-8-2-607</t>
  </si>
  <si>
    <t>fd035f5b-e9bf-4d63-b562-81ba3f1f6bbe</t>
  </si>
  <si>
    <t>8-608</t>
  </si>
  <si>
    <t>陆明龙;王吉平</t>
  </si>
  <si>
    <t>SP202101270053</t>
  </si>
  <si>
    <t xml:space="preserve"> 321088197610042735;321088197810102747 </t>
  </si>
  <si>
    <t xml:space="preserve">(M)13701443764 </t>
  </si>
  <si>
    <t>江苏省扬州市江都区真武镇真北村陆庄组13号;江苏省扬州市江都区真武镇真北村陆庄组13号</t>
  </si>
  <si>
    <t>以标准总价为基准计算: ((普通商业按揭 100% × 年末冲刺大优惠2 96% × 房车宝推荐折扣 96% × 清尾优惠折扣 98% - 网上购房总价优惠2万元 20000) - 恒房通购房券优惠 10000)</t>
  </si>
  <si>
    <t>扬州恒大云锦华庭-一期-8-2-608</t>
  </si>
  <si>
    <t>2AEB207B94A2A977</t>
  </si>
  <si>
    <t>6d5d293d-7513-44dd-ac18-e0385eab6927</t>
  </si>
  <si>
    <t>8-701</t>
  </si>
  <si>
    <t>高元杰;朱国琴</t>
  </si>
  <si>
    <t>SP202011260080</t>
  </si>
  <si>
    <t xml:space="preserve"> 32102719870724663X;341181198709245427 </t>
  </si>
  <si>
    <t xml:space="preserve">(M)15305270715 </t>
  </si>
  <si>
    <t>江苏省扬州市广陵区湾头镇1912小镇深潜星宿酒店;江苏省扬州市广陵区泰安镇金湾村金湾组2号</t>
  </si>
  <si>
    <t>扬州恒大云锦华庭-一期-8-1-701</t>
  </si>
  <si>
    <t>cd65cf59-43cc-4b0e-b7ec-7c4ab365e866</t>
  </si>
  <si>
    <t>8-702</t>
  </si>
  <si>
    <t>周庆军;史九香</t>
  </si>
  <si>
    <t>SP202011260107</t>
  </si>
  <si>
    <t xml:space="preserve"> 321022197308075814;321084197611105827 </t>
  </si>
  <si>
    <t xml:space="preserve">(M)15026916266 </t>
  </si>
  <si>
    <t>江苏省高邮市临泽镇董潭村五组21号;江苏省高邮市临泽镇董潭村五组21号</t>
  </si>
  <si>
    <t>扬州恒大云锦华庭-一期-8-1-702</t>
  </si>
  <si>
    <t>704a1e4b-034f-497c-a050-27ca90cfb559</t>
  </si>
  <si>
    <t>8-703</t>
  </si>
  <si>
    <t>张楚凡</t>
  </si>
  <si>
    <t>SP202102240164</t>
  </si>
  <si>
    <t xml:space="preserve">(M)15050734928 </t>
  </si>
  <si>
    <t>江苏省扬州市广陵区安康路8号55幢304室</t>
  </si>
  <si>
    <t>扬州恒大云锦华庭-一期-8-1-703</t>
  </si>
  <si>
    <t>AFF7DDA0C29BF6EA</t>
  </si>
  <si>
    <t>13b4932d-52c4-4cac-9073-96fdceeb4e90</t>
  </si>
  <si>
    <t>8-704</t>
  </si>
  <si>
    <t>朱盼</t>
  </si>
  <si>
    <t>SP202012020040</t>
  </si>
  <si>
    <t xml:space="preserve">(M)17605148300 </t>
  </si>
  <si>
    <t>江苏省江都市大桥镇波斯村第六组23号</t>
  </si>
  <si>
    <t>扬州恒大云锦华庭-一期-8-1-704</t>
  </si>
  <si>
    <t>a069a913-0878-4274-bb12-25dc46e55fa7</t>
  </si>
  <si>
    <t>8-705</t>
  </si>
  <si>
    <t>严飞;王艳</t>
  </si>
  <si>
    <t>SP202011260021</t>
  </si>
  <si>
    <t xml:space="preserve"> 321027197806256919;321027198305116920 </t>
  </si>
  <si>
    <t xml:space="preserve">(M)13921907849 </t>
  </si>
  <si>
    <t>江苏省扬州市邗江区杭集镇王集村红旗组2号;江苏省扬州市广陵区杭集镇王集村红旗组2号</t>
  </si>
  <si>
    <t>扬州恒大云锦华庭-一期-8-2-705</t>
  </si>
  <si>
    <t>b6d23de2-1f28-43ff-8536-f96e4ef93740</t>
  </si>
  <si>
    <t>8-706</t>
  </si>
  <si>
    <t>吉艳红;李连海</t>
  </si>
  <si>
    <t>SP202012160065</t>
  </si>
  <si>
    <t xml:space="preserve"> 612102197810140327;513030197804087619 </t>
  </si>
  <si>
    <t xml:space="preserve">(M)18961370933 </t>
  </si>
  <si>
    <t>江苏省连云港市海州区中央华府C2-601;江苏省连云港市海州区中央华府C2-601</t>
  </si>
  <si>
    <t>扬州恒大云锦华庭-一期-8-2-706</t>
  </si>
  <si>
    <t>8321e02c-940e-4b5e-931e-42e2c8e31d26</t>
  </si>
  <si>
    <t>8-707</t>
  </si>
  <si>
    <t>陆溶溶</t>
  </si>
  <si>
    <t>SP202012020048</t>
  </si>
  <si>
    <t xml:space="preserve">(M)18118257812 (O)13301455300 </t>
  </si>
  <si>
    <t>江苏省扬州市开发区开发西路88号342栋</t>
  </si>
  <si>
    <t>扬州恒大云锦华庭-一期-8-2-707</t>
  </si>
  <si>
    <t>d6f478b3-f852-4f7c-b58d-7fc6d0e8b484</t>
  </si>
  <si>
    <t>8-708</t>
  </si>
  <si>
    <t>宦继陈</t>
  </si>
  <si>
    <t>SP202012020068</t>
  </si>
  <si>
    <t xml:space="preserve">(M)18852898200 (O)15190418870 </t>
  </si>
  <si>
    <t>江苏省扬州市江都区丁伙镇丁南村华伦组40号</t>
  </si>
  <si>
    <t>扬州恒大云锦华庭-一期-8-2-708</t>
  </si>
  <si>
    <t>e184c865-a12a-48ab-82d3-0fdcc5f2ab2b</t>
  </si>
  <si>
    <t>8-801</t>
  </si>
  <si>
    <t>王恒凤</t>
  </si>
  <si>
    <t>SP202101060087</t>
  </si>
  <si>
    <t xml:space="preserve">(M)13801458955 </t>
  </si>
  <si>
    <t>江苏省扬州市广陵区杭集镇新生村坝东组29号</t>
  </si>
  <si>
    <t>扬州恒大云锦华庭-一期-8-1-801</t>
  </si>
  <si>
    <t>0fc029cd-93ed-4e0e-8956-540290a2652c</t>
  </si>
  <si>
    <t>8-802</t>
  </si>
  <si>
    <t>季锋;华文莹</t>
  </si>
  <si>
    <t>SP202012160217</t>
  </si>
  <si>
    <t xml:space="preserve"> 321088198611226311;320831198708021640 </t>
  </si>
  <si>
    <t xml:space="preserve">(M)18952785826 </t>
  </si>
  <si>
    <t>扬州市广陵区江广智慧城2-1603;扬州市广陵区江广智慧城2-1603</t>
  </si>
  <si>
    <t>扬州恒大云锦华庭-一期-8-1-802</t>
  </si>
  <si>
    <t>e6d8364d-2b2e-41ad-9ade-fbb3e491b246</t>
  </si>
  <si>
    <t>8-803</t>
  </si>
  <si>
    <t>朱正兰;杨宝生</t>
  </si>
  <si>
    <t>SP202012160218</t>
  </si>
  <si>
    <t xml:space="preserve"> 321023196704021449;321023196507281452 </t>
  </si>
  <si>
    <t xml:space="preserve">(M)15050706470 </t>
  </si>
  <si>
    <t>江苏省宝应县山阳镇公民村前进组13号;江苏省宝应县山阳镇公民村前进组13号</t>
  </si>
  <si>
    <t>扬州恒大云锦华庭-一期-8-1-803</t>
  </si>
  <si>
    <t>5ce806be-d14f-41ae-b770-39dc64e40be3</t>
  </si>
  <si>
    <t>8-804</t>
  </si>
  <si>
    <t>蒋妹;张文豪</t>
  </si>
  <si>
    <t>SP202012160001</t>
  </si>
  <si>
    <t xml:space="preserve"> 321027197310136323;321027199808090034 </t>
  </si>
  <si>
    <t xml:space="preserve">(M)18061836759 </t>
  </si>
  <si>
    <t>江苏省扬州市广陵区流水桥12号12-11室;江苏省扬州市广陵区流水桥12号</t>
  </si>
  <si>
    <t>以标准总价为基准计算: (首付优惠按揭付款 100% - 总价优惠 -19249)</t>
  </si>
  <si>
    <t>扬州恒大云锦华庭-一期-8-1-804</t>
  </si>
  <si>
    <t>ecd7ef8b-7545-4905-8be1-d4cf12e7a590</t>
  </si>
  <si>
    <t>8-805</t>
  </si>
  <si>
    <t>顾金山;桂有云;顾杰</t>
  </si>
  <si>
    <t>SP202011130003</t>
  </si>
  <si>
    <t xml:space="preserve"> 321023197506064012;321023197507074028;321023200002264031 </t>
  </si>
  <si>
    <t xml:space="preserve">(M)13852521610 </t>
  </si>
  <si>
    <t>江苏省宝应县夏集镇双琚村新河组45号;江苏省宝应县夏集镇双琚村新河45号;江苏省宝应县夏集镇双琚村新河组45号</t>
  </si>
  <si>
    <t>扬州恒大云锦华庭-一期-8-2-805</t>
  </si>
  <si>
    <t>e94f3810-131b-47a9-b064-ac5b89d08432</t>
  </si>
  <si>
    <t>8-806</t>
  </si>
  <si>
    <t>许水芹</t>
  </si>
  <si>
    <t>SP202011130082</t>
  </si>
  <si>
    <t xml:space="preserve">(M)18052599170 </t>
  </si>
  <si>
    <t>江苏省扬州市广陵区李典镇秀清村顺和组23号</t>
  </si>
  <si>
    <t>扬州恒大云锦华庭-一期-8-2-806</t>
  </si>
  <si>
    <t>b49dc7c3-ed11-4731-8020-58011ae02315</t>
  </si>
  <si>
    <t>8-807</t>
  </si>
  <si>
    <t>孙剑斌</t>
  </si>
  <si>
    <t>SP202012150108</t>
  </si>
  <si>
    <t xml:space="preserve">(M)13375280343 </t>
  </si>
  <si>
    <t>江苏省扬州市广陵区信息产业园1期7号楼</t>
  </si>
  <si>
    <t>扬州恒大云锦华庭-一期-8-2-807</t>
  </si>
  <si>
    <t>63c0d9a8-f552-4ee2-bdd0-2db930bcf2a0</t>
  </si>
  <si>
    <t>8-808</t>
  </si>
  <si>
    <t>陶志林;陈春花</t>
  </si>
  <si>
    <t>SP202101310094</t>
  </si>
  <si>
    <t xml:space="preserve"> 321027198107206933;612422198601294828 </t>
  </si>
  <si>
    <t xml:space="preserve">(M)15062792037 </t>
  </si>
  <si>
    <t>江苏省扬州市邗江区杭集镇王集村刘二组24号;江苏省扬州市邗江区杭集镇王集村刘二组24号</t>
  </si>
  <si>
    <t>以标准总价为基准计算: ((两年分期付款 100% × 年末冲刺大优惠2 96% × 房车宝推荐折扣 96% × 清尾优惠折扣 98% - 恒房通购房券优惠 10000) - 网上购房总价优惠2万元 20000)</t>
  </si>
  <si>
    <t>扬州恒大云锦华庭-一期-8-2-808</t>
  </si>
  <si>
    <t>98BA6B02B946C252</t>
  </si>
  <si>
    <t>fead510e-8a11-48ac-9b19-bb273bba9c51</t>
  </si>
  <si>
    <t>8-901</t>
  </si>
  <si>
    <t>马小芳</t>
  </si>
  <si>
    <t>SP202101280006</t>
  </si>
  <si>
    <t xml:space="preserve">(M)18362425010 </t>
  </si>
  <si>
    <t>江苏省扬州市宝应县曹甸镇宝乐实业有限公司（宝乐大厦）</t>
  </si>
  <si>
    <t>扬州恒大云锦华庭-一期-8-1-901</t>
  </si>
  <si>
    <t>53328EB46E3CC227</t>
  </si>
  <si>
    <t>67110cb1-4db7-4ec7-8afb-919e0e3256cc</t>
  </si>
  <si>
    <t>8-902</t>
  </si>
  <si>
    <t>肖建国;肖遥</t>
  </si>
  <si>
    <t>SP202012020075</t>
  </si>
  <si>
    <t xml:space="preserve"> 321025197206071010;321002199911025815 </t>
  </si>
  <si>
    <t xml:space="preserve">(M)18136550895;13004319433 </t>
  </si>
  <si>
    <t>江苏省扬州市广陵区翠月西苑18-705;江苏省扬州市广陵区翠月西苑18-705</t>
  </si>
  <si>
    <t>扬州恒大云锦华庭-一期-8-1-902</t>
  </si>
  <si>
    <t>293f8731-1561-4960-b83a-45551fb1a56c</t>
  </si>
  <si>
    <t>8-903</t>
  </si>
  <si>
    <t>朱凤鸣;刘粉扣</t>
  </si>
  <si>
    <t>SP202012160005</t>
  </si>
  <si>
    <t xml:space="preserve"> 321088199311145944;321088196904156514 </t>
  </si>
  <si>
    <t xml:space="preserve">(M)17798596001 </t>
  </si>
  <si>
    <t>江苏省扬州市江都区大桥中闸桥兰百货超市;江苏省江都市大桥镇童兴村赵庄组20号</t>
  </si>
  <si>
    <t>扬州恒大云锦华庭-一期-8-1-903</t>
  </si>
  <si>
    <t>2e0865cd-607b-4f1c-ac42-6fed7e91cf3b</t>
  </si>
  <si>
    <t>8-904</t>
  </si>
  <si>
    <t>刘骏</t>
  </si>
  <si>
    <t>SP202012250130</t>
  </si>
  <si>
    <t xml:space="preserve">(M)15050277877 </t>
  </si>
  <si>
    <t>江苏省江都市真武镇振兴村刘庄组12号</t>
  </si>
  <si>
    <t>扬州恒大云锦华庭-一期-8-1-904</t>
  </si>
  <si>
    <t>8A2B29BD1DE6D35B</t>
  </si>
  <si>
    <t>68ca81c5-2eb7-46e4-9bdd-673934ebc18d</t>
  </si>
  <si>
    <t>8-905</t>
  </si>
  <si>
    <t>陈桂花</t>
  </si>
  <si>
    <t>SP202012230059</t>
  </si>
  <si>
    <t xml:space="preserve">(M)15905277489 </t>
  </si>
  <si>
    <t>江苏省扬州市广陵区沙头镇三星东路45号</t>
  </si>
  <si>
    <t>线下推广-项目推介会</t>
  </si>
  <si>
    <t>扬州恒大云锦华庭-一期-8-2-905</t>
  </si>
  <si>
    <t>950cf954-b51c-4b50-9bdd-f7f421b08678</t>
  </si>
  <si>
    <t>8-906</t>
  </si>
  <si>
    <t>陈加梅</t>
  </si>
  <si>
    <t>SP202012090028</t>
  </si>
  <si>
    <t xml:space="preserve">(M)19952450919 (O)18994872919 </t>
  </si>
  <si>
    <t>江苏省扬州市广陵区杭集镇八圩村何庄组7号</t>
  </si>
  <si>
    <t>扬州恒大云锦华庭-一期-8-2-906</t>
  </si>
  <si>
    <t>dd8157fb-d270-4453-9552-a7b8eef477e7</t>
  </si>
  <si>
    <t>8-907</t>
  </si>
  <si>
    <t>陈锦</t>
  </si>
  <si>
    <t>SP202103100109</t>
  </si>
  <si>
    <t xml:space="preserve">(M)18205150310 </t>
  </si>
  <si>
    <t>江苏省扬州市广陵区李典镇黄桥村东拾组36号</t>
  </si>
  <si>
    <t>扬州恒大云锦华庭-一期-8-2-907</t>
  </si>
  <si>
    <t>8E20A836AE8948C8</t>
  </si>
  <si>
    <t>e502eb3a-4f4a-403c-b1cd-9d5a6ad6a890</t>
  </si>
  <si>
    <t>8-908</t>
  </si>
  <si>
    <t>向亚萍</t>
  </si>
  <si>
    <t>SP202012090046</t>
  </si>
  <si>
    <t xml:space="preserve">(M)17715857290 </t>
  </si>
  <si>
    <t>江苏省江都市邵伯镇梁庄村江庄组14－2号</t>
  </si>
  <si>
    <t>扬州恒大云锦华庭-一期-8-2-908</t>
  </si>
  <si>
    <t>cc2f6142-2762-4430-a4e8-e96189764657</t>
  </si>
  <si>
    <t>9-1001</t>
  </si>
  <si>
    <t>张保红;周学元</t>
  </si>
  <si>
    <t>SP202011270009</t>
  </si>
  <si>
    <t xml:space="preserve"> 320831197905012423;321023197801161632 </t>
  </si>
  <si>
    <t xml:space="preserve">(M)15150879395 </t>
  </si>
  <si>
    <t>江苏省宝应县夏集镇子婴河集镇王营路130号;江苏省宝应县夏集镇子婴河集镇王营路130号</t>
  </si>
  <si>
    <t>扬州恒大云锦华庭-一期-9-1001</t>
  </si>
  <si>
    <t>2017豪装+4</t>
  </si>
  <si>
    <t>168e0f87-3737-494a-854c-695e9adc201b</t>
  </si>
  <si>
    <t>9-1002</t>
  </si>
  <si>
    <t>刘妍</t>
  </si>
  <si>
    <t>SP202012090125</t>
  </si>
  <si>
    <t xml:space="preserve"> 32108819930614340X </t>
  </si>
  <si>
    <t xml:space="preserve">(M)15189838893 </t>
  </si>
  <si>
    <t>扬州市广陵区信息产业园九味十全超市</t>
  </si>
  <si>
    <t>扬州恒大云锦华庭-一期-9-1002</t>
  </si>
  <si>
    <t>43629ac5-d5da-4674-a046-5db5d6e23b45</t>
  </si>
  <si>
    <t>9-1003</t>
  </si>
  <si>
    <t>董香玲;栾菊林</t>
  </si>
  <si>
    <t>SP202012240010</t>
  </si>
  <si>
    <t xml:space="preserve"> 321027197112010623;321027197111195419 </t>
  </si>
  <si>
    <t xml:space="preserve">(M)18061158682 </t>
  </si>
  <si>
    <t>江苏省扬州市邗江区李典镇金虎豹服饰工厂;江苏省扬州市邗江区李典镇金虎豹服饰工厂</t>
  </si>
  <si>
    <t>扬州恒大云锦华庭-一期-9-1003</t>
  </si>
  <si>
    <t>8e4ff681-a128-49fe-93bb-4780bd5b3379</t>
  </si>
  <si>
    <t>9-1004</t>
  </si>
  <si>
    <t>马越;巫云</t>
  </si>
  <si>
    <t>SP202012080083</t>
  </si>
  <si>
    <t xml:space="preserve"> 321283199407049059;341204199502091421 </t>
  </si>
  <si>
    <t xml:space="preserve">(M)18551108811 </t>
  </si>
  <si>
    <t>江苏省扬州市广陵区湾头镇声谷二期京东大厦;江苏省扬州市广陵区湾头镇声谷二期京东大厦</t>
  </si>
  <si>
    <t>扬州恒大云锦华庭-一期-9-1004</t>
  </si>
  <si>
    <t>ed8ddd8d-63aa-44cb-9ee6-38155b1ee4bf</t>
  </si>
  <si>
    <t>9-101</t>
  </si>
  <si>
    <t>闻秀;王祥</t>
  </si>
  <si>
    <t>SP202101260199</t>
  </si>
  <si>
    <t xml:space="preserve"> 320924198212303849;321027198112065418 </t>
  </si>
  <si>
    <t xml:space="preserve">(M)15161841058 </t>
  </si>
  <si>
    <t>江苏省扬州市广陵区李典镇新坝街中铁宝桥南公寓门卫;江苏省扬州市广陵区李典镇新坝街中铁宝桥南公寓门卫</t>
  </si>
  <si>
    <t>以标准总价为基准计算: (普通组合贷款 100% × 房车宝推荐折扣 96% × 年末冲刺大优惠2 96% × 清尾优惠折扣 94% - 网上购房总价优惠2万元 20000)</t>
  </si>
  <si>
    <t>扬州恒大云锦华庭-一期-9-101</t>
  </si>
  <si>
    <t>889473da-14a7-48a0-a584-d7eb0fcc2f67</t>
  </si>
  <si>
    <t>9-104</t>
  </si>
  <si>
    <t>方峥</t>
  </si>
  <si>
    <t xml:space="preserve">(M)13611591801 </t>
  </si>
  <si>
    <t>江苏省扬州市邗江区新城河路8号熙华府4幢3204室</t>
  </si>
  <si>
    <t>扬州恒大云锦华庭-一期-9-104</t>
  </si>
  <si>
    <t>42ade2f5-edfa-4daa-a108-0a13d8bc9b48</t>
  </si>
  <si>
    <t>9-1101</t>
  </si>
  <si>
    <t>龚春燕</t>
  </si>
  <si>
    <t>SP202011270075</t>
  </si>
  <si>
    <t xml:space="preserve">(M)13775657185 </t>
  </si>
  <si>
    <t>江苏省兴化市万嘉名城4-303</t>
  </si>
  <si>
    <t>扬州恒大云锦华庭-一期-9-1101</t>
  </si>
  <si>
    <t>4dde1157-5c6c-450c-844b-933e516c9dea</t>
  </si>
  <si>
    <t>9-1102</t>
  </si>
  <si>
    <t>王平;李玉</t>
  </si>
  <si>
    <t>SP202012080029</t>
  </si>
  <si>
    <t xml:space="preserve"> 321027198204086937;321027198409236927 </t>
  </si>
  <si>
    <t xml:space="preserve">(M)18932372630 </t>
  </si>
  <si>
    <t>江苏省扬州市广陵区杭集镇江广之星花园12幢一单元402室;江苏省扬州市广陵区杭集镇江广之星花园12幢一单元402室</t>
  </si>
  <si>
    <t>扬州恒大云锦华庭-一期-9-1102</t>
  </si>
  <si>
    <t>ec620792-158b-4be4-8b4d-e10a2850e662</t>
  </si>
  <si>
    <t>9-1103</t>
  </si>
  <si>
    <t>王军;陈凤</t>
  </si>
  <si>
    <t>SP202104080101</t>
  </si>
  <si>
    <t xml:space="preserve"> 321027197110070630;321027197106160625 </t>
  </si>
  <si>
    <t xml:space="preserve">(M)13182001136 </t>
  </si>
  <si>
    <t>江苏省扬州市邗江区李典镇田桥村沙东组12号;江苏省扬州市邗江区李典镇田桥村沙东组12号</t>
  </si>
  <si>
    <t>扬州恒大云锦华庭-一期-9-1103</t>
  </si>
  <si>
    <t>cacf9f38-44b5-4253-b7ef-7f58709068fe</t>
  </si>
  <si>
    <t>9-1104</t>
  </si>
  <si>
    <t>徐阳</t>
  </si>
  <si>
    <t>SP202012080160</t>
  </si>
  <si>
    <t xml:space="preserve">(M)13852207562 </t>
  </si>
  <si>
    <t>江苏省扬州市江都区大桥镇塌扒街84号</t>
  </si>
  <si>
    <t>扬州恒大云锦华庭-一期-9-1104</t>
  </si>
  <si>
    <t>d454f80e-31d0-4430-9331-2b3397f4ff73</t>
  </si>
  <si>
    <t>9-1201</t>
  </si>
  <si>
    <t>李君;梁敏</t>
  </si>
  <si>
    <t>SP202012020049</t>
  </si>
  <si>
    <t xml:space="preserve"> 340825199706044516;321322199503076025 </t>
  </si>
  <si>
    <t xml:space="preserve">(M)13855687584 </t>
  </si>
  <si>
    <t>扬州市邗江区上房寺路月明东苑3-302;江苏省沭阳县塘沟镇碾盘村7组10号</t>
  </si>
  <si>
    <t>扬州恒大云锦华庭-一期-9-1201</t>
  </si>
  <si>
    <t>0aec826f-c322-4889-8e34-77d78f7298cd</t>
  </si>
  <si>
    <t>9-1202</t>
  </si>
  <si>
    <t>费菲</t>
  </si>
  <si>
    <t>SP202012090112</t>
  </si>
  <si>
    <t xml:space="preserve">(M)17351352898 </t>
  </si>
  <si>
    <t>扬州市广陵区李典镇田桥村利民组6号</t>
  </si>
  <si>
    <t>扬州恒大云锦华庭-一期-9-1202</t>
  </si>
  <si>
    <t>8ddea22e-ea3d-4c23-938d-acab4c60731d</t>
  </si>
  <si>
    <t>9-1203</t>
  </si>
  <si>
    <t>洪月明</t>
  </si>
  <si>
    <t>SP202012030111</t>
  </si>
  <si>
    <t xml:space="preserve">(M)15366897577 </t>
  </si>
  <si>
    <t>江苏省仪征市长江东路迎江西村7幢304室</t>
  </si>
  <si>
    <t>扬州恒大云锦华庭-一期-9-1203</t>
  </si>
  <si>
    <t>c78f67ce-e444-45bb-9211-fc123e33ef9f</t>
  </si>
  <si>
    <t>9-1204</t>
  </si>
  <si>
    <t>田震;马忠年</t>
  </si>
  <si>
    <t>SP202011260126</t>
  </si>
  <si>
    <t xml:space="preserve"> 321026197701153992;321088197702193960 </t>
  </si>
  <si>
    <t xml:space="preserve">(M)13605258540 </t>
  </si>
  <si>
    <t>江苏省江都市丁沟镇麻村村后巷组34号;江苏省江都市丁沟镇麻村村后巷组34号</t>
  </si>
  <si>
    <t>扬州恒大云锦华庭-一期-9-1204</t>
  </si>
  <si>
    <t>c7070806-8864-4e03-9bd7-170c4090dd7e</t>
  </si>
  <si>
    <t>9-1301</t>
  </si>
  <si>
    <t>方培梅;蔡祥坚</t>
  </si>
  <si>
    <t>SP202012230195</t>
  </si>
  <si>
    <t xml:space="preserve"> 321023196412252421;321023196109222430 </t>
  </si>
  <si>
    <t xml:space="preserve">(M)15366919538 </t>
  </si>
  <si>
    <t>扬州市宝应县鲁垛镇祥济大药房;扬州市宝应县鲁垛镇祥济大药房</t>
  </si>
  <si>
    <t>扬州恒大云锦华庭-一期-9-1301</t>
  </si>
  <si>
    <t>bdd83157-2abf-4968-b6fe-20654b89f5f8</t>
  </si>
  <si>
    <t>9-1302</t>
  </si>
  <si>
    <t>陆兆兵;汤宏霞</t>
  </si>
  <si>
    <t>SP202012020012</t>
  </si>
  <si>
    <t xml:space="preserve"> 321027197810076339;321027197904146027 </t>
  </si>
  <si>
    <t xml:space="preserve">(M)13952749897 </t>
  </si>
  <si>
    <t>江苏省扬州市邗江区沙头镇强民村八圩组5号;江苏省扬州市邗江区沙头镇强民村八圩组5号</t>
  </si>
  <si>
    <t>扬州恒大云锦华庭-一期-9-1302</t>
  </si>
  <si>
    <t>e2bafe4a-5ee7-4da9-a1b0-a1fbd9b1923f</t>
  </si>
  <si>
    <t>9-1303</t>
  </si>
  <si>
    <t>朱学泳</t>
  </si>
  <si>
    <t>SP202012160170</t>
  </si>
  <si>
    <t xml:space="preserve">(M)13952766850 </t>
  </si>
  <si>
    <t>江苏省江都市大桥镇育才路32号</t>
  </si>
  <si>
    <t>以标准总价为基准计算: (普通公积金按揭 100% - 总价优惠 -3950)</t>
  </si>
  <si>
    <t>扬州恒大云锦华庭-一期-9-1303</t>
  </si>
  <si>
    <t>fce77421-a7c6-43df-b491-8ee4b859855a</t>
  </si>
  <si>
    <t>9-1304</t>
  </si>
  <si>
    <t>谢杰;罗月芳</t>
  </si>
  <si>
    <t>SP202011270017</t>
  </si>
  <si>
    <t xml:space="preserve"> 321088198608234855;321121198701153624 </t>
  </si>
  <si>
    <t xml:space="preserve">(M)15905256367 </t>
  </si>
  <si>
    <t>江苏省江都市邵伯镇镇南村谢东组2号;江苏省江都市邵伯镇谢庄村谢东组2号</t>
  </si>
  <si>
    <t>扬州恒大云锦华庭-一期-9-1304</t>
  </si>
  <si>
    <t>89c48425-b7b7-4d7a-ba2e-4d87575d1b8d</t>
  </si>
  <si>
    <t>9-1401</t>
  </si>
  <si>
    <t>程霈</t>
  </si>
  <si>
    <t>SP202102210027</t>
  </si>
  <si>
    <t xml:space="preserve">(M)13951152158 </t>
  </si>
  <si>
    <t>江苏省兴化市海池花园10幢205室</t>
  </si>
  <si>
    <t>以标准总价为基准计算: ((两年分期付款 100% × 自然到访优惠 96% × 年末冲刺大优惠2 96% × 清尾优惠折扣 96% - 注册认证精英会员1万元优惠 10000) - 网上购房总价优惠2万元 20000)</t>
  </si>
  <si>
    <t>扬州恒大云锦华庭-一期-9-1401</t>
  </si>
  <si>
    <t>B211F407E9D04674</t>
  </si>
  <si>
    <t>ab42cff6-4dae-4197-8bb3-1c57edf07375</t>
  </si>
  <si>
    <t>9-1402</t>
  </si>
  <si>
    <t>龚剑威</t>
  </si>
  <si>
    <t>SP202011270034</t>
  </si>
  <si>
    <t xml:space="preserve">(M)13914493593 </t>
  </si>
  <si>
    <t>江苏省扬州市江都区大桥镇昌勋村中槐组103号</t>
  </si>
  <si>
    <t>扬州恒大云锦华庭-一期-9-1402</t>
  </si>
  <si>
    <t>279d62a6-5f8a-4bdb-8e88-27b8d5481bcc</t>
  </si>
  <si>
    <t>9-1403</t>
  </si>
  <si>
    <t>胡秀芹;单成功</t>
  </si>
  <si>
    <t>SP202011130094</t>
  </si>
  <si>
    <t xml:space="preserve"> 320825197509245324;320825197605284737 </t>
  </si>
  <si>
    <t xml:space="preserve">(M)13921900530 </t>
  </si>
  <si>
    <t>江苏省扬州市广陵区水致祥巷6号;江苏省扬州市广陵区水致祥巷6号</t>
  </si>
  <si>
    <t>扬州恒大云锦华庭-一期-9-1403</t>
  </si>
  <si>
    <t>b65b222c-1a7b-4c5f-936a-b19a4f5d55e8</t>
  </si>
  <si>
    <t>9-1404</t>
  </si>
  <si>
    <t>徐春玉</t>
  </si>
  <si>
    <t>SP202011120077</t>
  </si>
  <si>
    <t xml:space="preserve"> 32102719881125332X </t>
  </si>
  <si>
    <t xml:space="preserve">(M)13390643110 </t>
  </si>
  <si>
    <t>江苏省扬州市邗江区杨寿镇爱国村徐庄组13号</t>
  </si>
  <si>
    <t>扬州恒大云锦华庭-一期-9-1404</t>
  </si>
  <si>
    <t>5c6b4837-b4d1-48ca-b0fc-22d20128f462</t>
  </si>
  <si>
    <t>9-1501</t>
  </si>
  <si>
    <t>胡根年;周娟</t>
  </si>
  <si>
    <t>SP202011260116</t>
  </si>
  <si>
    <t xml:space="preserve"> 34088119861105593X;340823199011227540 </t>
  </si>
  <si>
    <t xml:space="preserve">(M)13773382708 </t>
  </si>
  <si>
    <t>江苏省扬州市江都区文昌东路新加坡花园32幢3104室;江苏省扬州市江都区文昌东路1168号2幢3104室</t>
  </si>
  <si>
    <t>扬州恒大云锦华庭-一期-9-1501</t>
  </si>
  <si>
    <t>7a2dc14a-df1d-46ee-96c8-b83179c11525</t>
  </si>
  <si>
    <t>9-1502</t>
  </si>
  <si>
    <t>朱倩</t>
  </si>
  <si>
    <t>SP202012150231</t>
  </si>
  <si>
    <t xml:space="preserve">(M)13082565107 </t>
  </si>
  <si>
    <t>江苏省扬州市广陵区明发江湾21-501</t>
  </si>
  <si>
    <t>扬州恒大云锦华庭-一期-9-1502</t>
  </si>
  <si>
    <t>b7ffb155-9b56-480d-86cd-f7621787aafe</t>
  </si>
  <si>
    <t>9-1503</t>
  </si>
  <si>
    <t>王坤</t>
  </si>
  <si>
    <t>SP202011120090</t>
  </si>
  <si>
    <t xml:space="preserve">(M)19975078663 </t>
  </si>
  <si>
    <t>江苏省扬州市广陵区李典镇李典村唐家组27号</t>
  </si>
  <si>
    <t>扬州恒大云锦华庭-一期-9-1503</t>
  </si>
  <si>
    <t>8d61250b-5173-4246-8997-24478e5709fc</t>
  </si>
  <si>
    <t>9-1504</t>
  </si>
  <si>
    <t>潘学梅;梁文斌;梁明涛</t>
  </si>
  <si>
    <t>SP202102190053</t>
  </si>
  <si>
    <t xml:space="preserve"> 321027197403120646;321027197108036011;32102719971006601X </t>
  </si>
  <si>
    <t xml:space="preserve">(M)13921905933 </t>
  </si>
  <si>
    <t>江苏省扬州市邗江区沙头镇育新村万字组26号;江苏省扬州市邗江区沙头镇育新村万字组26号;扬州市广陵区沙头镇育新村万字组26号</t>
  </si>
  <si>
    <t>扬州恒大云锦华庭-一期-9-1504</t>
  </si>
  <si>
    <t>345888aa-f678-422d-9d1d-6b3c44cc31f0</t>
  </si>
  <si>
    <t>9-1601</t>
  </si>
  <si>
    <t>毛静</t>
  </si>
  <si>
    <t>SP202011260133</t>
  </si>
  <si>
    <t xml:space="preserve">(M)18652787956 </t>
  </si>
  <si>
    <t>扬州市邗江区八里镇晶福源212-1306</t>
  </si>
  <si>
    <t>扬州恒大云锦华庭-一期-9-1601</t>
  </si>
  <si>
    <t>7c8e3cd6-88f9-482e-95a2-45c2ea1bac78</t>
  </si>
  <si>
    <t>9-1602</t>
  </si>
  <si>
    <t>包玉倩</t>
  </si>
  <si>
    <t>SP202012310047</t>
  </si>
  <si>
    <t xml:space="preserve">(M)15366909160 </t>
  </si>
  <si>
    <t>江苏省扬州市开发区施桥镇孙集村朱庄组5号</t>
  </si>
  <si>
    <t>扬州恒大云锦华庭-一期-9-1602</t>
  </si>
  <si>
    <t>654b93fd-54f0-4771-84a8-f287262908f0</t>
  </si>
  <si>
    <t>9-1603</t>
  </si>
  <si>
    <t>王俊</t>
  </si>
  <si>
    <t>SP202101080111</t>
  </si>
  <si>
    <t xml:space="preserve">(M)15312817680 </t>
  </si>
  <si>
    <t>江苏省江都市大桥镇育才路3号</t>
  </si>
  <si>
    <t>以标准总价为基准计算: (普通公积金按揭 100% - 总价优惠 -4182)</t>
  </si>
  <si>
    <t>扬州恒大云锦华庭-一期-9-1603</t>
  </si>
  <si>
    <t>7f7c476b-205d-4966-801d-95247a6c1d71</t>
  </si>
  <si>
    <t>9-1604</t>
  </si>
  <si>
    <t>梁冬梅;朱劲松</t>
  </si>
  <si>
    <t>SP202012150240</t>
  </si>
  <si>
    <t xml:space="preserve"> 321027199110100624;321027198912100613 </t>
  </si>
  <si>
    <t xml:space="preserve">(M)15189859095 </t>
  </si>
  <si>
    <t>江苏省扬州市广陵区李典镇伏业村三一组7号;江苏省扬州市广陵区李典镇伏业村三一组7号</t>
  </si>
  <si>
    <t>扬州恒大云锦华庭-一期-9-1604</t>
  </si>
  <si>
    <t>31a19edf-6504-4f84-81e8-714aaf9e498f</t>
  </si>
  <si>
    <t>9-1701</t>
  </si>
  <si>
    <t>王瑀</t>
  </si>
  <si>
    <t>SP202012080093</t>
  </si>
  <si>
    <t xml:space="preserve">(M)15952718678 </t>
  </si>
  <si>
    <t>江苏省扬州市邗江区翠岗小区白兰苑15-204</t>
  </si>
  <si>
    <t>扬州恒大云锦华庭-一期-9-1701</t>
  </si>
  <si>
    <t>34495496-9647-4aab-b256-e3d6d92e51b6</t>
  </si>
  <si>
    <t>9-1702</t>
  </si>
  <si>
    <t>顾传健</t>
  </si>
  <si>
    <t>SP202012020060</t>
  </si>
  <si>
    <t xml:space="preserve"> 32128119950114843X </t>
  </si>
  <si>
    <t xml:space="preserve">(M)13611627648 </t>
  </si>
  <si>
    <t>江苏省兴化市缸顾乡缸顾村大兴金路113号</t>
  </si>
  <si>
    <t>扬州恒大云锦华庭-一期-9-1702</t>
  </si>
  <si>
    <t>fd78cb58-7aa2-495d-9ba5-5717349b384b</t>
  </si>
  <si>
    <t>9-1703</t>
  </si>
  <si>
    <t>汪建昆</t>
  </si>
  <si>
    <t>SP202102070036</t>
  </si>
  <si>
    <t xml:space="preserve">(M)15949066068；18951046983 </t>
  </si>
  <si>
    <t>扬州市江都区吴桥镇王河村二组27号</t>
  </si>
  <si>
    <t>扬州恒大云锦华庭-一期-9-1703</t>
  </si>
  <si>
    <t>1e1ead12-2808-4e87-ad11-7837fbc49bdb</t>
  </si>
  <si>
    <t>9-1704</t>
  </si>
  <si>
    <t>江玉英</t>
  </si>
  <si>
    <t>SP202012170097</t>
  </si>
  <si>
    <t xml:space="preserve">(M)13665254698 </t>
  </si>
  <si>
    <t>江苏省扬州市渡江南路110号2幢11楼</t>
  </si>
  <si>
    <t>扬州恒大云锦华庭-一期-9-1704</t>
  </si>
  <si>
    <t>a1d228e1-b365-43fe-a4b3-612b3dc478e1</t>
  </si>
  <si>
    <t>9-1801</t>
  </si>
  <si>
    <t>倪永超</t>
  </si>
  <si>
    <t>SP202012220156</t>
  </si>
  <si>
    <t xml:space="preserve">(M)18951005674 </t>
  </si>
  <si>
    <t>扬州市广陵区联谊小区宜泰苑41幢101室</t>
  </si>
  <si>
    <t>扬州恒大云锦华庭-一期-9-1801</t>
  </si>
  <si>
    <t>5889e8b4-74fb-4b4c-8ca7-1d9cdfa6d8c3</t>
  </si>
  <si>
    <t>9-1802</t>
  </si>
  <si>
    <t>马维龙</t>
  </si>
  <si>
    <t>SP202101270032</t>
  </si>
  <si>
    <t xml:space="preserve">(M)13852580666 </t>
  </si>
  <si>
    <t>江苏省江都区碧桂园南区4幢1301室</t>
  </si>
  <si>
    <t>以标准总价为基准计算: ((两年分期付款 100% × 年末冲刺大优惠2 96% × 房车宝推荐折扣 96% × 清尾优惠折扣 93% - 恒房通购房券优惠 10000) - 网上购房总价优惠2万元 20000)</t>
  </si>
  <si>
    <t>扬州恒大云锦华庭-一期-9-1802</t>
  </si>
  <si>
    <t>HFTM4306069460</t>
  </si>
  <si>
    <t>d53e76f3-b4cf-4e49-9c6a-2683da33f53a</t>
  </si>
  <si>
    <t>9-1803</t>
  </si>
  <si>
    <t>叶丽</t>
  </si>
  <si>
    <t>SP202101270036</t>
  </si>
  <si>
    <t xml:space="preserve">(M)13951043713 </t>
  </si>
  <si>
    <t>江苏省江都市仙女镇太守西路23路</t>
  </si>
  <si>
    <t>以标准总价为基准计算: ((两年分期付款 100% × 清尾优惠折扣 93% × 年末冲刺大优惠2 96% × 房车宝推荐折扣 96% - 网上购房总价优惠2万元 20000) - 恒房通购房券优惠 10000)</t>
  </si>
  <si>
    <t>扬州恒大云锦华庭-一期-9-1803</t>
  </si>
  <si>
    <t>11262B57416E193C</t>
  </si>
  <si>
    <t>5e8f7efc-457f-4af5-a631-1533b7681782</t>
  </si>
  <si>
    <t>9-1804</t>
  </si>
  <si>
    <t>张文静</t>
  </si>
  <si>
    <t>SP202101270167</t>
  </si>
  <si>
    <t xml:space="preserve">(M)15805257916 </t>
  </si>
  <si>
    <t>江苏省扬州市江都区大桥镇鲍庄村南庄组17-1号</t>
  </si>
  <si>
    <t>以标准总价为基准计算: ((两年分期付款 100% × 年末冲刺大优惠2 96% × 房车宝推荐折扣 96% × 清尾优惠折扣 93% - 网上购房总价优惠2万元 20000) - 恒房通购房券优惠 10000)</t>
  </si>
  <si>
    <t>扬州恒大云锦华庭-一期-9-1804</t>
  </si>
  <si>
    <t>3C5CA4C69AF6164F</t>
  </si>
  <si>
    <t>db9456e9-e245-43aa-b8f7-a3b3e087ddaa</t>
  </si>
  <si>
    <t>9-201</t>
  </si>
  <si>
    <t>王士福</t>
  </si>
  <si>
    <t>SP202101080120</t>
  </si>
  <si>
    <t xml:space="preserve">(M)13382308282 </t>
  </si>
  <si>
    <t>浙江省台州市椒江区三甲街道优良村82号</t>
  </si>
  <si>
    <t>扬州恒大云锦华庭-一期-9-201</t>
  </si>
  <si>
    <t>F9D997690C9A9613</t>
  </si>
  <si>
    <t>520d330b-1a38-4991-9eda-474ac6a94f4b</t>
  </si>
  <si>
    <t>9-202</t>
  </si>
  <si>
    <t>董巨琴;陈善进</t>
  </si>
  <si>
    <t>SP202011130053</t>
  </si>
  <si>
    <t xml:space="preserve"> 321011196811210928;321002196401200333 </t>
  </si>
  <si>
    <t xml:space="preserve">(M)13773419952 </t>
  </si>
  <si>
    <t>江苏省扬州市广陵区沙口巷39号沙南一村21幢19号;江苏省扬州市广陵区沙口巷39号沙南一村21幢19号</t>
  </si>
  <si>
    <t>扬州恒大云锦华庭-一期-9-202</t>
  </si>
  <si>
    <t>4b1e19e5-ae07-423a-ac7c-1bc62508d169</t>
  </si>
  <si>
    <t>9-203</t>
  </si>
  <si>
    <t>葛天宇</t>
  </si>
  <si>
    <t>SP202011270013</t>
  </si>
  <si>
    <t xml:space="preserve">(M)18852725072 (O)15050735457 </t>
  </si>
  <si>
    <t>江苏省扬州市邗江区黄金坝路63号佳家南园32幢207室</t>
  </si>
  <si>
    <t>扬州恒大云锦华庭-一期-9-203</t>
  </si>
  <si>
    <t>c095bed0-4544-4fe4-b191-86b20ada2b0e</t>
  </si>
  <si>
    <t>9-204</t>
  </si>
  <si>
    <t>葛亮</t>
  </si>
  <si>
    <t>SP202012090118</t>
  </si>
  <si>
    <t xml:space="preserve">(M)18151437586 </t>
  </si>
  <si>
    <t>江苏省扬州市广陵区杭集镇裔庙村车一组7号</t>
  </si>
  <si>
    <t>扬州恒大云锦华庭-一期-9-204</t>
  </si>
  <si>
    <t>ac404edc-2fb5-44a9-879f-469a25bcd51e</t>
  </si>
  <si>
    <t>9-301</t>
  </si>
  <si>
    <t>朱琳</t>
  </si>
  <si>
    <t>SP202011270074</t>
  </si>
  <si>
    <t xml:space="preserve">(M)17714581816 </t>
  </si>
  <si>
    <t>江苏省扬州市江都区真武镇</t>
  </si>
  <si>
    <t>扬州恒大云锦华庭-一期-9-301</t>
  </si>
  <si>
    <t>659ff9c0-c354-4e3d-8ccc-e67c9473f641</t>
  </si>
  <si>
    <t>9-302</t>
  </si>
  <si>
    <t>丁树蕾;殷翔</t>
  </si>
  <si>
    <t>SP202101030116</t>
  </si>
  <si>
    <t xml:space="preserve"> 321283199604140628;321283199504114035 </t>
  </si>
  <si>
    <t xml:space="preserve">(M)18136282027 </t>
  </si>
  <si>
    <t>江苏省泰兴市分界镇湖头村前湖三组67号;江苏省泰兴市河失镇同心村西二五组66号</t>
  </si>
  <si>
    <t>以标准总价为基准计算: (普通组合贷款 100% - 总价优惠 -18292)</t>
  </si>
  <si>
    <t>扬州恒大云锦华庭-一期-9-302</t>
  </si>
  <si>
    <t>3c743412-650e-4dd5-823b-e9353f885e9a</t>
  </si>
  <si>
    <t>9-303</t>
  </si>
  <si>
    <t>朱逸霖;朱俊</t>
  </si>
  <si>
    <t>SP202102080013</t>
  </si>
  <si>
    <t xml:space="preserve"> 321002199604284016;321002196302233033 </t>
  </si>
  <si>
    <t xml:space="preserve">(M)16605140428 </t>
  </si>
  <si>
    <t>江苏省扬州市广陵区莲花街坊3幢507室;江苏省扬州市广陵区莲花街坊3幢507室</t>
  </si>
  <si>
    <t>扬州恒大云锦华庭-一期-9-303</t>
  </si>
  <si>
    <t>342181689D7F9F1A</t>
  </si>
  <si>
    <t>9b8c6eb6-6232-4585-89f2-8f539e1645b9</t>
  </si>
  <si>
    <t>9-304</t>
  </si>
  <si>
    <t>朱晓溪;陈万胜</t>
  </si>
  <si>
    <t>SP202011260062</t>
  </si>
  <si>
    <t xml:space="preserve"> 341322199009050827;342222198902200833 </t>
  </si>
  <si>
    <t xml:space="preserve">(M)18652583018 </t>
  </si>
  <si>
    <t>扬州市邗江区瘦西湖福苑19幢1001室;扬州市邗江区瘦西湖福苑19幢1001室</t>
  </si>
  <si>
    <t>扬州恒大云锦华庭-一期-9-304</t>
  </si>
  <si>
    <t>70ee1d2d-11e5-4c19-af58-63f14e3e9ac8</t>
  </si>
  <si>
    <t>9-401</t>
  </si>
  <si>
    <t>曹世清;王其珍</t>
  </si>
  <si>
    <t>SP202011120148</t>
  </si>
  <si>
    <t xml:space="preserve"> 321088197002202731;321088196909302744 </t>
  </si>
  <si>
    <t xml:space="preserve">(M)18260491305 </t>
  </si>
  <si>
    <t>江苏省江都市真武镇真武村南陈庄组20号;江苏省江都市真武镇真武村南陈庄组20号</t>
  </si>
  <si>
    <t>扬州恒大云锦华庭-一期-9-401</t>
  </si>
  <si>
    <t>9eb8b971-fb8b-44f4-afd3-f329ac999f37</t>
  </si>
  <si>
    <t>9-402</t>
  </si>
  <si>
    <t>陈于</t>
  </si>
  <si>
    <t>SP202011120171</t>
  </si>
  <si>
    <t xml:space="preserve">(M)15262274834 </t>
  </si>
  <si>
    <t>江苏省扬州市邗江区绿杨新苑2期217东201</t>
  </si>
  <si>
    <t>扬州恒大云锦华庭-一期-9-402</t>
  </si>
  <si>
    <t>7cb80398-3946-44c6-85d0-371642a57911</t>
  </si>
  <si>
    <t>9-403</t>
  </si>
  <si>
    <t>SP202011270035</t>
  </si>
  <si>
    <t xml:space="preserve">(M)18208841317 </t>
  </si>
  <si>
    <t>江苏省扬州市邗江区秋雨西路10号春竹苑6#503</t>
  </si>
  <si>
    <t>扬州恒大云锦华庭-一期-9-403</t>
  </si>
  <si>
    <t>3034b4c9-c911-4775-9a91-18206bedbaf4</t>
  </si>
  <si>
    <t>9-404</t>
  </si>
  <si>
    <t>朱晓芸</t>
  </si>
  <si>
    <t>SP202011130005</t>
  </si>
  <si>
    <t xml:space="preserve">(M)15262252225;15952538601 </t>
  </si>
  <si>
    <t>江苏省宝应县望直港镇和平村东南组7号</t>
  </si>
  <si>
    <t>扬州恒大云锦华庭-一期-9-404</t>
  </si>
  <si>
    <t>de323fe4-2b82-4949-8910-84e572bcfcc8</t>
  </si>
  <si>
    <t>9-501</t>
  </si>
  <si>
    <t>陆邮;牛中超</t>
  </si>
  <si>
    <t>SP202011130065</t>
  </si>
  <si>
    <t xml:space="preserve"> 321084198308033212;32108419871222132X </t>
  </si>
  <si>
    <t xml:space="preserve">(M)15862877768 </t>
  </si>
  <si>
    <t>江苏省扬州市高邮东方御景西区31-8;江苏省扬州市高邮东方御景西区31-8</t>
  </si>
  <si>
    <t>扬州恒大云锦华庭-一期-9-501</t>
  </si>
  <si>
    <t>92ad79bf-6b5f-45ee-a457-5473b0a7688b</t>
  </si>
  <si>
    <t>9-502</t>
  </si>
  <si>
    <t>高鹏程;高桂勇</t>
  </si>
  <si>
    <t>SP202101010139</t>
  </si>
  <si>
    <t xml:space="preserve"> 321003200106305410;321027197602037212 </t>
  </si>
  <si>
    <t xml:space="preserve">(M)17625062735 </t>
  </si>
  <si>
    <t>江苏省扬州市广陵区李典镇沿江村大套片组103号;江苏省扬州市广陵区李典镇沿江村大套片组103号</t>
  </si>
  <si>
    <t>扬州恒大云锦华庭-一期-9-502</t>
  </si>
  <si>
    <t>69eb10b1-0204-49c8-a208-89f90765cfe3</t>
  </si>
  <si>
    <t>9-503</t>
  </si>
  <si>
    <t>邬宏飞;张小庆</t>
  </si>
  <si>
    <t>SP202011120208</t>
  </si>
  <si>
    <t xml:space="preserve"> 321027197508166632;429001198105166322 </t>
  </si>
  <si>
    <t xml:space="preserve">(M)18912144032 </t>
  </si>
  <si>
    <t>江苏省扬州市广陵区湾头镇1912小镇深潜星宿酒店;江苏省扬州市广陵区湾头镇1912小镇深潜星宿酒店</t>
  </si>
  <si>
    <t>扬州恒大云锦华庭-一期-9-503</t>
  </si>
  <si>
    <t>4a264d45-4d0c-4784-b9c6-111488144dcc</t>
  </si>
  <si>
    <t>9-504</t>
  </si>
  <si>
    <t>姚金敏;朱金胜</t>
  </si>
  <si>
    <t>SP202012150126</t>
  </si>
  <si>
    <t xml:space="preserve"> 341122198902084223;32132219900413581X </t>
  </si>
  <si>
    <t xml:space="preserve">(M)18151448288 </t>
  </si>
  <si>
    <t>扬州市广陵区杭集镇工业园区熙园路6号海天旅游用品厂;扬州市广陵区杭集镇工业园区熙园路6号海天旅游用品厂</t>
  </si>
  <si>
    <t>以标准总价为基准计算: (普通商业按揭 100% × 渠道折扣 99% - 总价优惠 -5748)</t>
  </si>
  <si>
    <t>扬州恒大云锦华庭-一期-9-504</t>
  </si>
  <si>
    <t>f783a436-6d4f-4e4d-9a6e-27a9a2c6284d</t>
  </si>
  <si>
    <t>9-601</t>
  </si>
  <si>
    <t>任良慧;杨阳</t>
  </si>
  <si>
    <t>SP202012030015</t>
  </si>
  <si>
    <t xml:space="preserve"> 321084198902106728;321084199002247212 </t>
  </si>
  <si>
    <t xml:space="preserve">(M)18021327987 </t>
  </si>
  <si>
    <t>江苏省高邮市菱塘回族乡曙光菱新组81号;江苏省高邮市菱塘回族乡曙光菱新组81号</t>
  </si>
  <si>
    <t>扬州恒大云锦华庭-一期-9-601</t>
  </si>
  <si>
    <t>5e64783e-776c-401e-9f1e-00de17a02316</t>
  </si>
  <si>
    <t>9-602</t>
  </si>
  <si>
    <t>徐雷</t>
  </si>
  <si>
    <t>SP202011270002</t>
  </si>
  <si>
    <t xml:space="preserve">(M)13585239869 </t>
  </si>
  <si>
    <t>江苏省扬州市邗江区沙头镇丰和佳园5-503</t>
  </si>
  <si>
    <t>扬州恒大云锦华庭-一期-9-602</t>
  </si>
  <si>
    <t>8bd0c525-8d0b-44c1-8534-10976c2bfb4e</t>
  </si>
  <si>
    <t>9-603</t>
  </si>
  <si>
    <t>何青青</t>
  </si>
  <si>
    <t>SP202012080069</t>
  </si>
  <si>
    <t xml:space="preserve">(M)18094445581 </t>
  </si>
  <si>
    <t>江苏省扬州市京杭融园1幢1505</t>
  </si>
  <si>
    <t>扬州恒大云锦华庭-一期-9-603</t>
  </si>
  <si>
    <t>632c00d4-bc3a-4b84-ab74-38c924875e09</t>
  </si>
  <si>
    <t>9-604</t>
  </si>
  <si>
    <t>黄世清;黄宝平</t>
  </si>
  <si>
    <t>SP202101060181</t>
  </si>
  <si>
    <t xml:space="preserve"> 321002196406263317;321011196604151224 </t>
  </si>
  <si>
    <t xml:space="preserve">(M)13852780250 </t>
  </si>
  <si>
    <t>江苏省扬州市广陵区和昌运河尚郡10幢1301室;江苏省扬州市广陵区和昌运河尚郡10幢1301室</t>
  </si>
  <si>
    <t>扬州恒大云锦华庭-一期-9-604</t>
  </si>
  <si>
    <t>1f789618-4d1a-4cad-82cf-aa91b41d845e</t>
  </si>
  <si>
    <t>9-701</t>
  </si>
  <si>
    <t>张杰;王滢</t>
  </si>
  <si>
    <t>SP202012140137</t>
  </si>
  <si>
    <t xml:space="preserve"> 321027199202085417;321003199512040627 </t>
  </si>
  <si>
    <t xml:space="preserve">(M)13773402908 </t>
  </si>
  <si>
    <t>江苏省扬州市广陵区李典镇恩余村太平组10号;江苏省扬州市广陵区李典镇恩余村太平组10号</t>
  </si>
  <si>
    <t>扬州恒大云锦华庭-一期-9-701</t>
  </si>
  <si>
    <t>66cc79da-6b0f-4836-826d-58dd8bc1a7c2</t>
  </si>
  <si>
    <t>9-702</t>
  </si>
  <si>
    <t>刘加军;万田菁</t>
  </si>
  <si>
    <t>SP202012030135</t>
  </si>
  <si>
    <t xml:space="preserve"> 321027198907106017;320829198908081427 </t>
  </si>
  <si>
    <t xml:space="preserve">(M)15371256675 </t>
  </si>
  <si>
    <t>江苏省扬州市广陵区沙头镇沙头村永太组4号;江苏省扬州市广陵区沙头镇沙头村永太组4号</t>
  </si>
  <si>
    <t>扬州恒大云锦华庭-一期-9-702</t>
  </si>
  <si>
    <t>2cf84d80-eaf7-4673-9a72-906a23c206bd</t>
  </si>
  <si>
    <t>9-703</t>
  </si>
  <si>
    <t>钮秀明;张庆华</t>
  </si>
  <si>
    <t>SP202012080053</t>
  </si>
  <si>
    <t xml:space="preserve"> 321001198306211117;342422198203205804 </t>
  </si>
  <si>
    <t xml:space="preserve">(M)18061152803 </t>
  </si>
  <si>
    <t>江苏省扬州市广陵区李典镇沿江村江滩片组90－1号;江苏省扬州市广陵区李典镇沿江村江滩片组90－1号</t>
  </si>
  <si>
    <t>扬州恒大云锦华庭-一期-9-703</t>
  </si>
  <si>
    <t>4143914e-e390-4e2a-abd3-96f2fb6d71e5</t>
  </si>
  <si>
    <t>9-704</t>
  </si>
  <si>
    <t>陈志勇;曹菊梅</t>
  </si>
  <si>
    <t>SP202012080006</t>
  </si>
  <si>
    <t xml:space="preserve"> 321027197910120616;321027198109130645 </t>
  </si>
  <si>
    <t xml:space="preserve">(M)13358128028 </t>
  </si>
  <si>
    <t>江苏省扬州市邗江区李典镇田桥村四一组1号;江苏省扬州市广陵区李典镇伏业村三二组26号</t>
  </si>
  <si>
    <t>扬州恒大云锦华庭-一期-9-704</t>
  </si>
  <si>
    <t>a95ab4e2-3649-4f45-aad1-3f8796d6411a</t>
  </si>
  <si>
    <t>9-801</t>
  </si>
  <si>
    <t>顾仁祥;叶超</t>
  </si>
  <si>
    <t>SP202011270071</t>
  </si>
  <si>
    <t xml:space="preserve"> 321088198204147755;330105198309023121 </t>
  </si>
  <si>
    <t xml:space="preserve">(M)15394210503 </t>
  </si>
  <si>
    <t>杭州市下城区三塘竹园８幢６单元１０１室;杭州市下城区三塘竹园８幢６单元１０１室</t>
  </si>
  <si>
    <t>扬州恒大云锦华庭-一期-9-801</t>
  </si>
  <si>
    <t>c660aed9-d3f7-4a25-8d5c-dc1b09442996</t>
  </si>
  <si>
    <t>9-802</t>
  </si>
  <si>
    <t>朱绪恩</t>
  </si>
  <si>
    <t>SP202012020035</t>
  </si>
  <si>
    <t xml:space="preserve">(M)15061232451 </t>
  </si>
  <si>
    <t>江苏省扬州市京杭融园1-1505</t>
  </si>
  <si>
    <t>扬州恒大云锦华庭-一期-9-802</t>
  </si>
  <si>
    <t>d108cc62-19f2-41b3-88c0-0f105acee991</t>
  </si>
  <si>
    <t>9-803</t>
  </si>
  <si>
    <t>张晖</t>
  </si>
  <si>
    <t>SP202106080034</t>
  </si>
  <si>
    <t xml:space="preserve">(M)13912124097 </t>
  </si>
  <si>
    <t>江苏省扬州市文鹤翠园5-502</t>
  </si>
  <si>
    <t>以标准总价为基准计算: ((两年分期付款 100% × 年末冲刺大优惠2 96% × 清尾优惠折扣 96% × 自然到访优惠 96% - 恒房通购房券优惠 10000) - 网上购房总价优惠2万元 20000)</t>
  </si>
  <si>
    <t>扬州恒大云锦华庭-一期-9-803</t>
  </si>
  <si>
    <t>E42AD1E53F4F9160</t>
  </si>
  <si>
    <t>0e1173d7-08d8-4f72-bb94-3e58eca8a7a6</t>
  </si>
  <si>
    <t>9-804</t>
  </si>
  <si>
    <t>朱佳佳</t>
  </si>
  <si>
    <t>SP202011130015</t>
  </si>
  <si>
    <t xml:space="preserve">(M)15252557457 (O)13160318996 </t>
  </si>
  <si>
    <t>江苏省扬州市江都区邵伯镇京杭村朱厦组16号</t>
  </si>
  <si>
    <t>扬州恒大云锦华庭-一期-9-804</t>
  </si>
  <si>
    <t>3f32d1eb-0685-4bbc-b332-64f445436eb8</t>
  </si>
  <si>
    <t>9-901</t>
  </si>
  <si>
    <t>高永;杜娟</t>
  </si>
  <si>
    <t>SP202012020004</t>
  </si>
  <si>
    <t xml:space="preserve"> 321027198303215415;321027198612155428 </t>
  </si>
  <si>
    <t xml:space="preserve">(M)13301459936 </t>
  </si>
  <si>
    <t>江苏省扬州市邗江区李典镇新坝集镇江扬路102－3号;江苏省扬州市邗江区李典镇新坝集镇江扬路102－3号</t>
  </si>
  <si>
    <t>扬州恒大云锦华庭-一期-9-901</t>
  </si>
  <si>
    <t>214697e8-c4b9-4e65-bc19-24ebbe0362ab</t>
  </si>
  <si>
    <t>9-902</t>
  </si>
  <si>
    <t>张嘉韡</t>
  </si>
  <si>
    <t>SP202102210024</t>
  </si>
  <si>
    <t xml:space="preserve">(M)18115936710 </t>
  </si>
  <si>
    <t>江苏省泰州市海陵区莲花住宅2区35幢307室</t>
  </si>
  <si>
    <t>扬州恒大云锦华庭-一期-9-902</t>
  </si>
  <si>
    <t>c85473de-8969-49e8-ace6-e2532bd4687f</t>
  </si>
  <si>
    <t>9-903</t>
  </si>
  <si>
    <t>房文俊;陶芬</t>
  </si>
  <si>
    <t>SP202012270008</t>
  </si>
  <si>
    <t xml:space="preserve"> 321026197812107518;32108819800107762X </t>
  </si>
  <si>
    <t xml:space="preserve">(M)15371266699 </t>
  </si>
  <si>
    <t>江苏省扬州市江都区大桥镇兴镇路望龙花苑;江苏省扬州市江都区大桥镇星星村濮湾组66号</t>
  </si>
  <si>
    <t>以标准总价为基准计算: 一次性付款 99% × 渠道折扣 98% × 开盘额外优惠 97% × 佣金抵房款 98%</t>
  </si>
  <si>
    <t>扬州恒大云锦华庭-一期-9-903</t>
  </si>
  <si>
    <t>28ef6814-2728-461a-873b-af17fba77929</t>
  </si>
  <si>
    <t>9-904</t>
  </si>
  <si>
    <t>王兴路;徐凯珍</t>
  </si>
  <si>
    <t>SP202101090144</t>
  </si>
  <si>
    <t xml:space="preserve"> 321088198502044498;320821198507253100 </t>
  </si>
  <si>
    <t xml:space="preserve">(M)18796643231 </t>
  </si>
  <si>
    <t>江苏省扬州市江都区仙女镇金陵村金丰组203号;江苏省江都市丁沟镇腾飞村银桥组43号</t>
  </si>
  <si>
    <t>扬州恒大云锦华庭-一期-9-904</t>
  </si>
  <si>
    <t>e18d77f2-b7c1-452b-9356-68e475bf91c1</t>
  </si>
  <si>
    <t>一年/两年优惠</t>
  </si>
  <si>
    <t>高层</t>
    <phoneticPr fontId="7" type="noConversion"/>
  </si>
  <si>
    <t>成新度</t>
  </si>
  <si>
    <t>收益法</t>
  </si>
  <si>
    <t>http://czj.yangzhou.gov.cn/yzczjx/fsml/201809/f17403c3727f471599552dc64d09244f.shtml</t>
    <phoneticPr fontId="3" type="noConversion"/>
  </si>
  <si>
    <r>
      <rPr>
        <sz val="11"/>
        <color indexed="8"/>
        <rFont val="宋体"/>
        <family val="3"/>
        <charset val="134"/>
      </rPr>
      <t>《扬州市财政局关于公布</t>
    </r>
    <r>
      <rPr>
        <sz val="11"/>
        <color indexed="8"/>
        <rFont val="Arial"/>
        <family val="2"/>
      </rPr>
      <t>2017</t>
    </r>
    <r>
      <rPr>
        <sz val="11"/>
        <color indexed="8"/>
        <rFont val="宋体"/>
        <family val="3"/>
        <charset val="134"/>
      </rPr>
      <t>年扬州市政府性基金项目目录的通知》</t>
    </r>
    <phoneticPr fontId="3" type="noConversion"/>
  </si>
  <si>
    <t>利息：取LPR加浮动点数</t>
  </si>
  <si>
    <t>《扬州市城镇土地使用税税额标准表》</t>
    <phoneticPr fontId="3" type="noConversion"/>
  </si>
  <si>
    <t>https://jiangsu.chinatax.gov.cn/art/2019/3/26/art_8540_238241.html</t>
    <phoneticPr fontId="3" type="noConversion"/>
  </si>
  <si>
    <t>比较法-住宅</t>
  </si>
  <si>
    <t>总价</t>
  </si>
  <si>
    <t>收益比率</t>
  </si>
  <si>
    <t>钢混</t>
  </si>
  <si>
    <t>非生产用房</t>
  </si>
  <si>
    <t>按租金收入计税</t>
  </si>
  <si>
    <t>押一</t>
  </si>
  <si>
    <t>住宅</t>
    <phoneticPr fontId="25" type="noConversion"/>
  </si>
  <si>
    <t>60-70（含）</t>
  </si>
  <si>
    <t>恒大云锦华庭</t>
    <phoneticPr fontId="3" type="noConversion"/>
  </si>
  <si>
    <t>小高层</t>
  </si>
  <si>
    <t>高档</t>
  </si>
  <si>
    <t>中高档</t>
  </si>
  <si>
    <t>中档</t>
  </si>
  <si>
    <t>低档</t>
  </si>
  <si>
    <t>精装修</t>
  </si>
  <si>
    <t>普通装修</t>
  </si>
  <si>
    <t>简单装修</t>
  </si>
  <si>
    <t>毛坯</t>
  </si>
  <si>
    <t>品牌</t>
  </si>
  <si>
    <t>专业</t>
  </si>
  <si>
    <t>七通</t>
  </si>
  <si>
    <t>六通</t>
  </si>
  <si>
    <t>五通</t>
  </si>
  <si>
    <t>四通</t>
  </si>
  <si>
    <t>三通</t>
  </si>
  <si>
    <t>一般</t>
  </si>
  <si>
    <t>较差</t>
  </si>
  <si>
    <t>滨水路与健民路交叉口（李宁体育园东南角）</t>
    <phoneticPr fontId="25" type="noConversion"/>
  </si>
  <si>
    <t>开发东路和秦邮路交会处</t>
    <phoneticPr fontId="25" type="noConversion"/>
  </si>
  <si>
    <t>生态科技新城琼花大道与三笑大道交汇处（杭集中学北侧）</t>
    <phoneticPr fontId="25" type="noConversion"/>
  </si>
  <si>
    <t>龙腾江河汇</t>
    <phoneticPr fontId="3" type="noConversion"/>
  </si>
  <si>
    <t>宏云东悦府</t>
    <phoneticPr fontId="3" type="noConversion"/>
  </si>
  <si>
    <t>融悦春晓</t>
    <phoneticPr fontId="25" type="noConversion"/>
  </si>
  <si>
    <t>比较法</t>
  </si>
  <si>
    <t>未包含在土地购买价格中</t>
  </si>
  <si>
    <t>已包含在土地取得成本中</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</si>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</sst>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8"/>
      <color theme="1"/>
      <name val="方正小标宋简体"/>
      <charset val="134"/>
    </font>
    <font>
      <sz val="11"/>
      <color theme="1"/>
      <name val="仿宋"/>
      <family val="3"/>
      <charset val="134"/>
    </font>
    <font>
      <sz val="11"/>
      <color indexed="8"/>
      <name val="仿宋"/>
      <family val="3"/>
      <charset val="134"/>
    </font>
    <font>
      <vertAlign val="superscript"/>
      <sz val="11"/>
      <color indexed="8"/>
      <name val="仿宋"/>
      <family val="3"/>
      <charset val="134"/>
    </font>
    <font>
      <sz val="11"/>
      <color rgb="FF000000"/>
      <name val="仿宋"/>
      <family val="3"/>
      <charset val="134"/>
    </font>
    <font>
      <sz val="11"/>
      <color rgb="FF000000"/>
      <name val="宋体"/>
      <family val="3"/>
      <charset val="134"/>
    </font>
    <font>
      <sz val="11"/>
      <color rgb="FFE36B09"/>
      <name val="宋体"/>
      <family val="3"/>
      <charset val="134"/>
    </font>
    <font>
      <sz val="11"/>
      <color rgb="FFE36B09"/>
      <name val="Arial"/>
      <family val="2"/>
    </font>
    <font>
      <sz val="11"/>
      <color indexed="8"/>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cellStyleXfs>
  <cellXfs count="34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37" fillId="0" borderId="0" xfId="17" applyAlignment="1">
      <alignment horizontal="center" vertical="center"/>
    </xf>
    <xf numFmtId="0" fontId="255" fillId="0" borderId="1" xfId="17" applyFont="1" applyFill="1" applyBorder="1" applyAlignment="1">
      <alignment horizontal="center" vertical="center" wrapText="1"/>
    </xf>
    <xf numFmtId="179" fontId="255" fillId="0" borderId="1" xfId="17" applyNumberFormat="1" applyFont="1" applyFill="1" applyBorder="1" applyAlignment="1">
      <alignment horizontal="center" vertical="center" wrapText="1"/>
    </xf>
    <xf numFmtId="177" fontId="255" fillId="0" borderId="1" xfId="17" applyNumberFormat="1" applyFont="1" applyFill="1" applyBorder="1" applyAlignment="1">
      <alignment horizontal="center" vertical="center" wrapText="1"/>
    </xf>
    <xf numFmtId="179" fontId="258" fillId="0" borderId="1" xfId="17" applyNumberFormat="1" applyFont="1" applyFill="1" applyBorder="1" applyAlignment="1">
      <alignment horizontal="center" vertical="center" wrapText="1"/>
    </xf>
    <xf numFmtId="0" fontId="258" fillId="0" borderId="1" xfId="17" applyFont="1" applyFill="1" applyBorder="1" applyAlignment="1">
      <alignment horizontal="center" vertical="center" wrapText="1"/>
    </xf>
    <xf numFmtId="177" fontId="258" fillId="0" borderId="1" xfId="17" applyNumberFormat="1" applyFont="1" applyFill="1" applyBorder="1" applyAlignment="1">
      <alignment horizontal="center" vertical="center" wrapText="1"/>
    </xf>
    <xf numFmtId="0" fontId="37" fillId="0" borderId="2" xfId="17" applyBorder="1" applyAlignment="1">
      <alignment horizontal="center" vertical="center"/>
    </xf>
    <xf numFmtId="0" fontId="49" fillId="7" borderId="150" xfId="0" applyFont="1" applyFill="1" applyBorder="1" applyAlignment="1" applyProtection="1">
      <alignment vertical="center"/>
      <protection locked="0"/>
    </xf>
    <xf numFmtId="0" fontId="49" fillId="7" borderId="60" xfId="0" applyFont="1" applyFill="1" applyBorder="1" applyAlignment="1" applyProtection="1">
      <alignment vertical="center"/>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2" fontId="49" fillId="0" borderId="1" xfId="0" applyNumberFormat="1" applyFont="1" applyBorder="1" applyAlignment="1" applyProtection="1">
      <alignment vertical="center" wrapText="1"/>
      <protection locked="0"/>
    </xf>
    <xf numFmtId="0" fontId="98" fillId="0" borderId="0" xfId="17" applyFont="1" applyFill="1" applyBorder="1" applyAlignment="1">
      <alignment horizontal="left" vertical="center"/>
    </xf>
    <xf numFmtId="0" fontId="98" fillId="0" borderId="0" xfId="17" applyFont="1" applyFill="1" applyBorder="1" applyAlignment="1" applyProtection="1">
      <alignment horizontal="left" vertical="center"/>
      <protection locked="0"/>
    </xf>
    <xf numFmtId="14" fontId="98" fillId="0" borderId="0" xfId="17" applyNumberFormat="1" applyFont="1" applyFill="1" applyBorder="1" applyAlignment="1">
      <alignment horizontal="left" vertical="center"/>
    </xf>
    <xf numFmtId="22" fontId="98" fillId="0" borderId="0" xfId="17" applyNumberFormat="1" applyFont="1" applyFill="1" applyBorder="1" applyAlignment="1">
      <alignment horizontal="left" vertical="center"/>
    </xf>
    <xf numFmtId="11" fontId="98" fillId="0" borderId="0" xfId="17" applyNumberFormat="1" applyFont="1" applyFill="1" applyBorder="1" applyAlignment="1">
      <alignment horizontal="left" vertical="center"/>
    </xf>
    <xf numFmtId="58" fontId="98" fillId="0" borderId="0" xfId="17" applyNumberFormat="1" applyFont="1" applyFill="1" applyBorder="1" applyAlignment="1">
      <alignment horizontal="left" vertical="center"/>
    </xf>
    <xf numFmtId="0" fontId="98" fillId="20" borderId="0" xfId="17" applyFont="1" applyFill="1" applyBorder="1" applyAlignment="1">
      <alignment horizontal="left" vertical="center"/>
    </xf>
    <xf numFmtId="177" fontId="79" fillId="0" borderId="1" xfId="1" applyNumberFormat="1" applyFont="1" applyFill="1" applyBorder="1" applyAlignment="1" applyProtection="1">
      <alignment vertical="center"/>
      <protection locked="0" hidden="1"/>
    </xf>
    <xf numFmtId="181" fontId="171" fillId="0" borderId="1" xfId="0" applyNumberFormat="1" applyFont="1" applyFill="1" applyBorder="1" applyAlignment="1" applyProtection="1">
      <alignment horizontal="center" vertical="center"/>
      <protection locked="0"/>
    </xf>
    <xf numFmtId="181" fontId="46" fillId="0" borderId="1" xfId="0" applyNumberFormat="1" applyFont="1" applyBorder="1" applyProtection="1">
      <alignment vertical="center"/>
      <protection locked="0"/>
    </xf>
    <xf numFmtId="0" fontId="49" fillId="13" borderId="0" xfId="0" applyFont="1" applyFill="1" applyProtection="1">
      <alignment vertical="center"/>
      <protection locked="0"/>
    </xf>
    <xf numFmtId="0" fontId="134" fillId="13" borderId="0" xfId="0" applyFont="1" applyFill="1" applyProtection="1">
      <alignment vertical="center"/>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9" fillId="0" borderId="44" xfId="0" applyNumberFormat="1" applyFont="1" applyFill="1" applyBorder="1" applyAlignment="1" applyProtection="1">
      <alignment horizontal="center" vertical="center" wrapText="1"/>
      <protection locked="0"/>
    </xf>
    <xf numFmtId="0" fontId="262" fillId="0" borderId="44"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234"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234"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234"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4" fillId="0" borderId="0" xfId="17" applyFont="1" applyFill="1" applyBorder="1" applyAlignment="1">
      <alignment horizontal="center" vertical="center"/>
    </xf>
    <xf numFmtId="179" fontId="254" fillId="0" borderId="0" xfId="17" applyNumberFormat="1" applyFont="1" applyFill="1" applyBorder="1" applyAlignment="1">
      <alignment horizontal="center" vertical="center"/>
    </xf>
    <xf numFmtId="177" fontId="254" fillId="0" borderId="0" xfId="17" applyNumberFormat="1" applyFont="1" applyFill="1" applyBorder="1" applyAlignment="1">
      <alignment horizontal="center" vertical="center"/>
    </xf>
    <xf numFmtId="0" fontId="37" fillId="0" borderId="2" xfId="17"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60" fillId="0" borderId="11" xfId="0" applyFont="1" applyFill="1" applyBorder="1" applyAlignment="1" applyProtection="1">
      <alignment horizontal="center" vertical="center" wrapText="1"/>
      <protection locked="0"/>
    </xf>
    <xf numFmtId="0" fontId="261" fillId="0" borderId="61" xfId="0" applyFont="1" applyFill="1" applyBorder="1" applyAlignment="1" applyProtection="1">
      <alignment horizontal="center" vertical="center" wrapText="1"/>
      <protection locked="0"/>
    </xf>
    <xf numFmtId="0" fontId="260" fillId="0" borderId="23" xfId="0" applyFont="1" applyFill="1" applyBorder="1" applyAlignment="1" applyProtection="1">
      <alignment horizontal="center" vertical="center" wrapText="1"/>
      <protection locked="0"/>
    </xf>
    <xf numFmtId="0" fontId="261"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60" fillId="0" borderId="22"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260" fillId="0" borderId="3"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4"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312744</xdr:colOff>
      <xdr:row>29</xdr:row>
      <xdr:rowOff>27950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657144" cy="5000000"/>
        </a:xfrm>
        <a:prstGeom prst="rect">
          <a:avLst/>
        </a:prstGeom>
      </xdr:spPr>
    </xdr:pic>
    <xdr:clientData/>
  </xdr:twoCellAnchor>
  <xdr:twoCellAnchor editAs="oneCell">
    <xdr:from>
      <xdr:col>0</xdr:col>
      <xdr:colOff>0</xdr:colOff>
      <xdr:row>30</xdr:row>
      <xdr:rowOff>0</xdr:rowOff>
    </xdr:from>
    <xdr:to>
      <xdr:col>8</xdr:col>
      <xdr:colOff>275505</xdr:colOff>
      <xdr:row>58</xdr:row>
      <xdr:rowOff>142257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5761905" cy="4942857"/>
        </a:xfrm>
        <a:prstGeom prst="rect">
          <a:avLst/>
        </a:prstGeom>
      </xdr:spPr>
    </xdr:pic>
    <xdr:clientData/>
  </xdr:twoCellAnchor>
  <xdr:twoCellAnchor editAs="oneCell">
    <xdr:from>
      <xdr:col>0</xdr:col>
      <xdr:colOff>0</xdr:colOff>
      <xdr:row>59</xdr:row>
      <xdr:rowOff>0</xdr:rowOff>
    </xdr:from>
    <xdr:to>
      <xdr:col>8</xdr:col>
      <xdr:colOff>323124</xdr:colOff>
      <xdr:row>88</xdr:row>
      <xdr:rowOff>18427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115550"/>
          <a:ext cx="5809524" cy="4990477"/>
        </a:xfrm>
        <a:prstGeom prst="rect">
          <a:avLst/>
        </a:prstGeom>
      </xdr:spPr>
    </xdr:pic>
    <xdr:clientData/>
  </xdr:twoCellAnchor>
  <xdr:twoCellAnchor editAs="oneCell">
    <xdr:from>
      <xdr:col>0</xdr:col>
      <xdr:colOff>0</xdr:colOff>
      <xdr:row>88</xdr:row>
      <xdr:rowOff>0</xdr:rowOff>
    </xdr:from>
    <xdr:to>
      <xdr:col>8</xdr:col>
      <xdr:colOff>408838</xdr:colOff>
      <xdr:row>104</xdr:row>
      <xdr:rowOff>171086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087600"/>
          <a:ext cx="5895238" cy="2914286"/>
        </a:xfrm>
        <a:prstGeom prst="rect">
          <a:avLst/>
        </a:prstGeom>
      </xdr:spPr>
    </xdr:pic>
    <xdr:clientData/>
  </xdr:twoCellAnchor>
  <xdr:twoCellAnchor editAs="oneCell">
    <xdr:from>
      <xdr:col>0</xdr:col>
      <xdr:colOff>0</xdr:colOff>
      <xdr:row>105</xdr:row>
      <xdr:rowOff>0</xdr:rowOff>
    </xdr:from>
    <xdr:to>
      <xdr:col>8</xdr:col>
      <xdr:colOff>246934</xdr:colOff>
      <xdr:row>133</xdr:row>
      <xdr:rowOff>151781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8002250"/>
          <a:ext cx="5733334" cy="4952381"/>
        </a:xfrm>
        <a:prstGeom prst="rect">
          <a:avLst/>
        </a:prstGeom>
      </xdr:spPr>
    </xdr:pic>
    <xdr:clientData/>
  </xdr:twoCellAnchor>
  <xdr:twoCellAnchor editAs="oneCell">
    <xdr:from>
      <xdr:col>0</xdr:col>
      <xdr:colOff>0</xdr:colOff>
      <xdr:row>134</xdr:row>
      <xdr:rowOff>0</xdr:rowOff>
    </xdr:from>
    <xdr:to>
      <xdr:col>8</xdr:col>
      <xdr:colOff>323124</xdr:colOff>
      <xdr:row>163</xdr:row>
      <xdr:rowOff>75569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974300"/>
          <a:ext cx="5809524" cy="50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江苏省扬州市广陵区沙湾南路东侧、许庄路西侧（不动产单元号：321002006003GB00058W00000000）5套住宅用房房地产市场价值预评估</v>
      </c>
    </row>
    <row r="3" spans="1:2" s="1365" customFormat="1">
      <c r="A3" s="1363" t="s">
        <v>1188</v>
      </c>
      <c r="B3" s="1364" t="str">
        <f>'预评函-封皮'!B40</f>
        <v>中粮信托有限责任公司</v>
      </c>
    </row>
    <row r="4" spans="1:2" s="1365" customFormat="1">
      <c r="A4" s="1363" t="s">
        <v>1189</v>
      </c>
      <c r="B4" s="1364" t="str">
        <f ca="1">'预评函-封皮'!B46</f>
        <v>王鹏（注册号：0)、郑燚（注册号：1120070131)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受贵公司委托，我公司对江苏省扬州市广陵区沙湾南路东侧、许庄路西侧（不动产单元号：321002006003GB00058W00000000）5套住宅用房房地产市场价值进行了预评估。</v>
      </c>
    </row>
    <row r="7" spans="1:2" s="1365" customFormat="1">
      <c r="A7" s="1363" t="s">
        <v>1231</v>
      </c>
      <c r="B7" s="1364" t="str">
        <f>'预评函-1'!A7</f>
        <v>估价对象为江苏省扬州市广陵区沙湾南路东侧、许庄路西侧（不动产单元号：321002006003GB00058W00000000）5套住宅用房房地产，为扬州正龙置业有限公司所有。根据《不动产权证书》[苏（2020）扬州市不动产权第0117874号]，估价对象（分摊）出让国有建设用地使用权面积为202.06平方米，建筑面积为519.96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江苏省扬州市广陵区沙湾南路东侧、许庄路西侧（不动产单元号：321002006003GB00058W00000000）5套住宅用房房地产,属扬州正龙置业有限公司开发建设的居住项目，该项目尚在开发建设中。根据《不动产权证书》[苏（2020）扬州市不动产权第0117874号]，估价对象（分摊）出让国有建设用地使用权面积为202.06平方米，规划建筑面积为519.96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扬州正龙置业有限公司拟使用江苏省扬州市广陵区沙湾南路东侧、许庄路西侧（不动产单元号：321002006003GB00058W00000000）5套住宅用房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2021年11月23日（评估专业人员实地查勘之日）</v>
      </c>
    </row>
    <row r="13" spans="1:2" s="1365" customFormat="1">
      <c r="A13" s="1363" t="s">
        <v>1194</v>
      </c>
      <c r="B13" s="1364" t="str">
        <f>'预评函-1'!A18</f>
        <v>本次估价的“房地产价值”是指在正常市场情况下，在价值时点2021年11月23日，估价对象规划用途为住宅，土地取得方式为出让，出让国有建设用地使用权剩余土地使用年限为住宅68.85年，假定未设立法定优先受偿款下的房地产市场价值。</v>
      </c>
    </row>
    <row r="14" spans="1:2" s="1365" customFormat="1">
      <c r="A14" s="1363" t="s">
        <v>1195</v>
      </c>
      <c r="B14" s="1364" t="str">
        <f>'预评函-1'!A19</f>
        <v>其中，“出让国有建设用地使用权价值”是指估价对象用途为住宅，实际开发程度为宗地红线外“七通”（即通路、通电、通讯、通上水、通下水、燃气、）、红线内场地平整条件下，剩余土地使用年限为住宅68.85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本次评估采用的主估价方法为比较法和成本法。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652</v>
      </c>
    </row>
    <row r="21" spans="1:2" s="1365" customFormat="1">
      <c r="A21" s="1363" t="s">
        <v>1202</v>
      </c>
      <c r="B21" s="1364">
        <f ca="1">'预评函-2'!D7</f>
        <v>12539</v>
      </c>
    </row>
    <row r="22" spans="1:2" s="1365" customFormat="1">
      <c r="A22" s="1363" t="s">
        <v>1203</v>
      </c>
      <c r="B22" s="1364" t="str">
        <f ca="1">'预评函-2'!D6</f>
        <v>陆佰伍拾贰万元整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652</v>
      </c>
    </row>
    <row r="31" spans="1:2" s="1365" customFormat="1">
      <c r="A31" s="1363" t="s">
        <v>1241</v>
      </c>
      <c r="B31" s="1364">
        <f ca="1">'预评函-2'!D15</f>
        <v>12539</v>
      </c>
    </row>
    <row r="32" spans="1:2" s="1365" customFormat="1">
      <c r="A32" s="1363" t="s">
        <v>1208</v>
      </c>
      <c r="B32" s="1364" t="str">
        <f ca="1">'预评函-2'!D14</f>
        <v>陆佰伍拾贰万元整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江苏省扬州市广陵区沙湾南路东侧、许庄路西侧（不动产单元号：321002006003GB00058W00000000）5套住宅用房房地产</v>
      </c>
    </row>
    <row r="42" spans="1:2" s="1365" customFormat="1">
      <c r="A42" s="1363" t="s">
        <v>1255</v>
      </c>
      <c r="B42" s="1364" t="str">
        <f>'预评函-3'!B2</f>
        <v>建筑面积</v>
      </c>
    </row>
    <row r="43" spans="1:2" s="1365" customFormat="1">
      <c r="A43" s="1363" t="s">
        <v>1256</v>
      </c>
      <c r="B43" s="1364">
        <f>'预评函-3'!B4</f>
        <v>519.96</v>
      </c>
    </row>
    <row r="44" spans="1:2" s="1365" customFormat="1">
      <c r="A44" s="1363" t="s">
        <v>1240</v>
      </c>
      <c r="B44" s="1364" t="str">
        <f>'预评函-3'!C2</f>
        <v>(分摊)土地面积</v>
      </c>
    </row>
    <row r="45" spans="1:2" s="1365" customFormat="1">
      <c r="A45" s="1363" t="s">
        <v>1212</v>
      </c>
      <c r="B45" s="1364">
        <f>'预评函-3'!C4</f>
        <v>202.06</v>
      </c>
    </row>
    <row r="46" spans="1:2" s="1365" customFormat="1">
      <c r="A46" s="1363" t="s">
        <v>1238</v>
      </c>
      <c r="B46" s="1364" t="str">
        <f>'预评函-3'!D2</f>
        <v>出让国有建设用地使用权价值</v>
      </c>
    </row>
    <row r="47" spans="1:2" s="1365" customFormat="1">
      <c r="A47" s="1363" t="s">
        <v>1213</v>
      </c>
      <c r="B47" s="1364">
        <f ca="1">'预评函-3'!D4</f>
        <v>-552</v>
      </c>
    </row>
    <row r="48" spans="1:2" s="1365" customFormat="1">
      <c r="A48" s="1363" t="s">
        <v>1214</v>
      </c>
      <c r="B48" s="1364">
        <f ca="1">'预评函-3'!E4</f>
        <v>-10617</v>
      </c>
    </row>
    <row r="49" spans="1:2" s="1365" customFormat="1">
      <c r="A49" s="1363" t="s">
        <v>1215</v>
      </c>
      <c r="B49" s="1364" t="e">
        <f ca="1">'预评函-3'!D5</f>
        <v>#NUM!</v>
      </c>
    </row>
    <row r="50" spans="1:2" s="1365" customFormat="1">
      <c r="A50" s="1363" t="s">
        <v>1239</v>
      </c>
      <c r="B50" s="1364" t="str">
        <f>'预评函-3'!F2</f>
        <v>在建建筑物价值</v>
      </c>
    </row>
    <row r="51" spans="1:2" s="1365" customFormat="1">
      <c r="A51" s="1363" t="s">
        <v>1216</v>
      </c>
      <c r="B51" s="1364">
        <f ca="1">'预评函-3'!F4</f>
        <v>1204</v>
      </c>
    </row>
    <row r="52" spans="1:2" s="1365" customFormat="1">
      <c r="A52" s="1363" t="s">
        <v>1217</v>
      </c>
      <c r="B52" s="1364">
        <f ca="1">'预评函-3'!G4</f>
        <v>23156</v>
      </c>
    </row>
    <row r="53" spans="1:2" s="1365" customFormat="1">
      <c r="A53" s="1363" t="s">
        <v>1245</v>
      </c>
      <c r="B53" s="1364" t="str">
        <f ca="1">'预评函-3'!F5</f>
        <v>壹仟贰佰零肆万元整</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王鹏</v>
      </c>
    </row>
    <row r="71" spans="1:2">
      <c r="A71" s="1363" t="s">
        <v>1228</v>
      </c>
      <c r="B71" s="1364">
        <f ca="1">'预评函-4'!B4</f>
        <v>0</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3037</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扬州正龙置业有限公司拟使用江苏省扬州市广陵区沙湾南路东侧、许庄路西侧（不动产单元号：321002006003GB00058W00000000）5套住宅用房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3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130"/>
      <c r="B54" s="1739" t="s">
        <v>832</v>
      </c>
      <c r="C54" s="1736" t="s">
        <v>1248</v>
      </c>
    </row>
    <row r="55" spans="1:4">
      <c r="A55" s="3130"/>
      <c r="B55" s="1739" t="s">
        <v>833</v>
      </c>
      <c r="C55" s="1736" t="s">
        <v>1249</v>
      </c>
    </row>
    <row r="56" spans="1:4">
      <c r="A56" s="3130"/>
      <c r="B56" s="1739" t="s">
        <v>834</v>
      </c>
      <c r="C56" s="1736" t="s">
        <v>1253</v>
      </c>
    </row>
    <row r="57" spans="1:4">
      <c r="A57" s="313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1" customWidth="1"/>
    <col min="12" max="13" width="10" style="2852"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9" t="s">
        <v>2914</v>
      </c>
      <c r="B1" s="3139" t="str">
        <f>IF(B10="北京市","北京市",C10)&amp;F10&amp;IF(结果表!G1="在建","出让国有建设用地使用权及在建建筑物",IF(结果表!G1="土地","出让国有建设用地使用权",))&amp;B9&amp;"预评估"</f>
        <v>江苏省扬州市广陵区沙湾南路东侧、许庄路西侧（不动产单元号：321002006003GB00058W00000000）5套住宅用房房地产市场价值预评估</v>
      </c>
      <c r="C1" s="3140"/>
      <c r="D1" s="3140"/>
      <c r="E1" s="3140"/>
      <c r="F1" s="3140"/>
      <c r="G1" s="3140"/>
      <c r="H1" s="3140"/>
      <c r="I1" s="3141"/>
      <c r="J1" s="2693"/>
      <c r="K1" s="2591"/>
      <c r="L1" s="2592"/>
      <c r="M1" s="2592"/>
      <c r="N1" s="2593"/>
      <c r="O1" s="1761"/>
      <c r="P1" s="2593"/>
      <c r="Q1" s="2593"/>
      <c r="R1" s="2593"/>
      <c r="S1" s="1868" t="str">
        <f>IF(B10="北京市","北京市",C10)&amp;F10&amp;IF(结果表!G1="在建","出让国有建设用地使用权及在建建筑物房地产抵押价值",IF(结果表!G1="土地","出让国有建设用地使用权抵押价值",B9))</f>
        <v>江苏省扬州市广陵区沙湾南路东侧、许庄路西侧（不动产单元号：321002006003GB00058W00000000）5套住宅用房房地产市场价值</v>
      </c>
      <c r="T1" s="1931"/>
      <c r="U1" s="1931"/>
      <c r="V1" s="1931"/>
      <c r="W1" s="1931"/>
      <c r="X1" s="1931"/>
      <c r="Y1" s="1931"/>
      <c r="Z1" s="1931"/>
      <c r="AA1" s="1931"/>
      <c r="AB1" s="1931"/>
    </row>
    <row r="2" spans="1:28">
      <c r="A2" s="2590" t="s">
        <v>2915</v>
      </c>
      <c r="B2" s="2594"/>
      <c r="C2" s="2595"/>
      <c r="D2" s="2895"/>
      <c r="E2" s="2885"/>
      <c r="F2" s="2885"/>
      <c r="G2" s="2886"/>
      <c r="H2" s="2886"/>
      <c r="I2" s="2886"/>
      <c r="J2" s="2693"/>
      <c r="K2" s="2591"/>
      <c r="L2" s="2592"/>
      <c r="M2" s="2592"/>
      <c r="N2" s="2593"/>
      <c r="O2" s="1761"/>
      <c r="P2" s="2593"/>
      <c r="Q2" s="2593"/>
      <c r="R2" s="2593"/>
      <c r="S2" s="1868" t="str">
        <f>IF(B10="北京市","北京市",C10)&amp;F10&amp;IF(结果表!G1="在建","出让国有建设用地使用权及在建建筑物房地产",IF(结果表!G1="土地","出让国有建设用地使用权","房地产"))</f>
        <v>江苏省扬州市广陵区沙湾南路东侧、许庄路西侧（不动产单元号：321002006003GB00058W00000000）5套住宅用房房地产</v>
      </c>
      <c r="T2" s="1931"/>
      <c r="U2" s="1931"/>
      <c r="V2" s="1931"/>
      <c r="W2" s="1931"/>
      <c r="X2" s="1931"/>
      <c r="Y2" s="1931"/>
      <c r="Z2" s="1931"/>
      <c r="AA2" s="1931"/>
      <c r="AB2" s="1931"/>
    </row>
    <row r="3" spans="1:28">
      <c r="A3" s="308" t="s">
        <v>2916</v>
      </c>
      <c r="B3" s="2596">
        <v>44523</v>
      </c>
      <c r="C3" s="2597" t="s">
        <v>2917</v>
      </c>
      <c r="D3" s="2596">
        <f>B3</f>
        <v>44523</v>
      </c>
      <c r="E3" s="2886"/>
      <c r="F3" s="2886"/>
      <c r="G3" s="2886"/>
      <c r="H3" s="2886"/>
      <c r="I3" s="2886"/>
      <c r="J3" s="2693"/>
      <c r="K3" s="2591"/>
      <c r="L3" s="2592"/>
      <c r="M3" s="2592"/>
      <c r="N3" s="2593"/>
      <c r="O3" s="1761"/>
      <c r="P3" s="2593"/>
      <c r="Q3" s="2593"/>
      <c r="R3" s="2593"/>
      <c r="S3" s="1868"/>
      <c r="T3" s="1931"/>
      <c r="U3" s="1931"/>
      <c r="V3" s="1931"/>
      <c r="W3" s="1931"/>
      <c r="X3" s="1931"/>
      <c r="Y3" s="1931"/>
      <c r="Z3" s="1931"/>
      <c r="AA3" s="1931"/>
      <c r="AB3" s="1931"/>
    </row>
    <row r="4" spans="1:28" ht="13.5" thickBot="1">
      <c r="A4" s="1250" t="s">
        <v>2918</v>
      </c>
      <c r="B4" s="2598" t="s">
        <v>3063</v>
      </c>
      <c r="C4" s="2599">
        <f ca="1">SUMIF(注册房地产估价师,B4,估价师及机构信息!B3:B24)</f>
        <v>0</v>
      </c>
      <c r="D4" s="2598" t="s">
        <v>3064</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1"/>
      <c r="K4" s="2601" t="str">
        <f ca="1">CONCATENATE(B4,"（注册号：",C4,")、",D4,"（注册号：",E4,")")</f>
        <v>王鹏（注册号：0)、郑燚（注册号：1120070131)</v>
      </c>
      <c r="L4" s="2592"/>
      <c r="M4" s="2592"/>
      <c r="N4" s="2593"/>
      <c r="O4" s="1761"/>
      <c r="P4" s="2593"/>
      <c r="Q4" s="2593"/>
      <c r="R4" s="2593"/>
      <c r="S4" s="1868"/>
      <c r="T4" s="1931"/>
      <c r="U4" s="1931"/>
      <c r="V4" s="1931"/>
      <c r="W4" s="1931"/>
      <c r="X4" s="1931"/>
      <c r="Y4" s="1931"/>
      <c r="Z4" s="1931"/>
      <c r="AA4" s="1931"/>
      <c r="AB4" s="1931"/>
    </row>
    <row r="5" spans="1:28" ht="13.5" thickTop="1">
      <c r="A5" s="2602" t="s">
        <v>2919</v>
      </c>
      <c r="B5" s="3065" t="s">
        <v>3078</v>
      </c>
      <c r="C5" s="2603"/>
      <c r="D5" s="2604"/>
      <c r="E5" s="2887"/>
      <c r="F5" s="2887"/>
      <c r="G5" s="2887"/>
      <c r="H5" s="2887"/>
      <c r="I5" s="2887"/>
      <c r="J5" s="2661"/>
      <c r="K5" s="2601" t="str">
        <f>IF(F4="——","",IF(H4="——",F4&amp;"（注册号："&amp;G4&amp;")",CONCATENATE(F4,"（注册号：",G4,")、",H4,"（注册号：",I4,")")))</f>
        <v>（注册号：0)、（注册号：0)</v>
      </c>
      <c r="L5" s="2592"/>
      <c r="M5" s="2592"/>
      <c r="N5" s="2593"/>
      <c r="O5" s="1761"/>
      <c r="P5" s="2593"/>
      <c r="Q5" s="2593"/>
      <c r="R5" s="2593"/>
      <c r="S5" s="1931"/>
      <c r="T5" s="1931"/>
      <c r="U5" s="1931"/>
      <c r="V5" s="1931"/>
      <c r="W5" s="1931"/>
      <c r="X5" s="1931"/>
      <c r="Y5" s="1931"/>
      <c r="Z5" s="1931"/>
      <c r="AA5" s="1931"/>
      <c r="AB5" s="1931"/>
    </row>
    <row r="6" spans="1:28">
      <c r="A6" s="2605" t="s">
        <v>2920</v>
      </c>
      <c r="B6" s="2606" t="str">
        <f>B5</f>
        <v>中粮信托有限责任公司</v>
      </c>
      <c r="C6" s="2607"/>
      <c r="D6" s="2608"/>
      <c r="E6" s="2885"/>
      <c r="F6" s="2887"/>
      <c r="G6" s="2887"/>
      <c r="H6" s="2887"/>
      <c r="I6" s="2887"/>
      <c r="J6" s="2661"/>
      <c r="K6" s="2837" t="str">
        <f>IF(COUNTIF(B6,"*上海银行*"),"上海银行","")</f>
        <v/>
      </c>
      <c r="L6" s="2835"/>
      <c r="M6" s="2835"/>
      <c r="N6" s="2661"/>
      <c r="O6" s="2672"/>
      <c r="P6" s="2661"/>
      <c r="Q6" s="2661"/>
      <c r="R6" s="2661"/>
    </row>
    <row r="7" spans="1:28">
      <c r="A7" s="2605" t="s">
        <v>2921</v>
      </c>
      <c r="B7" s="2606" t="s">
        <v>3079</v>
      </c>
      <c r="C7" s="2607"/>
      <c r="D7" s="2608"/>
      <c r="E7" s="2885"/>
      <c r="F7" s="2887"/>
      <c r="G7" s="2887"/>
      <c r="H7" s="2887"/>
      <c r="I7" s="2887"/>
      <c r="J7" s="2661"/>
      <c r="K7" s="2838"/>
      <c r="L7" s="2835"/>
      <c r="M7" s="2835"/>
      <c r="N7" s="2661"/>
      <c r="O7" s="2672"/>
      <c r="P7" s="2661"/>
      <c r="Q7" s="2661"/>
      <c r="R7" s="2661"/>
    </row>
    <row r="8" spans="1:28">
      <c r="A8" s="2609" t="s">
        <v>2922</v>
      </c>
      <c r="B8" s="2610" t="s">
        <v>3080</v>
      </c>
      <c r="C8" s="2611"/>
      <c r="D8" s="3142" t="s">
        <v>2923</v>
      </c>
      <c r="E8" s="2612"/>
      <c r="F8" s="2613"/>
      <c r="G8" s="2886"/>
      <c r="H8" s="2886"/>
      <c r="I8" s="2886"/>
      <c r="J8" s="2661"/>
      <c r="K8" s="2836"/>
      <c r="L8" s="2835"/>
      <c r="M8" s="2835"/>
      <c r="N8" s="2661"/>
      <c r="O8" s="2672"/>
      <c r="P8" s="2661"/>
      <c r="Q8" s="2661"/>
      <c r="R8" s="2661"/>
    </row>
    <row r="9" spans="1:28" ht="13.5" thickBot="1">
      <c r="A9" s="2614" t="s">
        <v>2924</v>
      </c>
      <c r="B9" s="2615" t="s">
        <v>3081</v>
      </c>
      <c r="C9" s="2616"/>
      <c r="D9" s="3143"/>
      <c r="E9" s="2615"/>
      <c r="F9" s="2617"/>
      <c r="G9" s="2888"/>
      <c r="H9" s="2888"/>
      <c r="I9" s="2888"/>
      <c r="J9" s="2661"/>
      <c r="K9" s="2838"/>
      <c r="L9" s="2835"/>
      <c r="M9" s="2835"/>
      <c r="N9" s="2661"/>
      <c r="O9" s="2672"/>
      <c r="P9" s="2661"/>
      <c r="Q9" s="2661"/>
      <c r="R9" s="2661"/>
    </row>
    <row r="10" spans="1:28" ht="13.5" thickTop="1">
      <c r="A10" s="2618" t="s">
        <v>2925</v>
      </c>
      <c r="B10" s="2619"/>
      <c r="C10" s="3066" t="s">
        <v>3083</v>
      </c>
      <c r="D10" s="2604"/>
      <c r="E10" s="2620" t="s">
        <v>2926</v>
      </c>
      <c r="F10" s="2889" t="s">
        <v>3084</v>
      </c>
      <c r="G10" s="2890"/>
      <c r="H10" s="2891"/>
      <c r="I10" s="2892"/>
      <c r="J10" s="2661"/>
      <c r="K10" s="2838"/>
      <c r="L10" s="2835"/>
      <c r="M10" s="2835"/>
      <c r="N10" s="2661"/>
      <c r="O10" s="2672"/>
      <c r="P10" s="2661"/>
      <c r="Q10" s="2661"/>
      <c r="R10" s="2661"/>
    </row>
    <row r="11" spans="1:28" ht="25.5">
      <c r="A11" s="2621" t="s">
        <v>2927</v>
      </c>
      <c r="B11" s="2622" t="s">
        <v>3082</v>
      </c>
      <c r="C11" s="2623" t="str">
        <f>B7</f>
        <v>扬州正龙置业有限公司</v>
      </c>
      <c r="D11" s="2624"/>
      <c r="E11" s="2593"/>
      <c r="F11" s="2593"/>
      <c r="G11" s="2593"/>
      <c r="H11" s="2593"/>
      <c r="I11" s="2593"/>
      <c r="J11" s="2661"/>
      <c r="K11" s="2838"/>
      <c r="L11" s="2835"/>
      <c r="M11" s="2835"/>
      <c r="N11" s="2661"/>
      <c r="O11" s="2672"/>
      <c r="P11" s="2661"/>
      <c r="Q11" s="2661"/>
      <c r="R11" s="2661"/>
    </row>
    <row r="12" spans="1:28">
      <c r="A12" s="2625" t="s">
        <v>2928</v>
      </c>
      <c r="B12" s="2622" t="s">
        <v>3085</v>
      </c>
      <c r="C12" s="329" t="s">
        <v>2929</v>
      </c>
      <c r="D12" s="2626" t="s">
        <v>2930</v>
      </c>
      <c r="E12" s="2626" t="s">
        <v>2931</v>
      </c>
      <c r="F12" s="2626" t="s">
        <v>2932</v>
      </c>
      <c r="G12" s="2626" t="s">
        <v>2933</v>
      </c>
      <c r="H12" s="2626" t="s">
        <v>2934</v>
      </c>
      <c r="I12" s="2626" t="s">
        <v>2935</v>
      </c>
      <c r="J12" s="2661"/>
      <c r="K12" s="2838"/>
      <c r="L12" s="2835"/>
      <c r="M12" s="2835"/>
      <c r="N12" s="2661"/>
      <c r="O12" s="2672"/>
      <c r="P12" s="2661"/>
      <c r="Q12" s="2661"/>
      <c r="R12" s="2661"/>
    </row>
    <row r="13" spans="1:28">
      <c r="A13" s="1241"/>
      <c r="B13" s="2627"/>
      <c r="C13" s="2628" t="s">
        <v>2936</v>
      </c>
      <c r="D13" s="965">
        <v>69655</v>
      </c>
      <c r="E13" s="965"/>
      <c r="F13" s="965"/>
      <c r="G13" s="965"/>
      <c r="H13" s="965"/>
      <c r="I13" s="965"/>
      <c r="J13" s="2661"/>
      <c r="K13" s="2838"/>
      <c r="L13" s="2835"/>
      <c r="M13" s="2835"/>
      <c r="N13" s="2661"/>
      <c r="O13" s="2672"/>
      <c r="P13" s="2661"/>
      <c r="Q13" s="2661"/>
      <c r="R13" s="2661"/>
    </row>
    <row r="14" spans="1:28">
      <c r="A14" s="1241"/>
      <c r="B14" s="2627"/>
      <c r="C14" s="2628" t="s">
        <v>2937</v>
      </c>
      <c r="D14" s="2629">
        <v>70</v>
      </c>
      <c r="E14" s="2629"/>
      <c r="F14" s="2629"/>
      <c r="G14" s="2629"/>
      <c r="H14" s="2629"/>
      <c r="I14" s="2629"/>
      <c r="J14" s="2661"/>
      <c r="K14" s="2839"/>
      <c r="L14" s="2835"/>
      <c r="M14" s="2835"/>
      <c r="N14" s="2661"/>
      <c r="O14" s="2672"/>
      <c r="P14" s="2661"/>
      <c r="Q14" s="2661"/>
      <c r="R14" s="2661"/>
    </row>
    <row r="15" spans="1:28">
      <c r="A15" s="326"/>
      <c r="B15" s="2630"/>
      <c r="C15" s="2631" t="s">
        <v>2938</v>
      </c>
      <c r="D15" s="2632">
        <f>IF(B12="出让",IF(D13="","",ROUNDDOWN(MIN((D13-$D$3)/365,D14),2)),D14)</f>
        <v>68.849999999999994</v>
      </c>
      <c r="E15" s="2632" t="str">
        <f>IF(B12="出让",IF(E13="","",ROUNDDOWN(MIN((E13-$D$3)/365,E14),2)),E14)</f>
        <v/>
      </c>
      <c r="F15" s="2632" t="str">
        <f>IF(B12="出让",IF(F13="","",ROUNDDOWN(MIN((F13-$D$3)/365,F14),2)),F14)</f>
        <v/>
      </c>
      <c r="G15" s="2632" t="str">
        <f>IF(B12="出让",IF(G13="","",ROUNDDOWN(MIN((G13-$D$3)/365,G14),2)),G14)</f>
        <v/>
      </c>
      <c r="H15" s="2632" t="str">
        <f>IF(B12="出让",IF(H13="","",ROUNDDOWN(MIN((H13-$D$3)/365,H14),2)),H14)</f>
        <v/>
      </c>
      <c r="I15" s="2632" t="str">
        <f>IF(B12="出让",IF(I13="","",ROUNDDOWN(MIN((I13-$D$3)/365,I14),2)),I14)</f>
        <v/>
      </c>
      <c r="J15" s="2661"/>
      <c r="K15" s="2840"/>
      <c r="L15" s="2673"/>
      <c r="M15" s="2673"/>
      <c r="N15" s="2731"/>
      <c r="O15" s="2673"/>
      <c r="P15" s="2731"/>
      <c r="Q15" s="2661"/>
      <c r="R15" s="2661"/>
    </row>
    <row r="16" spans="1:28">
      <c r="A16" s="2620" t="s">
        <v>2939</v>
      </c>
      <c r="B16" s="3149" t="s">
        <v>3087</v>
      </c>
      <c r="C16" s="3150"/>
      <c r="D16" s="3151"/>
      <c r="E16" s="2635" t="s">
        <v>2940</v>
      </c>
      <c r="F16" s="3152" t="s">
        <v>3088</v>
      </c>
      <c r="G16" s="3153"/>
      <c r="H16" s="3153"/>
      <c r="I16" s="3154"/>
      <c r="J16" s="2661"/>
      <c r="K16" s="2840"/>
      <c r="L16" s="2673"/>
      <c r="M16" s="2673"/>
      <c r="N16" s="2731"/>
      <c r="O16" s="2673"/>
      <c r="P16" s="2731"/>
      <c r="Q16" s="2661"/>
      <c r="R16" s="2661"/>
    </row>
    <row r="17" spans="1:28">
      <c r="A17" s="319" t="s">
        <v>2941</v>
      </c>
      <c r="B17" s="308" t="s">
        <v>2942</v>
      </c>
      <c r="C17" s="11">
        <f>'数据-汇总表'!E3</f>
        <v>519.96</v>
      </c>
      <c r="D17" s="2544" t="s">
        <v>2943</v>
      </c>
      <c r="E17" s="3155" t="s">
        <v>3090</v>
      </c>
      <c r="F17" s="3156"/>
      <c r="G17" s="3156"/>
      <c r="H17" s="3156"/>
      <c r="I17" s="3157"/>
      <c r="J17" s="2661"/>
      <c r="K17" s="2841"/>
      <c r="L17" s="2673"/>
      <c r="M17" s="2673"/>
      <c r="N17" s="2731"/>
      <c r="O17" s="2673"/>
      <c r="P17" s="2731"/>
      <c r="Q17" s="2661"/>
      <c r="R17" s="2661"/>
      <c r="S17" s="2661"/>
      <c r="T17" s="2661"/>
      <c r="U17" s="2661"/>
      <c r="V17" s="2661"/>
    </row>
    <row r="18" spans="1:28" ht="24.75" thickBot="1">
      <c r="A18" s="2636" t="s">
        <v>2944</v>
      </c>
      <c r="B18" s="1250" t="s">
        <v>2945</v>
      </c>
      <c r="C18" s="2637">
        <f>'数据-汇总表'!D3</f>
        <v>202.06</v>
      </c>
      <c r="D18" s="1252" t="s">
        <v>2946</v>
      </c>
      <c r="E18" s="3158" t="s">
        <v>3089</v>
      </c>
      <c r="F18" s="3159"/>
      <c r="G18" s="3159"/>
      <c r="H18" s="3159"/>
      <c r="I18" s="3160"/>
      <c r="J18" s="2661"/>
      <c r="K18" s="2841"/>
      <c r="L18" s="2673"/>
      <c r="M18" s="2673"/>
      <c r="N18" s="2731"/>
      <c r="O18" s="2673"/>
      <c r="P18" s="2731"/>
      <c r="Q18" s="2661"/>
      <c r="R18" s="2661"/>
      <c r="S18" s="2661"/>
      <c r="T18" s="2661"/>
      <c r="U18" s="2661"/>
      <c r="V18" s="2661"/>
    </row>
    <row r="19" spans="1:28" ht="37.5" thickTop="1" thickBot="1">
      <c r="A19" s="333" t="s">
        <v>1740</v>
      </c>
      <c r="B19" s="313" t="s">
        <v>2947</v>
      </c>
      <c r="C19" s="1748" t="s">
        <v>3091</v>
      </c>
      <c r="D19" s="1749" t="s">
        <v>2948</v>
      </c>
      <c r="E19" s="1750" t="s">
        <v>3091</v>
      </c>
      <c r="F19" s="1751" t="str">
        <f>IF(AND(C19="是",E19="否"),"是否提供他项权证或相关说明","")</f>
        <v/>
      </c>
      <c r="G19" s="1752"/>
      <c r="H19" s="2887"/>
      <c r="I19" s="2887"/>
      <c r="J19" s="2661"/>
      <c r="K19" s="2838"/>
      <c r="L19" s="2835"/>
      <c r="M19" s="2835"/>
      <c r="N19" s="2731"/>
      <c r="O19" s="2673"/>
      <c r="P19" s="2731"/>
      <c r="Q19" s="2661"/>
      <c r="R19" s="2661"/>
      <c r="S19" s="2661"/>
      <c r="T19" s="2661"/>
      <c r="U19" s="2661"/>
      <c r="V19" s="2661"/>
    </row>
    <row r="20" spans="1:28">
      <c r="A20" s="2855" t="s">
        <v>2949</v>
      </c>
      <c r="B20" s="3145" t="s">
        <v>2950</v>
      </c>
      <c r="C20" s="3146"/>
      <c r="D20" s="3147" t="s">
        <v>2951</v>
      </c>
      <c r="E20" s="3148"/>
      <c r="F20" s="2870" t="s">
        <v>1741</v>
      </c>
      <c r="G20" s="2887"/>
      <c r="H20" s="2887"/>
      <c r="I20" s="2887"/>
      <c r="J20" s="2661"/>
      <c r="K20" s="3144"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4"/>
      <c r="O20" s="2633"/>
      <c r="P20" s="2634"/>
      <c r="Q20" s="2593"/>
      <c r="R20" s="2593"/>
      <c r="S20" s="2593"/>
      <c r="T20" s="2593"/>
      <c r="U20" s="2593"/>
      <c r="V20" s="2593"/>
      <c r="W20" s="1931"/>
      <c r="X20" s="1931"/>
      <c r="Y20" s="1931"/>
      <c r="Z20" s="1931"/>
      <c r="AA20" s="1931"/>
      <c r="AB20" s="1931"/>
    </row>
    <row r="21" spans="1:28" ht="24.75" thickBot="1">
      <c r="A21" s="2855"/>
      <c r="B21" s="2856" t="s">
        <v>2953</v>
      </c>
      <c r="C21" s="2857" t="s">
        <v>1742</v>
      </c>
      <c r="D21" s="1753" t="s">
        <v>2954</v>
      </c>
      <c r="E21" s="2858" t="s">
        <v>1742</v>
      </c>
      <c r="F21" s="2871"/>
      <c r="G21" s="2887"/>
      <c r="H21" s="2887"/>
      <c r="I21" s="2887"/>
      <c r="J21" s="2661"/>
      <c r="K21" s="314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2"/>
      <c r="N21" s="2634"/>
      <c r="O21" s="2633"/>
      <c r="P21" s="2634"/>
      <c r="Q21" s="2593"/>
      <c r="R21" s="2593"/>
      <c r="S21" s="2593"/>
      <c r="T21" s="2593"/>
      <c r="U21" s="2593"/>
      <c r="V21" s="2593"/>
      <c r="W21" s="1931"/>
      <c r="X21" s="1931"/>
      <c r="Y21" s="1931"/>
      <c r="Z21" s="1931"/>
      <c r="AA21" s="1931"/>
      <c r="AB21" s="1931"/>
    </row>
    <row r="22" spans="1:28" ht="24.75" thickBot="1">
      <c r="A22" s="2855"/>
      <c r="B22" s="2859" t="s">
        <v>2955</v>
      </c>
      <c r="C22" s="2857" t="s">
        <v>1743</v>
      </c>
      <c r="D22" s="2886"/>
      <c r="E22" s="2886"/>
      <c r="F22" s="2886"/>
      <c r="G22" s="2887"/>
      <c r="H22" s="2887"/>
      <c r="I22" s="2887"/>
      <c r="J22" s="2661"/>
      <c r="K22" s="314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4"/>
      <c r="O22" s="2633"/>
      <c r="P22" s="2634"/>
      <c r="Q22" s="2593"/>
      <c r="R22" s="2593"/>
      <c r="S22" s="2593"/>
      <c r="T22" s="2593"/>
      <c r="U22" s="2593"/>
      <c r="V22" s="2593"/>
      <c r="W22" s="1931"/>
      <c r="X22" s="1931"/>
      <c r="Y22" s="1931"/>
      <c r="Z22" s="1931"/>
      <c r="AA22" s="1931"/>
      <c r="AB22" s="1931"/>
    </row>
    <row r="23" spans="1:28">
      <c r="A23" s="2860" t="s">
        <v>2956</v>
      </c>
      <c r="B23" s="2724" t="s">
        <v>2957</v>
      </c>
      <c r="C23" s="2861"/>
      <c r="D23" s="2862" t="s">
        <v>2957</v>
      </c>
      <c r="E23" s="2863"/>
      <c r="F23" s="2886"/>
      <c r="G23" s="2887"/>
      <c r="H23" s="2887"/>
      <c r="I23" s="2887"/>
      <c r="J23" s="2661"/>
      <c r="K23" s="2842"/>
      <c r="L23" s="2697"/>
      <c r="M23" s="2835"/>
      <c r="N23" s="2731"/>
      <c r="O23" s="2673"/>
      <c r="P23" s="2731"/>
      <c r="Q23" s="2661"/>
      <c r="R23" s="2661"/>
      <c r="S23" s="2661"/>
      <c r="T23" s="2661"/>
      <c r="U23" s="2661"/>
      <c r="V23" s="2661"/>
    </row>
    <row r="24" spans="1:28">
      <c r="A24" s="2860"/>
      <c r="B24" s="2724" t="s">
        <v>1744</v>
      </c>
      <c r="C24" s="2864"/>
      <c r="D24" s="2860" t="s">
        <v>1744</v>
      </c>
      <c r="E24" s="2865"/>
      <c r="F24" s="2886"/>
      <c r="G24" s="2887"/>
      <c r="H24" s="2887"/>
      <c r="I24" s="2887"/>
      <c r="J24" s="2661"/>
      <c r="K24" s="2842"/>
      <c r="L24" s="2697"/>
      <c r="M24" s="2835"/>
      <c r="N24" s="2731"/>
      <c r="O24" s="2673"/>
      <c r="P24" s="2731"/>
      <c r="Q24" s="2661"/>
      <c r="R24" s="2661"/>
      <c r="S24" s="2661"/>
      <c r="T24" s="2661"/>
      <c r="U24" s="2661"/>
      <c r="V24" s="2661"/>
    </row>
    <row r="25" spans="1:28">
      <c r="A25" s="2860"/>
      <c r="B25" s="2724" t="s">
        <v>1745</v>
      </c>
      <c r="C25" s="2864"/>
      <c r="D25" s="2860" t="s">
        <v>1745</v>
      </c>
      <c r="E25" s="2865"/>
      <c r="F25" s="2886"/>
      <c r="G25" s="2887"/>
      <c r="H25" s="2887"/>
      <c r="I25" s="2887"/>
      <c r="J25" s="2661"/>
      <c r="K25" s="2838"/>
      <c r="L25" s="2835"/>
      <c r="M25" s="2835"/>
      <c r="N25" s="2731"/>
      <c r="O25" s="2673"/>
      <c r="P25" s="2731"/>
      <c r="Q25" s="2661"/>
      <c r="R25" s="2661"/>
      <c r="S25" s="2661"/>
      <c r="T25" s="2661"/>
      <c r="U25" s="2661"/>
      <c r="V25" s="2661"/>
    </row>
    <row r="26" spans="1:28" ht="13.5" thickBot="1">
      <c r="A26" s="2866"/>
      <c r="B26" s="2867" t="s">
        <v>1746</v>
      </c>
      <c r="C26" s="2868"/>
      <c r="D26" s="2866" t="s">
        <v>1746</v>
      </c>
      <c r="E26" s="2869"/>
      <c r="F26" s="2888"/>
      <c r="G26" s="2888"/>
      <c r="H26" s="2888"/>
      <c r="I26" s="2888"/>
      <c r="J26" s="2661"/>
      <c r="K26" s="2838"/>
      <c r="L26" s="2835"/>
      <c r="M26" s="2835"/>
      <c r="N26" s="2731"/>
      <c r="O26" s="2673"/>
      <c r="P26" s="2731"/>
      <c r="Q26" s="2661"/>
      <c r="R26" s="2661"/>
      <c r="S26" s="2661"/>
      <c r="T26" s="2661"/>
      <c r="U26" s="2661"/>
      <c r="V26" s="2661"/>
    </row>
    <row r="27" spans="1:28" ht="13.5" thickTop="1">
      <c r="A27" s="3132" t="s">
        <v>2958</v>
      </c>
      <c r="B27" s="326" t="s">
        <v>2959</v>
      </c>
      <c r="C27" s="2638" t="s">
        <v>3092</v>
      </c>
      <c r="D27" s="2639"/>
      <c r="E27" s="2887"/>
      <c r="F27" s="2887"/>
      <c r="G27" s="2887"/>
      <c r="H27" s="2887"/>
      <c r="I27" s="2887"/>
      <c r="J27" s="2661"/>
      <c r="K27" s="2840"/>
      <c r="L27" s="2673"/>
      <c r="M27" s="2673"/>
      <c r="N27" s="2731"/>
      <c r="O27" s="2673"/>
      <c r="P27" s="2731"/>
      <c r="Q27" s="2661"/>
      <c r="R27" s="2661"/>
      <c r="S27" s="2661"/>
      <c r="T27" s="2661"/>
      <c r="U27" s="2661"/>
      <c r="V27" s="2661"/>
    </row>
    <row r="28" spans="1:28">
      <c r="A28" s="3132"/>
      <c r="B28" s="308" t="s">
        <v>2960</v>
      </c>
      <c r="C28" s="2640" t="s">
        <v>3093</v>
      </c>
      <c r="D28" s="2641"/>
      <c r="E28" s="2887"/>
      <c r="F28" s="2887"/>
      <c r="G28" s="2887"/>
      <c r="H28" s="2887"/>
      <c r="I28" s="2887"/>
      <c r="J28" s="2661"/>
      <c r="K28" s="2838"/>
      <c r="L28" s="2835"/>
      <c r="M28" s="2835"/>
      <c r="N28" s="2661"/>
      <c r="O28" s="2672"/>
      <c r="P28" s="2661"/>
      <c r="Q28" s="2661"/>
      <c r="R28" s="2661"/>
      <c r="S28" s="2661"/>
      <c r="T28" s="2661"/>
      <c r="U28" s="2661"/>
      <c r="V28" s="2661"/>
    </row>
    <row r="29" spans="1:28">
      <c r="A29" s="3132"/>
      <c r="B29" s="308" t="s">
        <v>2961</v>
      </c>
      <c r="C29" s="2642" t="s">
        <v>3091</v>
      </c>
      <c r="D29" s="2643"/>
      <c r="E29" s="2887"/>
      <c r="F29" s="2887"/>
      <c r="G29" s="2887"/>
      <c r="H29" s="2887"/>
      <c r="I29" s="2887"/>
      <c r="J29" s="2661"/>
      <c r="K29" s="2838"/>
      <c r="L29" s="2835"/>
      <c r="M29" s="2835"/>
      <c r="N29" s="2661"/>
      <c r="O29" s="2672"/>
      <c r="P29" s="2661"/>
      <c r="Q29" s="2661"/>
      <c r="R29" s="2661"/>
      <c r="S29" s="2661"/>
      <c r="T29" s="2661"/>
      <c r="U29" s="2661"/>
      <c r="V29" s="2661"/>
    </row>
    <row r="30" spans="1:28">
      <c r="A30" s="3133"/>
      <c r="B30" s="308" t="s">
        <v>2962</v>
      </c>
      <c r="C30" s="3134"/>
      <c r="D30" s="3135"/>
      <c r="E30" s="2887"/>
      <c r="F30" s="2887"/>
      <c r="G30" s="2887"/>
      <c r="H30" s="2887"/>
      <c r="I30" s="2887"/>
      <c r="J30" s="2661"/>
      <c r="K30" s="2838"/>
      <c r="L30" s="2835"/>
      <c r="M30" s="2835"/>
      <c r="N30" s="2661"/>
      <c r="O30" s="2672"/>
      <c r="P30" s="2661"/>
      <c r="Q30" s="2661"/>
      <c r="R30" s="2661"/>
      <c r="S30" s="2661"/>
      <c r="T30" s="2661"/>
      <c r="U30" s="2661"/>
      <c r="V30" s="2661"/>
    </row>
    <row r="31" spans="1:28">
      <c r="A31" s="3136" t="s">
        <v>2963</v>
      </c>
      <c r="B31" s="2644" t="s">
        <v>3094</v>
      </c>
      <c r="C31" s="2545" t="str">
        <f>IF(B31="现房","成新及维护状况正常否",IF(B31="在建","工程状态是否正常",IF(B31="土地","是否闲置","-")))</f>
        <v>成新及维护状况正常否</v>
      </c>
      <c r="D31" s="1557"/>
      <c r="E31" s="2645"/>
      <c r="F31" s="2887"/>
      <c r="G31" s="2887"/>
      <c r="H31" s="2887"/>
      <c r="I31" s="2887"/>
      <c r="J31" s="2661"/>
      <c r="K31" s="2837"/>
      <c r="L31" s="2835"/>
      <c r="M31" s="2835"/>
      <c r="N31" s="2661"/>
      <c r="O31" s="2672"/>
      <c r="P31" s="2661"/>
      <c r="Q31" s="2661"/>
      <c r="R31" s="2661"/>
      <c r="S31" s="2661"/>
      <c r="T31" s="2661"/>
      <c r="U31" s="2661"/>
      <c r="V31" s="2661"/>
    </row>
    <row r="32" spans="1:28">
      <c r="A32" s="3137"/>
      <c r="B32" s="2644"/>
      <c r="C32" s="2545" t="str">
        <f>IF(B32="现房","成新及维护状况是否正常",IF(B32="在建","工程状态是否正常",IF(B32="土地","是否闲置","-")))</f>
        <v>-</v>
      </c>
      <c r="D32" s="1557"/>
      <c r="E32" s="2645"/>
      <c r="F32" s="2887"/>
      <c r="G32" s="2887"/>
      <c r="H32" s="2887"/>
      <c r="I32" s="2887"/>
      <c r="J32" s="2661"/>
      <c r="K32" s="2838"/>
      <c r="L32" s="2835"/>
      <c r="M32" s="2835"/>
      <c r="N32" s="2661"/>
      <c r="O32" s="2672"/>
      <c r="P32" s="2661"/>
      <c r="Q32" s="2661"/>
      <c r="R32" s="2661"/>
      <c r="S32" s="2661"/>
      <c r="T32" s="2661"/>
      <c r="U32" s="2661"/>
      <c r="V32" s="2661"/>
    </row>
    <row r="33" spans="1:30">
      <c r="A33" s="3137"/>
      <c r="B33" s="2647"/>
      <c r="C33" s="1775" t="str">
        <f>IF(B33="现房","成新及维护状况是否正常",IF(B33="在建","工程状态是否正常",IF(B33="土地","是否闲置","-")))</f>
        <v>-</v>
      </c>
      <c r="D33" s="1549"/>
      <c r="E33" s="2648"/>
      <c r="F33" s="2887"/>
      <c r="G33" s="2887"/>
      <c r="H33" s="2887"/>
      <c r="I33" s="2887"/>
      <c r="J33" s="2661"/>
      <c r="K33" s="2838"/>
      <c r="L33" s="2835"/>
      <c r="M33" s="2835"/>
      <c r="N33" s="2661"/>
      <c r="O33" s="2672"/>
      <c r="P33" s="2661"/>
      <c r="Q33" s="2661"/>
      <c r="R33" s="2661"/>
      <c r="S33" s="2661"/>
      <c r="T33" s="2661"/>
      <c r="U33" s="2661"/>
      <c r="V33" s="2661"/>
    </row>
    <row r="34" spans="1:30">
      <c r="A34" s="308" t="s">
        <v>2964</v>
      </c>
      <c r="B34" s="2213" t="s">
        <v>3095</v>
      </c>
      <c r="C34" s="2213" t="s">
        <v>3096</v>
      </c>
      <c r="D34" s="2213" t="s">
        <v>3097</v>
      </c>
      <c r="E34" s="2213" t="s">
        <v>3098</v>
      </c>
      <c r="F34" s="2213" t="s">
        <v>3099</v>
      </c>
      <c r="G34" s="2213" t="s">
        <v>3100</v>
      </c>
      <c r="H34" s="2213"/>
      <c r="I34" s="2887"/>
      <c r="J34" s="2661"/>
      <c r="K34" s="2649">
        <f>COUNTIF(B34:H34,"——")</f>
        <v>0</v>
      </c>
      <c r="L34" s="329" t="s">
        <v>2965</v>
      </c>
      <c r="M34" s="329" t="s">
        <v>2966</v>
      </c>
      <c r="N34" s="329" t="s">
        <v>2967</v>
      </c>
      <c r="O34" s="329" t="s">
        <v>2968</v>
      </c>
      <c r="P34" s="329" t="s">
        <v>2969</v>
      </c>
      <c r="Q34" s="329" t="s">
        <v>2970</v>
      </c>
      <c r="R34" s="329" t="s">
        <v>2971</v>
      </c>
      <c r="S34" s="3131" t="s">
        <v>2972</v>
      </c>
      <c r="T34" s="2650" t="str">
        <f>NUMBERSTRING(7-K34,1)&amp;"通"</f>
        <v>七通</v>
      </c>
      <c r="U34" s="2661"/>
      <c r="V34" s="2661"/>
    </row>
    <row r="35" spans="1:30" ht="25.5">
      <c r="A35" s="2651"/>
      <c r="B35" s="3138" t="s">
        <v>2973</v>
      </c>
      <c r="C35" s="3138"/>
      <c r="D35" s="3138"/>
      <c r="E35" s="3138"/>
      <c r="F35" s="673" t="str">
        <f>C10</f>
        <v>江苏省扬州市广陵区</v>
      </c>
      <c r="G35" s="2887"/>
      <c r="H35" s="2887"/>
      <c r="I35" s="2887"/>
      <c r="J35" s="2661"/>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31"/>
      <c r="T35" s="335" t="str">
        <f>IF(T34="一通",L35,IF(T34="二通",M35,IF(T34="三通",N35,IF(T34="四通",O35,IF(T34="五通",P35,IF(T34="六通",Q35,R35))))))</f>
        <v>通路、通电、通讯、通上水、通下水、燃气、</v>
      </c>
      <c r="U35" s="2661"/>
      <c r="V35" s="2661"/>
    </row>
    <row r="36" spans="1:30">
      <c r="A36" s="2652"/>
      <c r="B36" s="673" t="s">
        <v>2931</v>
      </c>
      <c r="C36" s="673" t="s">
        <v>2932</v>
      </c>
      <c r="D36" s="673" t="s">
        <v>2930</v>
      </c>
      <c r="E36" s="673" t="s">
        <v>2935</v>
      </c>
      <c r="F36" s="2893"/>
      <c r="G36" s="2887"/>
      <c r="H36" s="2887"/>
      <c r="I36" s="2887"/>
      <c r="J36" s="2661"/>
      <c r="K36" s="2838"/>
      <c r="L36" s="2835"/>
      <c r="M36" s="2835"/>
      <c r="N36" s="2661"/>
      <c r="O36" s="2672"/>
      <c r="P36" s="2661"/>
      <c r="Q36" s="2661"/>
      <c r="R36" s="2661"/>
      <c r="S36" s="2661"/>
      <c r="T36" s="2661"/>
      <c r="U36" s="2661"/>
      <c r="V36" s="2661"/>
    </row>
    <row r="37" spans="1:30">
      <c r="A37" s="2853" t="s">
        <v>2974</v>
      </c>
      <c r="B37" s="2653"/>
      <c r="C37" s="2653"/>
      <c r="D37" s="2653"/>
      <c r="E37" s="2653"/>
      <c r="F37" s="2893"/>
      <c r="G37" s="2887"/>
      <c r="H37" s="2887"/>
      <c r="I37" s="2887"/>
      <c r="J37" s="2661"/>
      <c r="K37" s="2838"/>
      <c r="L37" s="2835"/>
      <c r="M37" s="2835"/>
      <c r="N37" s="2661"/>
      <c r="O37" s="2672"/>
      <c r="P37" s="2661"/>
      <c r="Q37" s="2661"/>
      <c r="R37" s="2661"/>
      <c r="S37" s="2661"/>
      <c r="T37" s="2661"/>
      <c r="U37" s="2661"/>
      <c r="V37" s="2661"/>
    </row>
    <row r="38" spans="1:30" ht="13.5" thickBot="1">
      <c r="A38" s="2854" t="s">
        <v>2975</v>
      </c>
      <c r="B38" s="2654"/>
      <c r="C38" s="2654"/>
      <c r="D38" s="2654"/>
      <c r="E38" s="2654"/>
      <c r="F38" s="2894"/>
      <c r="G38" s="2888"/>
      <c r="H38" s="2888"/>
      <c r="I38" s="2888"/>
      <c r="J38" s="2661"/>
      <c r="K38" s="2838"/>
      <c r="L38" s="2835"/>
      <c r="M38" s="2835"/>
      <c r="N38" s="2661"/>
      <c r="O38" s="2672"/>
      <c r="P38" s="2661"/>
      <c r="Q38" s="2661"/>
      <c r="R38" s="2661"/>
      <c r="S38" s="2661"/>
      <c r="T38" s="2661"/>
      <c r="U38" s="2661"/>
      <c r="V38" s="2661"/>
    </row>
    <row r="39" spans="1:30" s="2657" customFormat="1" ht="14.25" thickTop="1" thickBot="1">
      <c r="A39" s="2655" t="s">
        <v>2976</v>
      </c>
      <c r="B39" s="2656"/>
      <c r="C39" s="2656"/>
      <c r="D39" s="2656"/>
      <c r="E39" s="2656"/>
      <c r="F39" s="2656"/>
      <c r="G39" s="2656"/>
      <c r="H39" s="2656"/>
      <c r="I39" s="2656"/>
      <c r="J39" s="2845"/>
      <c r="K39" s="2846"/>
      <c r="L39" s="2845"/>
      <c r="M39" s="2845"/>
      <c r="N39" s="2845"/>
      <c r="O39" s="2847"/>
      <c r="P39" s="2845"/>
      <c r="Q39" s="2845"/>
      <c r="R39" s="2845"/>
      <c r="S39" s="2845"/>
      <c r="T39" s="2845"/>
      <c r="U39" s="2845"/>
      <c r="V39" s="2845"/>
      <c r="W39" s="2848"/>
      <c r="X39" s="2848"/>
      <c r="Y39" s="2848"/>
      <c r="Z39" s="2848"/>
      <c r="AA39" s="2848"/>
      <c r="AB39" s="2848"/>
      <c r="AC39" s="2848"/>
      <c r="AD39" s="2848"/>
    </row>
    <row r="40" spans="1:30">
      <c r="A40" s="2593"/>
      <c r="B40" s="2593"/>
      <c r="C40" s="2593"/>
      <c r="D40" s="2593"/>
      <c r="E40" s="2593"/>
      <c r="F40" s="2593"/>
      <c r="G40" s="2593"/>
      <c r="H40" s="2593"/>
      <c r="I40" s="1763"/>
      <c r="J40" s="2731"/>
      <c r="K40" s="2837"/>
      <c r="L40" s="2673"/>
      <c r="M40" s="2673"/>
      <c r="N40" s="2731"/>
      <c r="O40" s="2673"/>
      <c r="P40" s="2661"/>
      <c r="Q40" s="2661"/>
      <c r="R40" s="2661"/>
      <c r="S40" s="2661"/>
      <c r="T40" s="2661"/>
      <c r="U40" s="2661"/>
      <c r="V40" s="2661"/>
    </row>
    <row r="41" spans="1:30">
      <c r="A41" s="2658" t="s">
        <v>2977</v>
      </c>
      <c r="B41" s="1943"/>
      <c r="C41" s="1557"/>
      <c r="D41" s="2593"/>
      <c r="E41" s="2593"/>
      <c r="F41" s="2593"/>
      <c r="G41" s="2593"/>
      <c r="H41" s="2593"/>
      <c r="I41" s="1761"/>
      <c r="J41" s="2661"/>
      <c r="K41" s="2838"/>
      <c r="L41" s="2835"/>
      <c r="M41" s="2835"/>
      <c r="N41" s="2661"/>
      <c r="O41" s="2672"/>
      <c r="P41" s="2661"/>
      <c r="Q41" s="2661"/>
      <c r="R41" s="2661"/>
      <c r="S41" s="2661"/>
      <c r="T41" s="2661"/>
      <c r="U41" s="2661"/>
      <c r="V41" s="2661"/>
    </row>
    <row r="42" spans="1:30" ht="25.5">
      <c r="A42" s="329" t="s">
        <v>2978</v>
      </c>
      <c r="B42" s="11" t="s">
        <v>2979</v>
      </c>
      <c r="C42" s="11" t="s">
        <v>2980</v>
      </c>
      <c r="D42" s="11" t="s">
        <v>2981</v>
      </c>
      <c r="E42" s="11" t="s">
        <v>2982</v>
      </c>
      <c r="F42" s="11" t="s">
        <v>2983</v>
      </c>
      <c r="G42" s="11" t="s">
        <v>2984</v>
      </c>
      <c r="H42" s="11" t="s">
        <v>2985</v>
      </c>
      <c r="I42" s="11" t="s">
        <v>2986</v>
      </c>
      <c r="J42" s="2849" t="s">
        <v>2987</v>
      </c>
      <c r="K42" s="2850" t="s">
        <v>2988</v>
      </c>
      <c r="L42" s="2850" t="s">
        <v>2989</v>
      </c>
      <c r="M42" s="2850" t="s">
        <v>2990</v>
      </c>
      <c r="N42" s="2843" t="s">
        <v>2991</v>
      </c>
      <c r="O42" s="2843" t="s">
        <v>2992</v>
      </c>
      <c r="P42" s="2843" t="s">
        <v>2993</v>
      </c>
      <c r="Q42" s="2844" t="s">
        <v>2994</v>
      </c>
      <c r="R42" s="2844" t="s">
        <v>2995</v>
      </c>
      <c r="S42" s="2661"/>
      <c r="T42" s="2661"/>
      <c r="U42" s="2661"/>
      <c r="V42" s="2661"/>
    </row>
    <row r="43" spans="1:30" s="1929" customFormat="1">
      <c r="A43" s="1755"/>
      <c r="B43" s="1182"/>
      <c r="C43" s="1182"/>
      <c r="D43" s="1182"/>
      <c r="E43" s="1182"/>
      <c r="F43" s="1182"/>
      <c r="G43" s="1182"/>
      <c r="H43" s="1182"/>
      <c r="I43" s="1182"/>
      <c r="J43" s="2659"/>
      <c r="K43" s="2660"/>
      <c r="L43" s="2660"/>
      <c r="M43" s="1182"/>
      <c r="N43" s="1182"/>
      <c r="O43" s="1182"/>
      <c r="P43" s="1182"/>
      <c r="Q43" s="1182"/>
      <c r="R43" s="1182"/>
      <c r="S43" s="2661"/>
      <c r="T43" s="2661"/>
      <c r="U43" s="2661"/>
      <c r="V43" s="2661"/>
    </row>
    <row r="44" spans="1:30" s="1929" customFormat="1">
      <c r="A44" s="1755"/>
      <c r="B44" s="1755"/>
      <c r="C44" s="1182"/>
      <c r="D44" s="1182"/>
      <c r="E44" s="1182"/>
      <c r="F44" s="1182"/>
      <c r="G44" s="1182"/>
      <c r="H44" s="1182"/>
      <c r="I44" s="1182"/>
      <c r="J44" s="2659"/>
      <c r="K44" s="2660"/>
      <c r="L44" s="2660"/>
      <c r="M44" s="1182"/>
      <c r="N44" s="1182"/>
      <c r="O44" s="1182"/>
      <c r="P44" s="1182"/>
      <c r="Q44" s="1182"/>
      <c r="R44" s="1182"/>
      <c r="S44" s="2661"/>
      <c r="T44" s="2661"/>
      <c r="U44" s="2661"/>
      <c r="V44" s="2661"/>
    </row>
    <row r="45" spans="1:30" s="1929" customFormat="1">
      <c r="A45" s="1755"/>
      <c r="B45" s="1755"/>
      <c r="C45" s="1182"/>
      <c r="D45" s="1182"/>
      <c r="E45" s="1182"/>
      <c r="F45" s="1182"/>
      <c r="G45" s="1182"/>
      <c r="H45" s="1182"/>
      <c r="I45" s="1182"/>
      <c r="J45" s="2659"/>
      <c r="K45" s="2660"/>
      <c r="L45" s="2660"/>
      <c r="M45" s="1182"/>
      <c r="N45" s="1182"/>
      <c r="O45" s="1182"/>
      <c r="P45" s="1182"/>
      <c r="Q45" s="1182"/>
      <c r="R45" s="1182"/>
      <c r="S45" s="2661"/>
      <c r="T45" s="2661"/>
      <c r="U45" s="2661"/>
      <c r="V45" s="2661"/>
    </row>
    <row r="46" spans="1:30" s="1929" customFormat="1">
      <c r="A46" s="1755"/>
      <c r="B46" s="1755"/>
      <c r="C46" s="1182"/>
      <c r="D46" s="1182"/>
      <c r="E46" s="1182"/>
      <c r="F46" s="1182"/>
      <c r="G46" s="1182"/>
      <c r="H46" s="1182"/>
      <c r="I46" s="1182"/>
      <c r="J46" s="2659"/>
      <c r="K46" s="2660"/>
      <c r="L46" s="2660"/>
      <c r="M46" s="1182"/>
      <c r="N46" s="1182"/>
      <c r="O46" s="1182"/>
      <c r="P46" s="1182"/>
      <c r="Q46" s="1182"/>
      <c r="R46" s="1182"/>
      <c r="S46" s="2661"/>
      <c r="T46" s="2661"/>
      <c r="U46" s="2661"/>
      <c r="V46" s="2661"/>
    </row>
    <row r="47" spans="1:30" s="1929" customFormat="1">
      <c r="A47" s="1755"/>
      <c r="B47" s="1755"/>
      <c r="C47" s="1182"/>
      <c r="D47" s="1182"/>
      <c r="E47" s="1182"/>
      <c r="F47" s="1182"/>
      <c r="G47" s="1182"/>
      <c r="H47" s="1182"/>
      <c r="I47" s="1182"/>
      <c r="J47" s="2659"/>
      <c r="K47" s="2660"/>
      <c r="L47" s="2660"/>
      <c r="M47" s="1182"/>
      <c r="N47" s="1182"/>
      <c r="O47" s="1182"/>
      <c r="P47" s="1182"/>
      <c r="Q47" s="1182"/>
      <c r="R47" s="1182"/>
      <c r="S47" s="2661"/>
      <c r="T47" s="2661"/>
      <c r="U47" s="2661"/>
      <c r="V47" s="2661"/>
    </row>
    <row r="48" spans="1:30" s="1929" customFormat="1">
      <c r="A48" s="1755"/>
      <c r="B48" s="1755"/>
      <c r="C48" s="1182"/>
      <c r="D48" s="1182"/>
      <c r="E48" s="1182"/>
      <c r="F48" s="1182"/>
      <c r="G48" s="1182"/>
      <c r="H48" s="1182"/>
      <c r="I48" s="1182"/>
      <c r="J48" s="2659"/>
      <c r="K48" s="2660"/>
      <c r="L48" s="2660"/>
      <c r="M48" s="1182"/>
      <c r="N48" s="1182"/>
      <c r="O48" s="1182"/>
      <c r="P48" s="1182"/>
      <c r="Q48" s="1182"/>
      <c r="R48" s="1182"/>
      <c r="S48" s="2661"/>
      <c r="T48" s="2661"/>
      <c r="U48" s="2661"/>
      <c r="V48" s="2661"/>
    </row>
    <row r="49" spans="1:22" s="1929" customFormat="1">
      <c r="A49" s="1755"/>
      <c r="B49" s="1755"/>
      <c r="C49" s="1182"/>
      <c r="D49" s="1182"/>
      <c r="E49" s="1182"/>
      <c r="F49" s="1182"/>
      <c r="G49" s="1182"/>
      <c r="H49" s="1182"/>
      <c r="I49" s="1182"/>
      <c r="J49" s="2659"/>
      <c r="K49" s="2660"/>
      <c r="L49" s="2660"/>
      <c r="M49" s="1182"/>
      <c r="N49" s="1182"/>
      <c r="O49" s="1182"/>
      <c r="P49" s="1182"/>
      <c r="Q49" s="1182"/>
      <c r="R49" s="1182"/>
      <c r="S49" s="2661"/>
      <c r="T49" s="2661"/>
      <c r="U49" s="2661"/>
      <c r="V49" s="2661"/>
    </row>
    <row r="50" spans="1:22" s="1929" customFormat="1">
      <c r="A50" s="1755"/>
      <c r="B50" s="1755"/>
      <c r="C50" s="1182"/>
      <c r="D50" s="1182"/>
      <c r="E50" s="1182"/>
      <c r="F50" s="1182"/>
      <c r="G50" s="1182"/>
      <c r="H50" s="1182"/>
      <c r="I50" s="1182"/>
      <c r="J50" s="2659"/>
      <c r="K50" s="2660"/>
      <c r="L50" s="2660"/>
      <c r="M50" s="1182"/>
      <c r="N50" s="1182"/>
      <c r="O50" s="1182"/>
      <c r="P50" s="1182"/>
      <c r="Q50" s="1182"/>
      <c r="R50" s="1182"/>
      <c r="S50" s="2661"/>
      <c r="T50" s="2661"/>
      <c r="U50" s="2661"/>
      <c r="V50" s="2661"/>
    </row>
    <row r="51" spans="1:22" s="1929" customFormat="1">
      <c r="A51" s="1755"/>
      <c r="B51" s="1755"/>
      <c r="C51" s="1182"/>
      <c r="D51" s="1182"/>
      <c r="E51" s="1182"/>
      <c r="F51" s="1182"/>
      <c r="G51" s="1182"/>
      <c r="H51" s="1182"/>
      <c r="I51" s="1182"/>
      <c r="J51" s="2659"/>
      <c r="K51" s="2660"/>
      <c r="L51" s="2660"/>
      <c r="M51" s="1182"/>
      <c r="N51" s="1182"/>
      <c r="O51" s="1182"/>
      <c r="P51" s="1182"/>
      <c r="Q51" s="1182"/>
      <c r="R51" s="1182"/>
    </row>
    <row r="52" spans="1:22" s="1929" customFormat="1">
      <c r="A52" s="1755"/>
      <c r="B52" s="1755"/>
      <c r="C52" s="1755"/>
      <c r="D52" s="1755"/>
      <c r="E52" s="1755"/>
      <c r="F52" s="1182"/>
      <c r="G52" s="1755"/>
      <c r="H52" s="1755"/>
      <c r="I52" s="1755"/>
      <c r="J52" s="2662"/>
      <c r="K52" s="2660"/>
      <c r="L52" s="2660"/>
      <c r="M52" s="2660"/>
      <c r="N52" s="1755"/>
      <c r="O52" s="1755"/>
      <c r="P52" s="1755"/>
      <c r="Q52" s="1755"/>
      <c r="R52" s="1755"/>
    </row>
    <row r="53" spans="1:22" s="1929" customFormat="1">
      <c r="A53" s="1755"/>
      <c r="B53" s="1755"/>
      <c r="C53" s="1755"/>
      <c r="D53" s="1755"/>
      <c r="E53" s="1755"/>
      <c r="F53" s="1182"/>
      <c r="G53" s="1755"/>
      <c r="H53" s="1755"/>
      <c r="I53" s="1755"/>
      <c r="J53" s="2662"/>
      <c r="K53" s="2660"/>
      <c r="L53" s="2660"/>
      <c r="M53" s="2660"/>
      <c r="N53" s="1755"/>
      <c r="O53" s="1755"/>
      <c r="P53" s="1755"/>
      <c r="Q53" s="1755"/>
      <c r="R53" s="1755"/>
    </row>
    <row r="54" spans="1:22" s="1929" customFormat="1">
      <c r="A54" s="1755"/>
      <c r="B54" s="1755"/>
      <c r="C54" s="1755"/>
      <c r="D54" s="1755"/>
      <c r="E54" s="1755"/>
      <c r="F54" s="1182"/>
      <c r="G54" s="1755"/>
      <c r="H54" s="1755"/>
      <c r="I54" s="1755"/>
      <c r="J54" s="2662"/>
      <c r="K54" s="2660"/>
      <c r="L54" s="2660"/>
      <c r="M54" s="2660"/>
      <c r="N54" s="1755"/>
      <c r="O54" s="1755"/>
      <c r="P54" s="1755"/>
      <c r="Q54" s="1755"/>
      <c r="R54" s="1755"/>
    </row>
    <row r="55" spans="1:22" s="1929" customFormat="1">
      <c r="A55" s="1755"/>
      <c r="B55" s="1755"/>
      <c r="C55" s="1755"/>
      <c r="D55" s="1755"/>
      <c r="E55" s="1755"/>
      <c r="F55" s="1182"/>
      <c r="G55" s="1755"/>
      <c r="H55" s="1755"/>
      <c r="I55" s="1755"/>
      <c r="J55" s="2662"/>
      <c r="K55" s="2660"/>
      <c r="L55" s="2660"/>
      <c r="M55" s="2660"/>
      <c r="N55" s="1755"/>
      <c r="O55" s="1755"/>
      <c r="P55" s="1755"/>
      <c r="Q55" s="1755"/>
      <c r="R55" s="1755"/>
    </row>
    <row r="56" spans="1:22" s="1929" customFormat="1">
      <c r="A56" s="1755"/>
      <c r="B56" s="1755"/>
      <c r="C56" s="1755"/>
      <c r="D56" s="1755"/>
      <c r="E56" s="1755"/>
      <c r="F56" s="1182"/>
      <c r="G56" s="1755"/>
      <c r="H56" s="1755"/>
      <c r="I56" s="1755"/>
      <c r="J56" s="2662"/>
      <c r="K56" s="2660"/>
      <c r="L56" s="2660"/>
      <c r="M56" s="2660"/>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 sqref="M1:AB1048576"/>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2" width="9.5" style="1758" customWidth="1"/>
    <col min="13"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C15</f>
        <v>202.05916023867636</v>
      </c>
      <c r="B3" s="14">
        <f>IF(C3="否",G5-AT5,G5)</f>
        <v>519.96</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519.96</v>
      </c>
      <c r="H5" s="16">
        <f t="shared" ref="H5:AT5" si="0">SUM(H13:H656)</f>
        <v>519.96</v>
      </c>
      <c r="I5" s="16">
        <f t="shared" si="0"/>
        <v>519.96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519.96</v>
      </c>
      <c r="BA5" s="18">
        <f t="shared" si="1"/>
        <v>519.96</v>
      </c>
      <c r="BB5" s="18">
        <f t="shared" si="1"/>
        <v>519.96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202.06</v>
      </c>
      <c r="F6" s="16" t="s">
        <v>1</v>
      </c>
      <c r="G6" s="16" t="s">
        <v>2</v>
      </c>
      <c r="H6" s="20">
        <f>SUMIF(I$12:AB$12,"总值",I6:AB6)</f>
        <v>202.06</v>
      </c>
      <c r="I6" s="16">
        <f t="shared" ref="I6:AB6" si="2">ROUND($A$3*I5/$B$3,2)</f>
        <v>202.06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202.06</v>
      </c>
      <c r="AZ6" s="16" t="s">
        <v>3</v>
      </c>
      <c r="BA6" s="16">
        <f>ROUND($AY$6*BA5/$AZ$5,2)</f>
        <v>202.06</v>
      </c>
      <c r="BB6" s="16">
        <f>ROUND($AY$6*BB5/$AZ$5,2)</f>
        <v>202.06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3104</v>
      </c>
      <c r="J9" s="918"/>
      <c r="K9" s="1788"/>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3086</v>
      </c>
      <c r="J10" s="918"/>
      <c r="K10" s="1794"/>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f>K9</f>
        <v>0</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住宅</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3103</v>
      </c>
      <c r="E13" s="16">
        <f>IF($C$3="是",ROUND($A$3*G13/$B$3,2),ROUND($A$3*(G13-AT13)/$B$3,2))</f>
        <v>202.06</v>
      </c>
      <c r="F13" s="32"/>
      <c r="G13" s="33">
        <f>H13+AC13+AT13</f>
        <v>519.96</v>
      </c>
      <c r="H13" s="20">
        <f>SUMIF(I$12:AB$12,"总值",I13:AB13)</f>
        <v>519.96</v>
      </c>
      <c r="I13" s="1811">
        <f>未售明细!C8</f>
        <v>519.96</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202.06</v>
      </c>
      <c r="AZ13" s="16">
        <f>BA13+BL13</f>
        <v>519.96</v>
      </c>
      <c r="BA13" s="16">
        <f>SUM(BB13:BK13)</f>
        <v>519.96</v>
      </c>
      <c r="BB13" s="16">
        <f>IF($D13="是",I13-J13,0)</f>
        <v>519.96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25.5">
      <c r="A14" s="3067" t="s">
        <v>3101</v>
      </c>
      <c r="B14" s="3067" t="s">
        <v>3102</v>
      </c>
      <c r="C14" s="3068" t="s">
        <v>3105</v>
      </c>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t="str">
        <f t="shared" si="6"/>
        <v>土地面积</v>
      </c>
      <c r="AW14" s="11" t="str">
        <f t="shared" si="6"/>
        <v>总建筑面积</v>
      </c>
      <c r="AX14" s="11" t="str">
        <f t="shared" si="6"/>
        <v>分摊土地面积</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v>53062</v>
      </c>
      <c r="B15" s="1182">
        <v>136544.75</v>
      </c>
      <c r="C15" s="3069">
        <f>A15*I13/B15</f>
        <v>202.05916023867636</v>
      </c>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53062</v>
      </c>
      <c r="AW15" s="11">
        <f t="shared" si="6"/>
        <v>136544.75</v>
      </c>
      <c r="AX15" s="11">
        <f t="shared" si="6"/>
        <v>202.05916023867636</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1" t="s">
        <v>0</v>
      </c>
      <c r="B1" s="3161" t="s">
        <v>4</v>
      </c>
      <c r="C1" s="3161" t="s">
        <v>5</v>
      </c>
      <c r="D1" s="3162" t="s">
        <v>53</v>
      </c>
      <c r="E1" s="3162" t="s">
        <v>54</v>
      </c>
      <c r="F1" s="3162"/>
      <c r="G1" s="3162"/>
      <c r="H1" s="3162"/>
      <c r="I1" s="3162"/>
      <c r="J1" s="3162"/>
      <c r="K1" s="3162"/>
      <c r="L1" s="3162"/>
      <c r="M1" s="3162"/>
    </row>
    <row r="2" spans="1:13" ht="27" customHeight="1">
      <c r="A2" s="3161"/>
      <c r="B2" s="3161"/>
      <c r="C2" s="3161"/>
      <c r="D2" s="3162"/>
      <c r="E2" s="3162" t="s">
        <v>37</v>
      </c>
      <c r="F2" s="3162" t="s">
        <v>38</v>
      </c>
      <c r="G2" s="3162"/>
      <c r="H2" s="3162"/>
      <c r="I2" s="3162"/>
      <c r="J2" s="3162" t="s">
        <v>39</v>
      </c>
      <c r="K2" s="3162"/>
      <c r="L2" s="3162"/>
      <c r="M2" s="3162"/>
    </row>
    <row r="3" spans="1:13" ht="28.5">
      <c r="A3" s="3161"/>
      <c r="B3" s="3161"/>
      <c r="C3" s="3161"/>
      <c r="D3" s="3162"/>
      <c r="E3" s="31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2" t="s">
        <v>55</v>
      </c>
      <c r="B9" s="3162"/>
      <c r="C9" s="31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zoomScaleSheetLayoutView="100" workbookViewId="0">
      <selection activeCell="D30" sqref="D30"/>
    </sheetView>
  </sheetViews>
  <sheetFormatPr defaultColWidth="18.625" defaultRowHeight="14.25"/>
  <cols>
    <col min="1" max="16384" width="18.625" style="3057"/>
  </cols>
  <sheetData>
    <row r="1" spans="1:7" ht="30" customHeight="1">
      <c r="A1" s="3163" t="s">
        <v>3065</v>
      </c>
      <c r="B1" s="3163"/>
      <c r="C1" s="3164"/>
      <c r="D1" s="3163"/>
      <c r="E1" s="3163"/>
      <c r="F1" s="3163"/>
      <c r="G1" s="3165"/>
    </row>
    <row r="2" spans="1:7" ht="26.1" customHeight="1">
      <c r="A2" s="3058" t="s">
        <v>3066</v>
      </c>
      <c r="B2" s="3058" t="s">
        <v>3067</v>
      </c>
      <c r="C2" s="3059" t="s">
        <v>3068</v>
      </c>
      <c r="D2" s="3058" t="s">
        <v>3069</v>
      </c>
      <c r="E2" s="3058" t="s">
        <v>3070</v>
      </c>
      <c r="F2" s="3058" t="s">
        <v>3071</v>
      </c>
      <c r="G2" s="3060" t="s">
        <v>3072</v>
      </c>
    </row>
    <row r="3" spans="1:7" ht="26.1" customHeight="1">
      <c r="A3" s="3058">
        <v>2</v>
      </c>
      <c r="B3" s="3058" t="s">
        <v>3073</v>
      </c>
      <c r="C3" s="3061">
        <v>121.75</v>
      </c>
      <c r="D3" s="3058" t="s">
        <v>3074</v>
      </c>
      <c r="E3" s="3058" t="s">
        <v>3075</v>
      </c>
      <c r="F3" s="3062">
        <v>13796</v>
      </c>
      <c r="G3" s="3063">
        <v>1679663</v>
      </c>
    </row>
    <row r="4" spans="1:7" ht="26.1" customHeight="1">
      <c r="A4" s="3058">
        <v>8</v>
      </c>
      <c r="B4" s="3058">
        <v>301</v>
      </c>
      <c r="C4" s="3061">
        <v>120.15</v>
      </c>
      <c r="D4" s="3058" t="s">
        <v>3074</v>
      </c>
      <c r="E4" s="3058" t="s">
        <v>3075</v>
      </c>
      <c r="F4" s="3062">
        <v>13996</v>
      </c>
      <c r="G4" s="3063">
        <v>1681619.4</v>
      </c>
    </row>
    <row r="5" spans="1:7" ht="26.1" customHeight="1">
      <c r="A5" s="3058">
        <v>8</v>
      </c>
      <c r="B5" s="3058">
        <v>302</v>
      </c>
      <c r="C5" s="3061">
        <v>84.62</v>
      </c>
      <c r="D5" s="3058" t="s">
        <v>3074</v>
      </c>
      <c r="E5" s="3058" t="s">
        <v>3076</v>
      </c>
      <c r="F5" s="3062">
        <v>14196</v>
      </c>
      <c r="G5" s="3063">
        <v>1201265.52</v>
      </c>
    </row>
    <row r="6" spans="1:7" ht="26.1" customHeight="1">
      <c r="A6" s="3058">
        <v>8</v>
      </c>
      <c r="B6" s="3058">
        <v>303</v>
      </c>
      <c r="C6" s="3061">
        <v>84.62</v>
      </c>
      <c r="D6" s="3058" t="s">
        <v>3074</v>
      </c>
      <c r="E6" s="3058" t="s">
        <v>3076</v>
      </c>
      <c r="F6" s="3062">
        <v>14196</v>
      </c>
      <c r="G6" s="3063">
        <v>1201265.52</v>
      </c>
    </row>
    <row r="7" spans="1:7" ht="26.1" customHeight="1">
      <c r="A7" s="3058">
        <v>8</v>
      </c>
      <c r="B7" s="3058">
        <v>304</v>
      </c>
      <c r="C7" s="3061">
        <v>108.82</v>
      </c>
      <c r="D7" s="3058" t="s">
        <v>3074</v>
      </c>
      <c r="E7" s="3058" t="s">
        <v>3077</v>
      </c>
      <c r="F7" s="3062">
        <v>14096</v>
      </c>
      <c r="G7" s="3063">
        <v>1533926.72</v>
      </c>
    </row>
    <row r="8" spans="1:7" ht="26.1" customHeight="1">
      <c r="A8" s="3166" t="s">
        <v>37</v>
      </c>
      <c r="B8" s="3166"/>
      <c r="C8" s="3064">
        <f>SUM(C3:C7)</f>
        <v>519.96</v>
      </c>
      <c r="D8" s="3064"/>
      <c r="E8" s="3064"/>
      <c r="F8" s="3064"/>
      <c r="G8" s="3064">
        <f>SUM(G3:G7)</f>
        <v>7297740.1599999992</v>
      </c>
    </row>
  </sheetData>
  <mergeCells count="2">
    <mergeCell ref="A1:G1"/>
    <mergeCell ref="A8:B8"/>
  </mergeCells>
  <phoneticPr fontId="140" type="noConversion"/>
  <pageMargins left="0.75" right="0.75" top="1" bottom="1" header="0.51180555555555551" footer="0.51180555555555551"/>
  <pageSetup paperSize="9" orientation="portrait" horizontalDpi="0" verticalDpi="0"/>
  <headerFooter scaleWithDoc="0"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2"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176" t="s">
        <v>1816</v>
      </c>
      <c r="B2" s="3176"/>
      <c r="C2" s="3176"/>
      <c r="D2" s="904" t="s">
        <v>1792</v>
      </c>
      <c r="E2" s="1824" t="s">
        <v>1793</v>
      </c>
      <c r="F2" s="2882"/>
      <c r="G2" s="2873"/>
      <c r="H2" s="2874"/>
      <c r="I2" s="2547" t="s">
        <v>1817</v>
      </c>
      <c r="J2" s="2882"/>
      <c r="K2" s="2882"/>
      <c r="L2" s="2882"/>
      <c r="M2" s="2882"/>
      <c r="N2" s="2884"/>
      <c r="O2" s="2882"/>
      <c r="P2" s="2882"/>
    </row>
    <row r="3" spans="1:16" ht="15.75" thickBot="1">
      <c r="A3" s="3177" t="s">
        <v>1790</v>
      </c>
      <c r="B3" s="3177"/>
      <c r="C3" s="3177"/>
      <c r="D3" s="46">
        <f>'数据-基础表'!AY6</f>
        <v>202.06</v>
      </c>
      <c r="E3" s="46">
        <f>'数据-基础表'!AZ5</f>
        <v>519.96</v>
      </c>
      <c r="F3" s="2882"/>
      <c r="G3" s="1307"/>
      <c r="H3" s="1157" t="s">
        <v>1791</v>
      </c>
      <c r="I3" s="964">
        <f>ROUND('数据-基础表'!B3/'数据-基础表'!A3,2)</f>
        <v>2.57</v>
      </c>
      <c r="J3" s="2882"/>
      <c r="K3" s="2882"/>
      <c r="L3" s="2882"/>
      <c r="M3" s="2882"/>
      <c r="N3" s="2884"/>
      <c r="O3" s="2882"/>
      <c r="P3" s="2882"/>
    </row>
    <row r="4" spans="1:16" ht="15">
      <c r="A4" s="3178"/>
      <c r="B4" s="3179"/>
      <c r="C4" s="3180"/>
      <c r="D4" s="1826" t="s">
        <v>1792</v>
      </c>
      <c r="E4" s="1827" t="s">
        <v>1793</v>
      </c>
      <c r="F4" s="2882"/>
      <c r="G4" s="2875" t="s">
        <v>1818</v>
      </c>
      <c r="H4" s="1157" t="s">
        <v>1798</v>
      </c>
      <c r="I4" s="964">
        <f>ROUND(SUMIF('数据-基础表'!I9:AS9,"地上",'数据-基础表'!I5:AS5)/'数据-基础表'!A3,2)</f>
        <v>2.57</v>
      </c>
      <c r="J4" s="2882"/>
      <c r="K4" s="2882"/>
      <c r="L4" s="2882"/>
      <c r="M4" s="2882"/>
      <c r="N4" s="2884"/>
      <c r="O4" s="2882"/>
      <c r="P4" s="2882"/>
    </row>
    <row r="5" spans="1:16">
      <c r="A5" s="47" t="s">
        <v>1794</v>
      </c>
      <c r="B5" s="3181" t="s">
        <v>1795</v>
      </c>
      <c r="C5" s="3181"/>
      <c r="D5" s="48">
        <f>ROUND($D$3*E5/$E$3,2)</f>
        <v>202.06</v>
      </c>
      <c r="E5" s="49">
        <f>SUMIF('数据-基础表'!$11:$11,"住宅",'数据-基础表'!$5:$5)</f>
        <v>519.96</v>
      </c>
      <c r="F5" s="2882"/>
      <c r="G5" s="1307"/>
      <c r="H5" s="1157" t="s">
        <v>1791</v>
      </c>
      <c r="I5" s="964">
        <f>ROUND(E31/D31,2)</f>
        <v>2.57</v>
      </c>
      <c r="J5" s="2882"/>
      <c r="K5" s="2882"/>
      <c r="L5" s="2882"/>
      <c r="M5" s="2882"/>
      <c r="N5" s="2882"/>
      <c r="O5" s="2882"/>
      <c r="P5" s="2882"/>
    </row>
    <row r="6" spans="1:16" ht="15" thickBot="1">
      <c r="A6" s="1829"/>
      <c r="B6" s="3181" t="s">
        <v>1796</v>
      </c>
      <c r="C6" s="3181"/>
      <c r="D6" s="48">
        <f>ROUND($D$3*E6/$E$3,2)</f>
        <v>0</v>
      </c>
      <c r="E6" s="49">
        <f>E3-E5</f>
        <v>0</v>
      </c>
      <c r="F6" s="2882"/>
      <c r="G6" s="2876" t="s">
        <v>1797</v>
      </c>
      <c r="H6" s="1308" t="s">
        <v>1798</v>
      </c>
      <c r="I6" s="2877">
        <f>ROUND(F31/D31,2)</f>
        <v>2.57</v>
      </c>
      <c r="J6" s="2882"/>
      <c r="K6" s="2882"/>
      <c r="L6" s="2882"/>
      <c r="M6" s="2882"/>
      <c r="N6" s="2882"/>
      <c r="O6" s="2882"/>
      <c r="P6" s="2882"/>
    </row>
    <row r="7" spans="1:16" ht="15.75" thickBot="1">
      <c r="A7" s="3173"/>
      <c r="B7" s="3174"/>
      <c r="C7" s="3175"/>
      <c r="D7" s="1826" t="s">
        <v>1792</v>
      </c>
      <c r="E7" s="1830" t="s">
        <v>1799</v>
      </c>
      <c r="F7" s="2882"/>
      <c r="G7" s="2878" t="s">
        <v>1800</v>
      </c>
      <c r="H7" s="2879"/>
      <c r="I7" s="2880"/>
      <c r="J7" s="2882"/>
      <c r="K7" s="2882"/>
      <c r="L7" s="2882"/>
      <c r="M7" s="2882"/>
      <c r="N7" s="2882"/>
      <c r="O7" s="2882"/>
      <c r="P7" s="2882"/>
    </row>
    <row r="8" spans="1:16">
      <c r="A8" s="47" t="s">
        <v>1801</v>
      </c>
      <c r="B8" s="50" t="s">
        <v>1802</v>
      </c>
      <c r="C8" s="48" t="s">
        <v>1803</v>
      </c>
      <c r="D8" s="48">
        <f t="shared" ref="D8:D15" si="0">ROUND($D$3*E8/$E$3,2)</f>
        <v>202.06</v>
      </c>
      <c r="E8" s="51">
        <f>SUMIF('数据-基础表'!BB10:BK10,"地上",'数据-基础表'!BB5:BK5)</f>
        <v>519.96</v>
      </c>
      <c r="F8" s="2882"/>
      <c r="G8" s="2883"/>
      <c r="H8" s="2883"/>
      <c r="I8" s="2882"/>
      <c r="J8" s="2882"/>
      <c r="K8" s="2882"/>
      <c r="L8" s="2882"/>
      <c r="M8" s="2882"/>
      <c r="N8" s="2882"/>
      <c r="O8" s="2882"/>
      <c r="P8" s="2882"/>
    </row>
    <row r="9" spans="1:16">
      <c r="A9" s="1831"/>
      <c r="B9" s="1832"/>
      <c r="C9" s="48" t="s">
        <v>1804</v>
      </c>
      <c r="D9" s="48">
        <f t="shared" si="0"/>
        <v>0</v>
      </c>
      <c r="E9" s="52">
        <v>0</v>
      </c>
      <c r="F9" s="2882"/>
      <c r="G9" s="2883"/>
      <c r="H9" s="2883"/>
      <c r="I9" s="2882"/>
      <c r="J9" s="2882"/>
      <c r="K9" s="2882"/>
      <c r="L9" s="2882"/>
      <c r="M9" s="2882"/>
      <c r="N9" s="2882"/>
      <c r="O9" s="2882"/>
      <c r="P9" s="2882"/>
    </row>
    <row r="10" spans="1:16">
      <c r="A10" s="1831"/>
      <c r="B10" s="1832"/>
      <c r="C10" s="48" t="s">
        <v>1813</v>
      </c>
      <c r="D10" s="48">
        <f t="shared" si="0"/>
        <v>0</v>
      </c>
      <c r="E10" s="51">
        <f>SUMPRODUCT(('数据-基础表'!BB10:BK10="地下")*('数据-基础表'!BB11:BK11="商业")*('数据-基础表'!BB5:BK5))</f>
        <v>0</v>
      </c>
      <c r="F10" s="2882"/>
      <c r="G10" s="2883"/>
      <c r="H10" s="2883"/>
      <c r="I10" s="2882"/>
      <c r="J10" s="2882"/>
      <c r="K10" s="2882"/>
      <c r="L10" s="2882"/>
      <c r="M10" s="2882"/>
      <c r="N10" s="2882"/>
      <c r="O10" s="2882"/>
      <c r="P10" s="2882"/>
    </row>
    <row r="11" spans="1:16">
      <c r="A11" s="1831"/>
      <c r="B11" s="1832"/>
      <c r="C11" s="48" t="s">
        <v>1805</v>
      </c>
      <c r="D11" s="48">
        <f t="shared" si="0"/>
        <v>0</v>
      </c>
      <c r="E11" s="51">
        <f>SUMPRODUCT(('数据-基础表'!BB10:BK10="地下")*('数据-基础表'!BB11:BK11="办公")*('数据-基础表'!BB5:BK5))+'数据-基础表'!BP5</f>
        <v>0</v>
      </c>
      <c r="F11" s="2882"/>
      <c r="G11" s="2883"/>
      <c r="H11" s="2883"/>
      <c r="I11" s="2882"/>
      <c r="J11" s="2882"/>
      <c r="K11" s="2882"/>
      <c r="L11" s="2882"/>
      <c r="M11" s="2882"/>
      <c r="N11" s="2882"/>
      <c r="O11" s="2882"/>
      <c r="P11" s="2882"/>
    </row>
    <row r="12" spans="1:16">
      <c r="A12" s="1831"/>
      <c r="B12" s="1832"/>
      <c r="C12" s="48" t="s">
        <v>1806</v>
      </c>
      <c r="D12" s="48">
        <f t="shared" si="0"/>
        <v>0</v>
      </c>
      <c r="E12" s="51">
        <f>SUMPRODUCT(('数据-基础表'!BB10:BK10="地下")*('数据-基础表'!BB11:BK11="仓储")*('数据-基础表'!BB5:BK5))</f>
        <v>0</v>
      </c>
      <c r="F12" s="2882"/>
      <c r="G12" s="2883"/>
      <c r="H12" s="2883"/>
      <c r="I12" s="2882"/>
      <c r="J12" s="2882"/>
      <c r="K12" s="2882"/>
      <c r="L12" s="2882"/>
      <c r="M12" s="2882"/>
      <c r="N12" s="2882"/>
      <c r="O12" s="2882"/>
      <c r="P12" s="2882"/>
    </row>
    <row r="13" spans="1:16">
      <c r="A13" s="1831"/>
      <c r="B13" s="1832"/>
      <c r="C13" s="48" t="s">
        <v>1807</v>
      </c>
      <c r="D13" s="48">
        <f t="shared" si="0"/>
        <v>0</v>
      </c>
      <c r="E13" s="51">
        <f>SUMPRODUCT(('数据-基础表'!BB10:BK10="地下")*('数据-基础表'!BB11:BK11="车库")*('数据-基础表'!BB5:BK5))</f>
        <v>0</v>
      </c>
      <c r="F13" s="2882"/>
      <c r="G13" s="2883"/>
      <c r="H13" s="2883"/>
      <c r="I13" s="2882"/>
      <c r="J13" s="2882"/>
      <c r="K13" s="2882"/>
      <c r="L13" s="2882"/>
      <c r="M13" s="2882"/>
      <c r="N13" s="2882"/>
      <c r="O13" s="2882"/>
      <c r="P13" s="2882"/>
    </row>
    <row r="14" spans="1:16">
      <c r="A14" s="1831"/>
      <c r="B14" s="1832"/>
      <c r="C14" s="48" t="s">
        <v>1819</v>
      </c>
      <c r="D14" s="48">
        <f t="shared" si="0"/>
        <v>0</v>
      </c>
      <c r="E14" s="51">
        <f>SUMPRODUCT(('数据-基础表'!BB10:BK10="地下")*('数据-基础表'!BB11:BK11="车库—商业")*('数据-基础表'!BB5:BK5))</f>
        <v>0</v>
      </c>
      <c r="F14" s="2882"/>
      <c r="G14" s="2883"/>
      <c r="H14" s="2883"/>
      <c r="I14" s="2882"/>
      <c r="J14" s="2882"/>
      <c r="K14" s="2882"/>
      <c r="L14" s="2882"/>
      <c r="M14" s="2882"/>
      <c r="N14" s="2882"/>
      <c r="O14" s="2882"/>
      <c r="P14" s="2882"/>
    </row>
    <row r="15" spans="1:16" ht="15" thickBot="1">
      <c r="A15" s="1831"/>
      <c r="B15" s="1832"/>
      <c r="C15" s="48" t="s">
        <v>1814</v>
      </c>
      <c r="D15" s="48">
        <f t="shared" si="0"/>
        <v>0</v>
      </c>
      <c r="E15" s="51">
        <f>SUMPRODUCT(('数据-基础表'!BB10:BK10="地下")*('数据-基础表'!BB11:BK11="车库—办公")*('数据-基础表'!BB5:BK5))</f>
        <v>0</v>
      </c>
      <c r="F15" s="2882"/>
      <c r="G15" s="2883"/>
      <c r="H15" s="2883"/>
      <c r="I15" s="2882"/>
      <c r="J15" s="2882"/>
      <c r="K15" s="2882"/>
      <c r="L15" s="2882"/>
      <c r="M15" s="2882"/>
      <c r="N15" s="2882"/>
      <c r="O15" s="2882"/>
      <c r="P15" s="2882"/>
    </row>
    <row r="16" spans="1:16" ht="15.75" thickBot="1">
      <c r="A16" s="1829"/>
      <c r="B16" s="1832"/>
      <c r="C16" s="50" t="s">
        <v>1808</v>
      </c>
      <c r="D16" s="50">
        <f>SUM(D8:D15)</f>
        <v>202.06</v>
      </c>
      <c r="E16" s="53">
        <f>SUM(E8:E15)</f>
        <v>519.96</v>
      </c>
      <c r="F16" s="2882"/>
      <c r="G16" s="2883"/>
      <c r="H16" s="1833" t="s">
        <v>1820</v>
      </c>
      <c r="I16" s="1834"/>
      <c r="J16" s="1301"/>
      <c r="K16" s="3170" t="s">
        <v>1820</v>
      </c>
      <c r="L16" s="3171"/>
      <c r="M16" s="3171"/>
      <c r="N16" s="3171"/>
      <c r="O16" s="3171"/>
      <c r="P16" s="3172"/>
    </row>
    <row r="17" spans="1:19" ht="15">
      <c r="A17" s="1835" t="s">
        <v>1821</v>
      </c>
      <c r="B17" s="1836" t="s">
        <v>1822</v>
      </c>
      <c r="C17" s="1837" t="s">
        <v>1823</v>
      </c>
      <c r="D17" s="1838" t="s">
        <v>1811</v>
      </c>
      <c r="E17" s="1839" t="s">
        <v>1812</v>
      </c>
      <c r="F17" s="1840"/>
      <c r="G17" s="1841"/>
      <c r="H17" s="1842" t="s">
        <v>1824</v>
      </c>
      <c r="I17" s="1843" t="s">
        <v>1809</v>
      </c>
      <c r="J17" s="1301"/>
      <c r="K17" s="3167" t="s">
        <v>1825</v>
      </c>
      <c r="L17" s="3168"/>
      <c r="M17" s="3169"/>
      <c r="N17" s="3167" t="s">
        <v>1826</v>
      </c>
      <c r="O17" s="3168"/>
      <c r="P17" s="3169"/>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077" t="s">
        <v>10252</v>
      </c>
      <c r="D19" s="48">
        <f>ROUND($D$3*E19/$E$3,2)</f>
        <v>202.06</v>
      </c>
      <c r="E19" s="56">
        <f t="shared" ref="E19:E26" si="1">SUM(F19:G19)</f>
        <v>519.96</v>
      </c>
      <c r="F19" s="3021">
        <f>'数据-基础表'!I13</f>
        <v>519.96</v>
      </c>
      <c r="G19" s="3022"/>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202.06</v>
      </c>
      <c r="S19" s="1158">
        <f t="shared" si="5"/>
        <v>519.96</v>
      </c>
    </row>
    <row r="20" spans="1:19">
      <c r="A20" s="1856"/>
      <c r="B20" s="50" t="s">
        <v>1838</v>
      </c>
      <c r="C20" s="1853"/>
      <c r="D20" s="48">
        <f t="shared" ref="D20:D26" si="6">ROUND($D$3*E20/$E$3,2)</f>
        <v>0</v>
      </c>
      <c r="E20" s="56">
        <f t="shared" si="1"/>
        <v>0</v>
      </c>
      <c r="F20" s="3021"/>
      <c r="G20" s="3022"/>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1"/>
      <c r="G21" s="3022"/>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3"/>
      <c r="G22" s="3024"/>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3"/>
      <c r="G23" s="3024"/>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3"/>
      <c r="G24" s="3024"/>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3"/>
      <c r="G25" s="3024"/>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3"/>
      <c r="G26" s="3024"/>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202.06</v>
      </c>
      <c r="E27" s="1303">
        <f>IF(SUM(E19:E26)='数据-基础表'!BA5,SUM(E19:E26),IF(F27="地上面积有误","面积有误","地下面积有误"))</f>
        <v>519.96</v>
      </c>
      <c r="F27" s="1302">
        <f>IF(SUM(F19:F26)=E8,SUM(F19:F26),"地上面积有误")</f>
        <v>519.96</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202.06</v>
      </c>
      <c r="S27" s="1157">
        <f>IF(SUM(S19:S26)=$E$3,SUM(S19:S26),SUM(S19:S26)&amp;"误差"&amp;ROUND(SUM(S19:S26)-E3,2))</f>
        <v>519.96</v>
      </c>
    </row>
    <row r="28" spans="1:19">
      <c r="A28" s="1856"/>
      <c r="B28" s="50" t="s">
        <v>1840</v>
      </c>
      <c r="C28" s="1169" t="s">
        <v>1841</v>
      </c>
      <c r="D28" s="48">
        <f>ROUND($D$3*E28/$E$3,2)</f>
        <v>0</v>
      </c>
      <c r="E28" s="56">
        <f>SUM(F28:G28)</f>
        <v>0</v>
      </c>
      <c r="F28" s="60">
        <f>'数据-基础表'!BQ5+'数据-基础表'!BS5</f>
        <v>0</v>
      </c>
      <c r="G28" s="61">
        <f>'数据-基础表'!BR5+'数据-基础表'!BT5</f>
        <v>0</v>
      </c>
      <c r="H28" s="2882"/>
      <c r="I28" s="2882"/>
      <c r="J28" s="2882"/>
      <c r="K28" s="2882"/>
      <c r="L28" s="2882"/>
      <c r="M28" s="2882"/>
      <c r="N28" s="2882"/>
      <c r="O28" s="2882"/>
      <c r="P28" s="2882"/>
    </row>
    <row r="29" spans="1:19">
      <c r="A29" s="1856"/>
      <c r="B29" s="50" t="s">
        <v>1840</v>
      </c>
      <c r="C29" s="1860" t="s">
        <v>1842</v>
      </c>
      <c r="D29" s="48">
        <f>ROUND($D$3*E29/$E$3,2)</f>
        <v>0</v>
      </c>
      <c r="E29" s="56">
        <f>SUM(F29:G29)</f>
        <v>0</v>
      </c>
      <c r="F29" s="62">
        <f>'数据-基础表'!BM5+'数据-基础表'!BO5</f>
        <v>0</v>
      </c>
      <c r="G29" s="63">
        <f>'数据-基础表'!BN5+'数据-基础表'!BP5</f>
        <v>0</v>
      </c>
      <c r="H29" s="2882"/>
      <c r="I29" s="2882"/>
      <c r="J29" s="2882"/>
      <c r="K29" s="2882"/>
      <c r="L29" s="2882"/>
      <c r="M29" s="2882"/>
      <c r="N29" s="2882"/>
      <c r="O29" s="2882"/>
      <c r="P29" s="2882"/>
    </row>
    <row r="30" spans="1:19" ht="15">
      <c r="A30" s="1856"/>
      <c r="B30" s="50"/>
      <c r="C30" s="1861" t="s">
        <v>1839</v>
      </c>
      <c r="D30" s="1302">
        <f>SUM(D28:D29)</f>
        <v>0</v>
      </c>
      <c r="E30" s="1302">
        <f>SUM(E28:E29)</f>
        <v>0</v>
      </c>
      <c r="F30" s="1302">
        <f>SUM(F28:F29)</f>
        <v>0</v>
      </c>
      <c r="G30" s="1304">
        <f>SUM(G28:G29)</f>
        <v>0</v>
      </c>
      <c r="H30" s="2882"/>
      <c r="I30" s="2882"/>
      <c r="J30" s="2882"/>
      <c r="K30" s="2882"/>
      <c r="L30" s="2882"/>
      <c r="M30" s="2882"/>
      <c r="N30" s="2882"/>
      <c r="O30" s="2882"/>
      <c r="P30" s="2882"/>
    </row>
    <row r="31" spans="1:19" ht="15.75" thickBot="1">
      <c r="A31" s="1862"/>
      <c r="B31" s="1863"/>
      <c r="C31" s="944" t="s">
        <v>1843</v>
      </c>
      <c r="D31" s="685">
        <f>D27+D30</f>
        <v>202.06</v>
      </c>
      <c r="E31" s="685">
        <f>E27+E30</f>
        <v>519.96</v>
      </c>
      <c r="F31" s="686">
        <f>F27+F30</f>
        <v>519.96</v>
      </c>
      <c r="G31" s="687">
        <f>G27+G30</f>
        <v>0</v>
      </c>
      <c r="H31" s="2882"/>
      <c r="I31" s="2882"/>
      <c r="J31" s="2882"/>
      <c r="K31" s="2882"/>
      <c r="L31" s="2882"/>
      <c r="M31" s="2882"/>
      <c r="N31" s="2882"/>
      <c r="O31" s="2882"/>
      <c r="P31" s="2882"/>
    </row>
    <row r="32" spans="1:19">
      <c r="A32" s="1828"/>
      <c r="B32" s="1828" t="s">
        <v>1844</v>
      </c>
      <c r="C32" s="1828"/>
      <c r="D32" s="1828"/>
      <c r="E32" s="1184">
        <f>SUMIF(C19:C26,"*住宅*",E19:E26)</f>
        <v>0</v>
      </c>
      <c r="F32" s="1828"/>
      <c r="G32" s="1828"/>
      <c r="H32" s="2882"/>
      <c r="I32" s="2882"/>
      <c r="J32" s="2882"/>
      <c r="K32" s="2882"/>
      <c r="L32" s="2882"/>
      <c r="M32" s="2882"/>
      <c r="N32" s="2882"/>
      <c r="O32" s="2882"/>
      <c r="P32" s="2882"/>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6" activePane="bottomRight" state="frozen"/>
      <selection activeCell="C50" sqref="C50"/>
      <selection pane="topRight" activeCell="C50" sqref="C50"/>
      <selection pane="bottomLeft" activeCell="C50" sqref="C50"/>
      <selection pane="bottomRight" activeCell="E39" sqref="E39"/>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6"/>
      <c r="AO1" s="2896"/>
      <c r="AP1" s="2896"/>
      <c r="AQ1" s="2896"/>
      <c r="AR1" s="2896"/>
    </row>
    <row r="2" spans="1:67" s="1744" customFormat="1" ht="15.75" thickBot="1">
      <c r="A2" s="1869" t="s">
        <v>1846</v>
      </c>
      <c r="B2" s="1176">
        <f>项目基本情况!D3</f>
        <v>44523</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8"/>
      <c r="AO2" s="2898"/>
      <c r="AP2" s="2898"/>
      <c r="AQ2" s="2898"/>
      <c r="AR2" s="2898"/>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8"/>
      <c r="AO3" s="2898"/>
      <c r="AP3" s="2898"/>
      <c r="AQ3" s="2898"/>
      <c r="AR3" s="2898"/>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1"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898"/>
      <c r="AO4" s="2898"/>
      <c r="AP4" s="2898"/>
      <c r="AQ4" s="2898"/>
      <c r="AR4" s="2898"/>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10253</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高层</v>
      </c>
      <c r="B6" s="1899" t="str">
        <f>IF(A6=0,"","经营性")</f>
        <v>经营性</v>
      </c>
      <c r="C6" s="1900" t="s">
        <v>3086</v>
      </c>
      <c r="D6" s="967">
        <f>SUMIF(项目基本情况!D$12:I$12,C6,项目基本情况!D$14:I$14)</f>
        <v>70</v>
      </c>
      <c r="E6" s="966">
        <f>IF(B6="","",SUMIF(项目基本情况!D$12:I$12,C6,项目基本情况!D$13:I$13))</f>
        <v>69655</v>
      </c>
      <c r="F6" s="68">
        <f>SUMIF(项目基本情况!D$12:I$12,C6,项目基本情况!D$15:I$15)</f>
        <v>68.849999999999994</v>
      </c>
      <c r="G6" s="69">
        <f>IF(ISERROR(ROUND(POWER(1+H6,D6-F6)*(POWER(1+H6,F6)-1)/(POWER(1+H6,D6)-1),3)),0,ROUND(POWER(1+H6,D6-F6)*(POWER(1+H6,F6)-1)/(POWER(1+H6,D6)-1),3))</f>
        <v>0.998</v>
      </c>
      <c r="H6" s="3078">
        <v>4.4999999999999998E-2</v>
      </c>
      <c r="I6" s="3078">
        <v>0.05</v>
      </c>
      <c r="J6" s="70">
        <v>8.5000000000000006E-2</v>
      </c>
      <c r="K6" s="1161">
        <f>SUMIF('数据-汇总表'!C$19:C$33,A6,'数据-汇总表'!E$19:E$33)</f>
        <v>519.96</v>
      </c>
      <c r="L6" s="742">
        <v>3300</v>
      </c>
      <c r="M6" s="71">
        <f t="shared" ref="M6:M14" si="0">ROUND(K6*L6/10000,0)</f>
        <v>172</v>
      </c>
      <c r="N6" s="740">
        <v>1</v>
      </c>
      <c r="O6" s="71" t="str">
        <f>IF($N$5="成新度","——",ROUND(M6*N6,0))</f>
        <v>——</v>
      </c>
      <c r="P6" s="72" t="str">
        <f>IF($N$5="成新度","——",M6-O6)</f>
        <v>——</v>
      </c>
      <c r="Q6" s="743">
        <v>0.2</v>
      </c>
      <c r="R6" s="73">
        <f ca="1">SUMIF('数据-汇总表'!C$19:C$33,A6,'数据-汇总表'!R$19:R$27)</f>
        <v>202.06</v>
      </c>
      <c r="S6" s="54">
        <f>IF('数据-汇总表'!$I$17="按面积比例",SUMIF('数据-汇总表'!C$19:C$33,A6,'数据-汇总表'!K$19:K$33),SUMIF('数据-汇总表'!C$19:C$33,A6,'数据-汇总表'!N$19:N$33))</f>
        <v>0</v>
      </c>
      <c r="T6" s="1334">
        <f>ROUND($L$14*S6/10000,0)</f>
        <v>0</v>
      </c>
      <c r="U6" s="1854">
        <v>4000</v>
      </c>
      <c r="V6" s="3079">
        <v>2.5000000000000001E-2</v>
      </c>
      <c r="W6" s="3079">
        <v>0.1</v>
      </c>
      <c r="X6" s="1171"/>
      <c r="Y6" s="76">
        <f>N6</f>
        <v>1</v>
      </c>
      <c r="Z6" s="77"/>
      <c r="AA6" s="70"/>
      <c r="AB6" s="70"/>
      <c r="AC6" s="1171"/>
      <c r="AD6" s="78"/>
      <c r="AE6" s="1172">
        <f ca="1">IF(AN6="",0,SUMIF(INDIRECT("'"&amp;AN6&amp;"'"&amp;"!E:E"),$AE$5,INDIRECT("'"&amp;AN6&amp;"'"&amp;"!F:F")))</f>
        <v>60</v>
      </c>
      <c r="AF6" s="1532"/>
      <c r="AG6" s="143">
        <f>IF(AF6="",0,AE6-AF6)</f>
        <v>0</v>
      </c>
      <c r="AH6" s="79">
        <v>5</v>
      </c>
      <c r="AI6" s="81">
        <v>12</v>
      </c>
      <c r="AJ6" s="82"/>
      <c r="AK6" s="83">
        <v>1.4999999999999999E-2</v>
      </c>
      <c r="AL6" s="84">
        <v>1.5E-3</v>
      </c>
      <c r="AM6" s="85">
        <v>0.01</v>
      </c>
      <c r="AN6" s="1901" t="s">
        <v>10254</v>
      </c>
      <c r="AO6" s="55">
        <f ca="1">SUMIF(INDIRECT("'"&amp;AN6&amp;"'"&amp;"!A:A"),"总价",INDIRECT("'"&amp;AN6&amp;"'"&amp;"!B:B"))</f>
        <v>398</v>
      </c>
      <c r="AP6" s="1902">
        <f>IF(C6="住宅",K6*L6,0)</f>
        <v>1715868.0000000002</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hidden="1">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hidden="1">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hidden="1">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hidden="1">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hidden="1">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hidden="1">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hidden="1">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6"/>
      <c r="AO14" s="2898"/>
      <c r="AP14" s="2898"/>
      <c r="AQ14" s="2898"/>
      <c r="AR14" s="2898"/>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6"/>
      <c r="AO15" s="2898"/>
      <c r="AP15" s="2898"/>
      <c r="AQ15" s="2898"/>
      <c r="AR15" s="2898"/>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0.998</v>
      </c>
      <c r="H16" s="95">
        <f>ROUND(SUMPRODUCT(H6:H13,K6:K13)/SUMPRODUCT((H6:H13&gt;0)*(K6:K13)),3)</f>
        <v>4.4999999999999998E-2</v>
      </c>
      <c r="I16" s="96"/>
      <c r="J16" s="96"/>
      <c r="K16" s="97">
        <f>SUM(K6:K15)</f>
        <v>519.96</v>
      </c>
      <c r="L16" s="98">
        <f>ROUND(M16*10000/SUM(K6:K14),0)</f>
        <v>3308</v>
      </c>
      <c r="M16" s="98">
        <f>SUM(M6:M14)</f>
        <v>172</v>
      </c>
      <c r="N16" s="99">
        <f>ROUND(SUMPRODUCT(M6:M14,N6:N14)/M16,3)</f>
        <v>1</v>
      </c>
      <c r="O16" s="98">
        <f>SUM(O6:O14)</f>
        <v>0</v>
      </c>
      <c r="P16" s="98">
        <f>SUM(P6:P14)</f>
        <v>0</v>
      </c>
      <c r="Q16" s="100">
        <f>ROUND(SUMPRODUCT(Q6:Q13,K6:K13)/SUMPRODUCT((Q6:Q13&gt;0)*(K6:K13)),2)</f>
        <v>0.2</v>
      </c>
      <c r="R16" s="1165">
        <f ca="1">SUM(R6:R13)</f>
        <v>202.06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6"/>
      <c r="AO16" s="2898"/>
      <c r="AP16" s="2898"/>
      <c r="AQ16" s="2898"/>
      <c r="AR16" s="2898"/>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6"/>
      <c r="C17" s="2896"/>
      <c r="D17" s="2899"/>
      <c r="E17" s="2899"/>
      <c r="F17" s="2896"/>
      <c r="G17" s="2896"/>
      <c r="H17" s="2896"/>
      <c r="I17" s="2896"/>
      <c r="J17" s="2896"/>
      <c r="K17" s="2897"/>
      <c r="L17" s="2897"/>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row>
    <row r="18" spans="1:67" ht="15" thickBot="1">
      <c r="A18" s="64" t="s">
        <v>1895</v>
      </c>
      <c r="B18" s="2909"/>
      <c r="C18" s="2898"/>
      <c r="D18" s="2900"/>
      <c r="E18" s="2898"/>
      <c r="F18" s="2898"/>
      <c r="G18" s="2898"/>
      <c r="H18" s="2898"/>
      <c r="I18" s="2898"/>
      <c r="J18" s="2898"/>
      <c r="K18" s="2897"/>
      <c r="L18" s="2897"/>
      <c r="M18" s="2896"/>
      <c r="N18" s="2896"/>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row>
    <row r="19" spans="1:67" ht="14.25">
      <c r="A19" s="1908" t="s">
        <v>1896</v>
      </c>
      <c r="B19" s="108">
        <v>0</v>
      </c>
      <c r="C19" s="3025" t="s">
        <v>3049</v>
      </c>
      <c r="D19" s="2900"/>
      <c r="E19" s="2898"/>
      <c r="F19" s="2898"/>
      <c r="G19" s="2898"/>
      <c r="H19" s="2898"/>
      <c r="I19" s="2898"/>
      <c r="J19" s="2898"/>
      <c r="K19" s="2897"/>
      <c r="L19" s="2897"/>
      <c r="M19" s="2896"/>
      <c r="N19" s="2896"/>
      <c r="O19" s="2896"/>
      <c r="P19" s="2896"/>
      <c r="Q19" s="2896"/>
      <c r="R19" s="2896"/>
      <c r="S19" s="2896"/>
      <c r="T19" s="2896"/>
      <c r="U19" s="2896"/>
      <c r="V19" s="2896"/>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row>
    <row r="20" spans="1:67" ht="14.25">
      <c r="A20" s="1909" t="s">
        <v>1897</v>
      </c>
      <c r="B20" s="109">
        <v>2.5</v>
      </c>
      <c r="C20" s="3026" t="s">
        <v>3047</v>
      </c>
      <c r="D20" s="2900"/>
      <c r="E20" s="2898"/>
      <c r="F20" s="2898"/>
      <c r="G20" s="2898"/>
      <c r="H20" s="2898"/>
      <c r="I20" s="2898"/>
      <c r="J20" s="2898"/>
      <c r="K20" s="2897"/>
      <c r="L20" s="2897"/>
      <c r="M20" s="2896"/>
      <c r="N20" s="2896"/>
      <c r="O20" s="2896"/>
      <c r="P20" s="2896"/>
      <c r="Q20" s="2896"/>
      <c r="R20" s="2896"/>
      <c r="S20" s="2896"/>
      <c r="T20" s="2896"/>
      <c r="U20" s="2896"/>
      <c r="V20" s="289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row>
    <row r="21" spans="1:67" ht="14.25">
      <c r="A21" s="1910" t="s">
        <v>1898</v>
      </c>
      <c r="B21" s="109">
        <v>2.5</v>
      </c>
      <c r="C21" s="2898"/>
      <c r="D21" s="2900"/>
      <c r="E21" s="2898"/>
      <c r="F21" s="2898"/>
      <c r="G21" s="2898"/>
      <c r="H21" s="2898"/>
      <c r="I21" s="2898"/>
      <c r="J21" s="2898"/>
      <c r="K21" s="2897"/>
      <c r="L21" s="2897"/>
      <c r="M21" s="2896"/>
      <c r="N21" s="2896"/>
      <c r="O21" s="2896"/>
      <c r="P21" s="2896"/>
      <c r="Q21" s="2896"/>
      <c r="R21" s="2896"/>
      <c r="S21" s="2896"/>
      <c r="T21" s="2896"/>
      <c r="U21" s="2896"/>
      <c r="V21" s="2896"/>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row>
    <row r="22" spans="1:67" ht="14.25">
      <c r="A22" s="1909" t="s">
        <v>1899</v>
      </c>
      <c r="B22" s="110">
        <f>B19+B20</f>
        <v>2.5</v>
      </c>
      <c r="C22" s="2898"/>
      <c r="D22" s="2900"/>
      <c r="E22" s="2898"/>
      <c r="F22" s="2898"/>
      <c r="G22" s="2898"/>
      <c r="H22" s="2898"/>
      <c r="I22" s="2898"/>
      <c r="J22" s="2898"/>
      <c r="K22" s="2897"/>
      <c r="L22" s="2897"/>
      <c r="M22" s="2896"/>
      <c r="N22" s="2896"/>
      <c r="O22" s="2896"/>
      <c r="P22" s="2896"/>
      <c r="Q22" s="2896"/>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row>
    <row r="23" spans="1:67" ht="14.25">
      <c r="A23" s="1910" t="s">
        <v>1900</v>
      </c>
      <c r="B23" s="110">
        <f>B19+B21</f>
        <v>2.5</v>
      </c>
      <c r="C23" s="2898"/>
      <c r="D23" s="2900"/>
      <c r="E23" s="2898"/>
      <c r="F23" s="2898"/>
      <c r="G23" s="2898"/>
      <c r="H23" s="2898"/>
      <c r="I23" s="2898"/>
      <c r="J23" s="2898"/>
      <c r="K23" s="2897"/>
      <c r="L23" s="2897"/>
      <c r="M23" s="2896"/>
      <c r="N23" s="2896"/>
      <c r="O23" s="2896"/>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row>
    <row r="24" spans="1:67" ht="15" thickBot="1">
      <c r="A24" s="1911" t="s">
        <v>1901</v>
      </c>
      <c r="B24" s="111">
        <f>B20-B21</f>
        <v>0</v>
      </c>
      <c r="C24" s="2898"/>
      <c r="D24" s="2900"/>
      <c r="E24" s="2898"/>
      <c r="F24" s="2898"/>
      <c r="G24" s="2898"/>
      <c r="H24" s="2898"/>
      <c r="I24" s="2898"/>
      <c r="J24" s="2898"/>
      <c r="K24" s="2897"/>
      <c r="L24" s="2897"/>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row>
    <row r="25" spans="1:67" ht="15" thickBot="1">
      <c r="A25" s="1742"/>
      <c r="B25" s="1873"/>
      <c r="C25" s="2898"/>
      <c r="D25" s="2900"/>
      <c r="E25" s="2898"/>
      <c r="F25" s="2898"/>
      <c r="G25" s="2898"/>
      <c r="H25" s="2898"/>
      <c r="I25" s="2898"/>
      <c r="J25" s="2898"/>
      <c r="K25" s="2897"/>
      <c r="L25" s="2897"/>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row>
    <row r="26" spans="1:67" ht="15" thickBot="1">
      <c r="A26" s="1869" t="s">
        <v>1902</v>
      </c>
      <c r="B26" s="1912" t="s">
        <v>1903</v>
      </c>
      <c r="C26" s="2901" t="s">
        <v>1904</v>
      </c>
      <c r="D26" s="2900"/>
      <c r="E26" s="2898"/>
      <c r="F26" s="2898"/>
      <c r="G26" s="2898"/>
      <c r="H26" s="2898"/>
      <c r="I26" s="2898"/>
      <c r="J26" s="2898"/>
      <c r="K26" s="2897"/>
      <c r="L26" s="2897"/>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row>
    <row r="27" spans="1:67" s="1914" customFormat="1" ht="27.75">
      <c r="A27" s="1913" t="s">
        <v>1905</v>
      </c>
      <c r="B27" s="112">
        <v>105</v>
      </c>
      <c r="C27" s="3027" t="s">
        <v>3051</v>
      </c>
      <c r="D27" s="2903"/>
      <c r="E27" s="2884"/>
      <c r="F27" s="2884"/>
      <c r="G27" s="2884"/>
      <c r="H27" s="2882" t="s">
        <v>10255</v>
      </c>
      <c r="I27" s="2882"/>
      <c r="J27" s="2882"/>
      <c r="K27" s="2882"/>
      <c r="L27" s="2897"/>
      <c r="M27" s="2897"/>
      <c r="N27" s="3080"/>
      <c r="O27" s="3080"/>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105</v>
      </c>
      <c r="C28" s="2904"/>
      <c r="D28" s="2903"/>
      <c r="E28" s="2884"/>
      <c r="F28" s="2884"/>
      <c r="G28" s="2884"/>
      <c r="H28" s="2882" t="s">
        <v>10256</v>
      </c>
      <c r="I28" s="2882"/>
      <c r="J28" s="2882"/>
      <c r="K28" s="2882"/>
      <c r="L28" s="2897"/>
      <c r="M28" s="2897"/>
      <c r="N28" s="3080"/>
      <c r="O28" s="3080"/>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c r="C29" s="3028" t="s">
        <v>3038</v>
      </c>
      <c r="D29" s="2903"/>
      <c r="E29" s="2884"/>
      <c r="F29" s="2884"/>
      <c r="G29" s="2898"/>
      <c r="H29" s="2898"/>
      <c r="I29" s="2898"/>
      <c r="J29" s="2898"/>
      <c r="K29" s="2897"/>
      <c r="L29" s="2897"/>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904"/>
      <c r="D30" s="2903"/>
      <c r="E30" s="2884"/>
      <c r="F30" s="2884"/>
      <c r="G30" s="2898"/>
      <c r="H30" s="2898"/>
      <c r="I30" s="2898"/>
      <c r="J30" s="2898"/>
      <c r="K30" s="2897"/>
      <c r="L30" s="2897"/>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902"/>
      <c r="D31" s="2903"/>
      <c r="E31" s="2884"/>
      <c r="F31" s="2884"/>
      <c r="G31" s="2898"/>
      <c r="H31" s="2898"/>
      <c r="I31" s="2898"/>
      <c r="J31" s="2898"/>
      <c r="K31" s="2897"/>
      <c r="L31" s="2897"/>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v>0</v>
      </c>
      <c r="C32" s="2904"/>
      <c r="D32" s="2900"/>
      <c r="E32" s="2898"/>
      <c r="F32" s="2898"/>
      <c r="G32" s="2898"/>
      <c r="H32" s="2898"/>
      <c r="I32" s="2898"/>
      <c r="J32" s="2898"/>
      <c r="K32" s="2897"/>
      <c r="L32" s="2897"/>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0.03</v>
      </c>
      <c r="C33" s="3029" t="s">
        <v>3039</v>
      </c>
      <c r="D33" s="2900"/>
      <c r="E33" s="2898"/>
      <c r="F33" s="2898"/>
      <c r="G33" s="2898"/>
      <c r="H33" s="2898"/>
      <c r="I33" s="2898"/>
      <c r="J33" s="2898"/>
      <c r="K33" s="2897"/>
      <c r="L33" s="2897"/>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v>0.1</v>
      </c>
      <c r="C34" s="3029" t="s">
        <v>3040</v>
      </c>
      <c r="D34" s="2908" t="s">
        <v>3048</v>
      </c>
      <c r="E34" s="2906"/>
      <c r="F34" s="2898"/>
      <c r="G34" s="2898"/>
      <c r="H34" s="2898"/>
      <c r="I34" s="2898"/>
      <c r="J34" s="2898"/>
      <c r="K34" s="2897"/>
      <c r="L34" s="2897"/>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29" t="s">
        <v>3041</v>
      </c>
      <c r="D35" s="2903"/>
      <c r="E35" s="2884"/>
      <c r="F35" s="2884"/>
      <c r="G35" s="2898"/>
      <c r="H35" s="2898"/>
      <c r="I35" s="2898"/>
      <c r="J35" s="2898"/>
      <c r="K35" s="2897"/>
      <c r="L35" s="2897"/>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29" t="s">
        <v>3042</v>
      </c>
      <c r="D36" s="2900"/>
      <c r="E36" s="2898"/>
      <c r="F36" s="2898"/>
      <c r="G36" s="2898"/>
      <c r="H36" s="2898"/>
      <c r="I36" s="2898"/>
      <c r="J36" s="2898"/>
      <c r="K36" s="2897"/>
      <c r="L36" s="2897"/>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row>
    <row r="37" spans="1:67" ht="14.25">
      <c r="A37" s="1917" t="s">
        <v>1915</v>
      </c>
      <c r="B37" s="120">
        <v>0.02</v>
      </c>
      <c r="C37" s="3029" t="s">
        <v>3043</v>
      </c>
      <c r="D37" s="2900"/>
      <c r="E37" s="2898"/>
      <c r="F37" s="2898"/>
      <c r="G37" s="2898"/>
      <c r="H37" s="2898"/>
      <c r="I37" s="2898"/>
      <c r="J37" s="2898"/>
      <c r="K37" s="2897"/>
      <c r="L37" s="2897"/>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row>
    <row r="38" spans="1:67" ht="14.25">
      <c r="A38" s="1915" t="s">
        <v>1916</v>
      </c>
      <c r="B38" s="118">
        <v>0.02</v>
      </c>
      <c r="C38" s="3029" t="s">
        <v>3043</v>
      </c>
      <c r="D38" s="2900"/>
      <c r="E38" s="2898"/>
      <c r="F38" s="2898"/>
      <c r="G38" s="2898"/>
      <c r="H38" s="2898"/>
      <c r="I38" s="2898"/>
      <c r="J38" s="2898"/>
      <c r="K38" s="2897"/>
      <c r="L38" s="2897"/>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row>
    <row r="39" spans="1:67" ht="14.25">
      <c r="A39" s="1918" t="s">
        <v>1917</v>
      </c>
      <c r="B39" s="323">
        <f ca="1">存贷款利率!I1</f>
        <v>1.4999999999999999E-2</v>
      </c>
      <c r="C39" s="2905"/>
      <c r="D39" s="2900"/>
      <c r="E39" s="2898"/>
      <c r="F39" s="2898"/>
      <c r="G39" s="2898"/>
      <c r="H39" s="2898"/>
      <c r="I39" s="2898"/>
      <c r="J39" s="2898"/>
      <c r="K39" s="2897"/>
      <c r="L39" s="2897"/>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row>
    <row r="40" spans="1:67" ht="29.25" thickBot="1">
      <c r="A40" s="3041" t="s">
        <v>10257</v>
      </c>
      <c r="B40" s="1210">
        <f ca="1">IF(A40="利息：取LPR",存贷款利率!G1,存贷款利率!G1+C40)</f>
        <v>4.3499999999999997E-2</v>
      </c>
      <c r="C40" s="3040">
        <v>5.0000000000000001E-3</v>
      </c>
      <c r="D40" s="2896"/>
      <c r="E40" s="2900"/>
      <c r="F40" s="2898"/>
      <c r="G40" s="2898"/>
      <c r="H40" s="2898"/>
      <c r="I40" s="2898"/>
      <c r="J40" s="2898"/>
      <c r="K40" s="2897"/>
      <c r="L40" s="2897"/>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row>
    <row r="41" spans="1:67" ht="14.25">
      <c r="A41" s="1913" t="s">
        <v>1918</v>
      </c>
      <c r="B41" s="121">
        <f>B42+B43</f>
        <v>5.6000000000000001E-2</v>
      </c>
      <c r="C41" s="2902"/>
      <c r="D41" s="2896"/>
      <c r="E41" s="2900"/>
      <c r="F41" s="2898"/>
      <c r="G41" s="2898"/>
      <c r="H41" s="2898"/>
      <c r="I41" s="2898"/>
      <c r="J41" s="2898"/>
      <c r="K41" s="2897"/>
      <c r="L41" s="2897"/>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row>
    <row r="42" spans="1:67" ht="14.25">
      <c r="A42" s="1919" t="s">
        <v>1919</v>
      </c>
      <c r="B42" s="122">
        <v>0.05</v>
      </c>
      <c r="C42" s="2907">
        <f>IF(B2&lt;DATE(2016,5,1),0,B42)</f>
        <v>0.05</v>
      </c>
      <c r="D42" s="2900"/>
      <c r="E42" s="2898"/>
      <c r="F42" s="2898"/>
      <c r="G42" s="2898"/>
      <c r="H42" s="2898"/>
      <c r="I42" s="2898"/>
      <c r="J42" s="2898"/>
      <c r="K42" s="2897"/>
      <c r="L42" s="2897"/>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row>
    <row r="43" spans="1:67" ht="14.25">
      <c r="A43" s="1919" t="s">
        <v>1920</v>
      </c>
      <c r="B43" s="123">
        <f>B42*(B44+B45+B46)+B47</f>
        <v>6.000000000000001E-3</v>
      </c>
      <c r="C43" s="2902"/>
      <c r="D43" s="2900"/>
      <c r="E43" s="2898"/>
      <c r="F43" s="2898"/>
      <c r="G43" s="2898"/>
      <c r="H43" s="2898"/>
      <c r="I43" s="2898"/>
      <c r="J43" s="2898"/>
      <c r="K43" s="2897"/>
      <c r="L43" s="2897"/>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row>
    <row r="44" spans="1:67" ht="14.25">
      <c r="A44" s="1920" t="s">
        <v>1921</v>
      </c>
      <c r="B44" s="124">
        <v>7.0000000000000007E-2</v>
      </c>
      <c r="C44" s="3029" t="s">
        <v>3052</v>
      </c>
      <c r="D44" s="2900"/>
      <c r="E44" s="2898"/>
      <c r="F44" s="2898"/>
      <c r="G44" s="2898"/>
      <c r="H44" s="2898"/>
      <c r="I44" s="2898"/>
      <c r="J44" s="2898"/>
      <c r="K44" s="2897"/>
      <c r="L44" s="2897"/>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row>
    <row r="45" spans="1:67" ht="14.25">
      <c r="A45" s="1920" t="s">
        <v>1922</v>
      </c>
      <c r="B45" s="122">
        <v>0.03</v>
      </c>
      <c r="C45" s="3028" t="s">
        <v>3044</v>
      </c>
      <c r="D45" s="2900"/>
      <c r="E45" s="2898"/>
      <c r="F45" s="2898"/>
      <c r="G45" s="2898"/>
      <c r="H45" s="2898"/>
      <c r="I45" s="2898"/>
      <c r="J45" s="2898"/>
      <c r="K45" s="2897"/>
      <c r="L45" s="2897"/>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row>
    <row r="46" spans="1:67" ht="14.25">
      <c r="A46" s="1920" t="s">
        <v>1923</v>
      </c>
      <c r="B46" s="122">
        <v>0.02</v>
      </c>
      <c r="C46" s="3028" t="s">
        <v>3045</v>
      </c>
      <c r="D46" s="2900"/>
      <c r="E46" s="2898"/>
      <c r="F46" s="2898"/>
      <c r="G46" s="2898"/>
      <c r="H46" s="2898"/>
      <c r="I46" s="2898"/>
      <c r="J46" s="2898"/>
      <c r="K46" s="2897"/>
      <c r="L46" s="2897"/>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row>
    <row r="47" spans="1:67" ht="15" thickBot="1">
      <c r="A47" s="1921" t="s">
        <v>1924</v>
      </c>
      <c r="B47" s="125"/>
      <c r="C47" s="3031" t="s">
        <v>3053</v>
      </c>
      <c r="D47" s="2900"/>
      <c r="E47" s="2898"/>
      <c r="F47" s="2898"/>
      <c r="G47" s="2898"/>
      <c r="H47" s="2898"/>
      <c r="I47" s="2898"/>
      <c r="J47" s="2898"/>
      <c r="K47" s="2897"/>
      <c r="L47" s="2897"/>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row>
    <row r="48" spans="1:67" ht="14.25">
      <c r="A48" s="1922" t="s">
        <v>1925</v>
      </c>
      <c r="B48" s="126">
        <v>0.03</v>
      </c>
      <c r="C48" s="3028" t="s">
        <v>3044</v>
      </c>
      <c r="D48" s="2900"/>
      <c r="E48" s="2898"/>
      <c r="F48" s="2898"/>
      <c r="G48" s="2898"/>
      <c r="H48" s="2898"/>
      <c r="I48" s="2898"/>
      <c r="J48" s="2898"/>
      <c r="K48" s="2897"/>
      <c r="L48" s="2897"/>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row>
    <row r="49" spans="1:44" ht="15" thickBot="1">
      <c r="A49" s="1918" t="s">
        <v>1926</v>
      </c>
      <c r="B49" s="122">
        <v>5.0000000000000001E-4</v>
      </c>
      <c r="C49" s="3028" t="s">
        <v>3046</v>
      </c>
      <c r="D49" s="2900"/>
      <c r="E49" s="2898"/>
      <c r="F49" s="2898"/>
      <c r="G49" s="2898"/>
      <c r="H49" s="2898"/>
      <c r="I49" s="2898"/>
      <c r="J49" s="2898"/>
      <c r="K49" s="2897"/>
      <c r="L49" s="2897"/>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row>
    <row r="50" spans="1:44" ht="14.25">
      <c r="A50" s="1923" t="s">
        <v>1927</v>
      </c>
      <c r="B50" s="127">
        <v>1.2E-2</v>
      </c>
      <c r="C50" s="2884"/>
      <c r="D50" s="2900"/>
      <c r="E50" s="2898"/>
      <c r="F50" s="2898"/>
      <c r="G50" s="2898"/>
      <c r="H50" s="2898"/>
      <c r="I50" s="2898"/>
      <c r="J50" s="2898"/>
      <c r="K50" s="2897"/>
      <c r="L50" s="2897"/>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row>
    <row r="51" spans="1:44" ht="15" thickBot="1">
      <c r="A51" s="1916" t="s">
        <v>1928</v>
      </c>
      <c r="B51" s="128">
        <v>0.12</v>
      </c>
      <c r="C51" s="2884"/>
      <c r="D51" s="2900"/>
      <c r="E51" s="2898"/>
      <c r="F51" s="2898"/>
      <c r="G51" s="2898"/>
      <c r="H51" s="2898"/>
      <c r="I51" s="2898"/>
      <c r="J51" s="2898"/>
      <c r="K51" s="2897"/>
      <c r="L51" s="2897"/>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row>
    <row r="52" spans="1:44" ht="14.25">
      <c r="A52" s="1923" t="s">
        <v>1929</v>
      </c>
      <c r="B52" s="129">
        <f>SUMIF(A54:A63,B53,B54:B63)</f>
        <v>8</v>
      </c>
      <c r="C52" s="2884"/>
      <c r="D52" s="2900"/>
      <c r="E52" s="2898"/>
      <c r="F52" s="2898"/>
      <c r="G52" s="2898"/>
      <c r="H52" s="2898"/>
      <c r="I52" s="2898"/>
      <c r="J52" s="2898"/>
      <c r="K52" s="2897"/>
      <c r="L52" s="2897"/>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row>
    <row r="53" spans="1:44" ht="27">
      <c r="A53" s="1915" t="s">
        <v>1930</v>
      </c>
      <c r="B53" s="1924" t="s">
        <v>442</v>
      </c>
      <c r="C53" s="2884" t="s">
        <v>1931</v>
      </c>
      <c r="D53" s="3030" t="s">
        <v>3050</v>
      </c>
      <c r="E53" s="2898"/>
      <c r="F53" s="2898"/>
      <c r="G53" s="2898"/>
      <c r="H53" s="3081" t="s">
        <v>10258</v>
      </c>
      <c r="I53" s="2882"/>
      <c r="J53" s="2882"/>
      <c r="K53" s="2897"/>
      <c r="L53" s="2897"/>
      <c r="M53" s="3080"/>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row>
    <row r="54" spans="1:44" ht="14.25">
      <c r="A54" s="1925" t="s">
        <v>1932</v>
      </c>
      <c r="B54" s="80">
        <v>16</v>
      </c>
      <c r="C54" s="2884">
        <v>30</v>
      </c>
      <c r="D54" s="2900"/>
      <c r="E54" s="2898"/>
      <c r="F54" s="2898"/>
      <c r="G54" s="2898"/>
      <c r="H54" s="2882" t="s">
        <v>10259</v>
      </c>
      <c r="I54" s="2883"/>
      <c r="J54" s="2882"/>
      <c r="K54" s="2897"/>
      <c r="L54" s="2897"/>
      <c r="M54" s="3080"/>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row>
    <row r="55" spans="1:44" ht="14.25">
      <c r="A55" s="1925" t="s">
        <v>1933</v>
      </c>
      <c r="B55" s="80">
        <v>12</v>
      </c>
      <c r="C55" s="2884">
        <v>24</v>
      </c>
      <c r="D55" s="2900"/>
      <c r="E55" s="2898"/>
      <c r="F55" s="2898"/>
      <c r="G55" s="2898"/>
      <c r="H55" s="2882"/>
      <c r="I55" s="2882"/>
      <c r="J55" s="2882"/>
      <c r="K55" s="2897"/>
      <c r="L55" s="2897"/>
      <c r="M55" s="3080"/>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row>
    <row r="56" spans="1:44" ht="14.25">
      <c r="A56" s="1925" t="s">
        <v>1934</v>
      </c>
      <c r="B56" s="80">
        <v>8</v>
      </c>
      <c r="C56" s="2884">
        <v>18</v>
      </c>
      <c r="D56" s="2900"/>
      <c r="E56" s="2898"/>
      <c r="F56" s="2898"/>
      <c r="G56" s="2898"/>
      <c r="H56" s="2898"/>
      <c r="I56" s="2898"/>
      <c r="J56" s="2898"/>
      <c r="K56" s="2897"/>
      <c r="L56" s="2897"/>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row>
    <row r="57" spans="1:44" ht="14.25">
      <c r="A57" s="1925" t="s">
        <v>1935</v>
      </c>
      <c r="B57" s="80">
        <v>6</v>
      </c>
      <c r="C57" s="2884">
        <v>12</v>
      </c>
      <c r="D57" s="2900"/>
      <c r="E57" s="2898"/>
      <c r="F57" s="2898"/>
      <c r="G57" s="2898"/>
      <c r="H57" s="2898"/>
      <c r="I57" s="2898"/>
      <c r="J57" s="2898"/>
      <c r="K57" s="2897"/>
      <c r="L57" s="2897"/>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row>
    <row r="58" spans="1:44" ht="14.25">
      <c r="A58" s="1925" t="s">
        <v>1936</v>
      </c>
      <c r="B58" s="80">
        <v>4</v>
      </c>
      <c r="C58" s="2884">
        <v>3</v>
      </c>
      <c r="D58" s="2900"/>
      <c r="E58" s="2898"/>
      <c r="F58" s="2898"/>
      <c r="G58" s="2898"/>
      <c r="H58" s="2898"/>
      <c r="I58" s="2898"/>
      <c r="J58" s="2898"/>
      <c r="K58" s="2897"/>
      <c r="L58" s="2897"/>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row>
    <row r="59" spans="1:44" ht="14.25">
      <c r="A59" s="1925" t="s">
        <v>1937</v>
      </c>
      <c r="B59" s="80">
        <v>3</v>
      </c>
      <c r="C59" s="2884">
        <v>1.5</v>
      </c>
      <c r="D59" s="2900"/>
      <c r="E59" s="2898"/>
      <c r="F59" s="2898"/>
      <c r="G59" s="2898"/>
      <c r="H59" s="2898"/>
      <c r="I59" s="2898"/>
      <c r="J59" s="2898"/>
      <c r="K59" s="2897"/>
      <c r="L59" s="2897"/>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row>
    <row r="60" spans="1:44" ht="14.25">
      <c r="A60" s="1925" t="s">
        <v>1938</v>
      </c>
      <c r="B60" s="80">
        <v>1.5</v>
      </c>
      <c r="C60" s="2898"/>
      <c r="D60" s="2900"/>
      <c r="E60" s="2898"/>
      <c r="F60" s="2898"/>
      <c r="G60" s="2898"/>
      <c r="H60" s="2898"/>
      <c r="I60" s="2898"/>
      <c r="J60" s="2898"/>
      <c r="K60" s="2897"/>
      <c r="L60" s="2897"/>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row>
    <row r="61" spans="1:44" ht="14.25">
      <c r="A61" s="1925" t="s">
        <v>1939</v>
      </c>
      <c r="B61" s="80"/>
      <c r="C61" s="2898"/>
      <c r="D61" s="2900"/>
      <c r="E61" s="2898"/>
      <c r="F61" s="2898"/>
      <c r="G61" s="2898"/>
      <c r="H61" s="2898"/>
      <c r="I61" s="2898"/>
      <c r="J61" s="2898"/>
      <c r="K61" s="2897"/>
      <c r="L61" s="2897"/>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row>
    <row r="62" spans="1:44" ht="14.25">
      <c r="A62" s="1925" t="s">
        <v>1940</v>
      </c>
      <c r="B62" s="80"/>
      <c r="C62" s="2898"/>
      <c r="D62" s="2900"/>
      <c r="E62" s="2898"/>
      <c r="F62" s="2898"/>
      <c r="G62" s="2898"/>
      <c r="H62" s="2898"/>
      <c r="I62" s="2898"/>
      <c r="J62" s="2898"/>
      <c r="K62" s="2897"/>
      <c r="L62" s="2897"/>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row>
    <row r="63" spans="1:44" ht="15" thickBot="1">
      <c r="A63" s="1926" t="s">
        <v>1941</v>
      </c>
      <c r="B63" s="130"/>
      <c r="C63" s="2898"/>
      <c r="D63" s="2900"/>
      <c r="E63" s="2898"/>
      <c r="F63" s="2898"/>
      <c r="G63" s="2898"/>
      <c r="H63" s="2898"/>
      <c r="I63" s="2898"/>
      <c r="J63" s="2898"/>
      <c r="K63" s="2897"/>
      <c r="L63" s="2897"/>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row>
    <row r="64" spans="1:44" s="901" customFormat="1">
      <c r="A64" s="2887"/>
      <c r="B64" s="2896"/>
      <c r="C64" s="2896"/>
      <c r="D64" s="2899"/>
      <c r="E64" s="2896"/>
      <c r="F64" s="2896"/>
      <c r="G64" s="2896"/>
      <c r="H64" s="2896"/>
      <c r="I64" s="2896"/>
      <c r="J64" s="2896"/>
      <c r="K64" s="2897"/>
      <c r="L64" s="2897"/>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row>
    <row r="65" spans="1:44" s="901" customFormat="1">
      <c r="A65" s="2887"/>
      <c r="B65" s="2896"/>
      <c r="C65" s="2896"/>
      <c r="D65" s="2899"/>
      <c r="E65" s="2896"/>
      <c r="F65" s="2896"/>
      <c r="G65" s="2896"/>
      <c r="H65" s="2896"/>
      <c r="I65" s="2896"/>
      <c r="J65" s="2896"/>
      <c r="K65" s="2897"/>
      <c r="L65" s="2897"/>
      <c r="M65" s="2896"/>
      <c r="N65" s="2896"/>
      <c r="O65" s="2896"/>
      <c r="P65" s="2896"/>
      <c r="Q65" s="2896"/>
      <c r="R65" s="2896"/>
      <c r="S65" s="2896"/>
      <c r="T65" s="2896"/>
      <c r="U65" s="2896"/>
      <c r="V65" s="2896"/>
      <c r="W65" s="2896"/>
      <c r="X65" s="2896"/>
      <c r="Y65" s="2896"/>
      <c r="Z65" s="2896"/>
      <c r="AA65" s="2896"/>
      <c r="AB65" s="2896"/>
      <c r="AC65" s="2896"/>
      <c r="AD65" s="2896"/>
      <c r="AE65" s="2896"/>
      <c r="AF65" s="2896"/>
      <c r="AG65" s="2896"/>
      <c r="AH65" s="2896"/>
      <c r="AI65" s="2896"/>
      <c r="AJ65" s="2896"/>
      <c r="AK65" s="2896"/>
      <c r="AL65" s="2896"/>
      <c r="AM65" s="2896"/>
      <c r="AN65" s="2896"/>
      <c r="AO65" s="2896"/>
      <c r="AP65" s="2896"/>
      <c r="AQ65" s="2896"/>
      <c r="AR65" s="2896"/>
    </row>
    <row r="66" spans="1:44" s="901" customFormat="1">
      <c r="A66" s="2887"/>
      <c r="B66" s="2896"/>
      <c r="C66" s="2896"/>
      <c r="D66" s="2899"/>
      <c r="E66" s="2896"/>
      <c r="F66" s="2896"/>
      <c r="G66" s="2896"/>
      <c r="H66" s="2896"/>
      <c r="I66" s="2896"/>
      <c r="J66" s="2896"/>
      <c r="K66" s="2897"/>
      <c r="L66" s="2897"/>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row>
    <row r="67" spans="1:44" s="901" customFormat="1">
      <c r="A67" s="2887"/>
      <c r="B67" s="2896"/>
      <c r="C67" s="2896"/>
      <c r="D67" s="2899"/>
      <c r="E67" s="2896"/>
      <c r="F67" s="2896"/>
      <c r="G67" s="2896"/>
      <c r="H67" s="2896"/>
      <c r="I67" s="2896"/>
      <c r="J67" s="2896"/>
      <c r="K67" s="2897"/>
      <c r="L67" s="2897"/>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row>
    <row r="68" spans="1:44" s="901" customFormat="1">
      <c r="A68" s="2887"/>
      <c r="B68" s="2896"/>
      <c r="C68" s="2896"/>
      <c r="D68" s="2899"/>
      <c r="E68" s="2896"/>
      <c r="F68" s="2896"/>
      <c r="G68" s="2896"/>
      <c r="H68" s="2896"/>
      <c r="I68" s="2896"/>
      <c r="J68" s="2896"/>
      <c r="K68" s="2897"/>
      <c r="L68" s="2897"/>
      <c r="M68" s="2896"/>
      <c r="N68" s="2896"/>
      <c r="O68" s="2896"/>
      <c r="P68" s="2896"/>
      <c r="Q68" s="2896"/>
      <c r="R68" s="2896"/>
      <c r="S68" s="2896"/>
      <c r="T68" s="2896"/>
      <c r="U68" s="2896"/>
      <c r="V68" s="2896"/>
      <c r="W68" s="2896"/>
      <c r="X68" s="2896"/>
      <c r="Y68" s="2896"/>
      <c r="Z68" s="2896"/>
      <c r="AA68" s="2896"/>
      <c r="AB68" s="2896"/>
      <c r="AC68" s="2896"/>
      <c r="AD68" s="2896"/>
      <c r="AE68" s="2896"/>
      <c r="AF68" s="2896"/>
      <c r="AG68" s="2896"/>
      <c r="AH68" s="2896"/>
      <c r="AI68" s="2896"/>
      <c r="AJ68" s="2896"/>
      <c r="AK68" s="2896"/>
      <c r="AL68" s="2896"/>
      <c r="AM68" s="2896"/>
      <c r="AN68" s="2896"/>
      <c r="AO68" s="2896"/>
      <c r="AP68" s="2896"/>
      <c r="AQ68" s="2896"/>
      <c r="AR68" s="2896"/>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2" customWidth="1"/>
    <col min="4" max="4" width="2.625" style="2732" customWidth="1"/>
    <col min="5" max="5" width="5.875" style="2732" customWidth="1"/>
    <col min="6" max="6" width="27" style="1757" customWidth="1"/>
    <col min="7" max="7" width="27" style="2733" customWidth="1"/>
    <col min="8" max="8" width="11.875" style="2713" customWidth="1"/>
    <col min="9" max="9" width="16.75" style="2714" customWidth="1"/>
    <col min="10" max="10" width="2.625" style="2713" customWidth="1"/>
    <col min="11" max="11" width="11.875" style="2713" customWidth="1"/>
    <col min="12" max="12" width="16.75" style="2714" customWidth="1"/>
    <col min="13" max="13" width="2.625" style="2713" customWidth="1"/>
    <col min="14" max="14" width="11.875" style="2713" customWidth="1"/>
    <col min="15" max="15" width="16.75" style="2714" customWidth="1"/>
    <col min="16" max="16" width="2.625" style="2713" customWidth="1"/>
    <col min="17" max="17" width="11.875" style="2713" customWidth="1"/>
    <col min="18" max="18" width="16.75" style="2715" customWidth="1"/>
    <col min="19" max="29" width="9" style="907"/>
    <col min="30" max="16384" width="9" style="1872"/>
  </cols>
  <sheetData>
    <row r="1" spans="1:29" s="2679" customFormat="1" ht="18.75" thickBot="1">
      <c r="A1" s="3182" t="s">
        <v>3030</v>
      </c>
      <c r="B1" s="3183"/>
      <c r="C1" s="3183"/>
      <c r="D1" s="3183"/>
      <c r="E1" s="3183"/>
      <c r="F1" s="3183"/>
      <c r="G1" s="3183"/>
      <c r="H1" s="2674"/>
      <c r="I1" s="2675"/>
      <c r="J1" s="2674"/>
      <c r="K1" s="2674"/>
      <c r="L1" s="2675"/>
      <c r="M1" s="2674"/>
      <c r="N1" s="2674"/>
      <c r="O1" s="2675"/>
      <c r="P1" s="2674"/>
      <c r="Q1" s="2676"/>
      <c r="R1" s="2677"/>
      <c r="S1" s="2678"/>
      <c r="T1" s="2678"/>
      <c r="U1" s="2678"/>
      <c r="V1" s="2678"/>
      <c r="W1" s="2678"/>
      <c r="X1" s="2678"/>
      <c r="Y1" s="2678"/>
      <c r="Z1" s="2678"/>
      <c r="AA1" s="2678"/>
      <c r="AB1" s="2678"/>
      <c r="AC1" s="2678"/>
    </row>
    <row r="2" spans="1:29" ht="15" thickBot="1">
      <c r="A2" s="2680"/>
      <c r="B2" s="2681"/>
      <c r="C2" s="2682" t="s">
        <v>3025</v>
      </c>
      <c r="D2" s="2683"/>
      <c r="E2" s="2680"/>
      <c r="F2" s="2684"/>
      <c r="G2" s="2682" t="s">
        <v>3026</v>
      </c>
      <c r="H2" s="907"/>
      <c r="I2" s="907"/>
      <c r="J2" s="907"/>
      <c r="K2" s="907"/>
      <c r="L2" s="907"/>
      <c r="M2" s="907"/>
      <c r="N2" s="907"/>
      <c r="O2" s="907"/>
      <c r="P2" s="907"/>
      <c r="Q2" s="907"/>
      <c r="R2" s="907"/>
    </row>
    <row r="3" spans="1:29" ht="48">
      <c r="A3" s="2663" t="s">
        <v>3027</v>
      </c>
      <c r="B3" s="2685" t="s">
        <v>2996</v>
      </c>
      <c r="C3" s="2686" t="s">
        <v>3028</v>
      </c>
      <c r="D3" s="2687"/>
      <c r="E3" s="2664" t="s">
        <v>3027</v>
      </c>
      <c r="F3" s="2688" t="s">
        <v>2997</v>
      </c>
      <c r="G3" s="2689" t="s">
        <v>3029</v>
      </c>
      <c r="H3" s="907"/>
      <c r="I3" s="907"/>
      <c r="J3" s="907"/>
      <c r="K3" s="907"/>
      <c r="L3" s="907"/>
      <c r="M3" s="907"/>
      <c r="N3" s="907"/>
      <c r="O3" s="907"/>
      <c r="P3" s="907"/>
      <c r="Q3" s="907"/>
      <c r="R3" s="907"/>
    </row>
    <row r="4" spans="1:29" ht="36.75">
      <c r="A4" s="2664"/>
      <c r="B4" s="329" t="s">
        <v>2998</v>
      </c>
      <c r="C4" s="2690" t="s">
        <v>2999</v>
      </c>
      <c r="D4" s="2687"/>
      <c r="E4" s="2691"/>
      <c r="F4" s="1557" t="s">
        <v>3000</v>
      </c>
      <c r="G4" s="2692" t="s">
        <v>3001</v>
      </c>
      <c r="H4" s="907"/>
      <c r="I4" s="907"/>
      <c r="J4" s="907"/>
      <c r="K4" s="907"/>
      <c r="L4" s="907"/>
      <c r="M4" s="907"/>
      <c r="N4" s="907"/>
      <c r="O4" s="907"/>
      <c r="P4" s="907"/>
      <c r="Q4" s="907"/>
      <c r="R4" s="907"/>
    </row>
    <row r="5" spans="1:29" ht="36.75">
      <c r="A5" s="2664"/>
      <c r="B5" s="329" t="s">
        <v>3002</v>
      </c>
      <c r="C5" s="2690" t="s">
        <v>3003</v>
      </c>
      <c r="D5" s="2687"/>
      <c r="E5" s="2691"/>
      <c r="F5" s="329" t="s">
        <v>3004</v>
      </c>
      <c r="G5" s="2692" t="s">
        <v>3005</v>
      </c>
      <c r="H5" s="907"/>
      <c r="I5" s="907"/>
      <c r="J5" s="907"/>
      <c r="K5" s="907"/>
      <c r="L5" s="907"/>
      <c r="M5" s="907"/>
      <c r="N5" s="907"/>
      <c r="O5" s="907"/>
      <c r="P5" s="907"/>
      <c r="Q5" s="907"/>
      <c r="R5" s="907"/>
    </row>
    <row r="6" spans="1:29" ht="36">
      <c r="A6" s="2664"/>
      <c r="B6" s="329" t="s">
        <v>3006</v>
      </c>
      <c r="C6" s="2692" t="s">
        <v>3001</v>
      </c>
      <c r="D6" s="2687"/>
      <c r="E6" s="2691"/>
      <c r="F6" s="329" t="s">
        <v>3007</v>
      </c>
      <c r="G6" s="2692" t="s">
        <v>3008</v>
      </c>
      <c r="H6" s="907"/>
      <c r="I6" s="907"/>
      <c r="J6" s="907"/>
      <c r="K6" s="907"/>
      <c r="L6" s="907"/>
      <c r="M6" s="907"/>
      <c r="N6" s="907"/>
      <c r="O6" s="907"/>
      <c r="P6" s="907"/>
      <c r="Q6" s="907"/>
      <c r="R6" s="907"/>
    </row>
    <row r="7" spans="1:29" ht="24.75" thickBot="1">
      <c r="A7" s="2664"/>
      <c r="B7" s="329" t="s">
        <v>3004</v>
      </c>
      <c r="C7" s="2692" t="s">
        <v>3005</v>
      </c>
      <c r="D7" s="2693"/>
      <c r="E7" s="2694"/>
      <c r="F7" s="2695" t="s">
        <v>3009</v>
      </c>
      <c r="G7" s="2696" t="s">
        <v>3010</v>
      </c>
      <c r="H7" s="907"/>
      <c r="I7" s="907"/>
      <c r="J7" s="907"/>
      <c r="K7" s="907"/>
      <c r="L7" s="907"/>
      <c r="M7" s="907"/>
      <c r="N7" s="907"/>
      <c r="O7" s="907"/>
      <c r="P7" s="907"/>
      <c r="Q7" s="907"/>
      <c r="R7" s="907"/>
    </row>
    <row r="8" spans="1:29">
      <c r="A8" s="2664"/>
      <c r="B8" s="329" t="s">
        <v>3007</v>
      </c>
      <c r="C8" s="2692" t="s">
        <v>3008</v>
      </c>
      <c r="D8" s="2693"/>
      <c r="E8" s="2693"/>
      <c r="F8" s="2697"/>
      <c r="G8" s="2697"/>
      <c r="H8" s="907"/>
      <c r="I8" s="907"/>
      <c r="J8" s="907"/>
      <c r="K8" s="907"/>
      <c r="L8" s="907"/>
      <c r="M8" s="907"/>
      <c r="N8" s="907"/>
      <c r="O8" s="907"/>
      <c r="P8" s="907"/>
      <c r="Q8" s="907"/>
      <c r="R8" s="907"/>
    </row>
    <row r="9" spans="1:29" ht="24">
      <c r="A9" s="2664"/>
      <c r="B9" s="329" t="s">
        <v>3011</v>
      </c>
      <c r="C9" s="2690" t="s">
        <v>3012</v>
      </c>
      <c r="D9" s="2687"/>
      <c r="E9" s="2693"/>
      <c r="F9" s="2697"/>
      <c r="G9" s="2697"/>
      <c r="H9" s="907"/>
      <c r="I9" s="907"/>
      <c r="J9" s="907"/>
      <c r="K9" s="907"/>
      <c r="L9" s="907"/>
      <c r="M9" s="907"/>
      <c r="N9" s="907"/>
      <c r="O9" s="907"/>
      <c r="P9" s="907"/>
      <c r="Q9" s="907"/>
      <c r="R9" s="907"/>
    </row>
    <row r="10" spans="1:29" s="2703" customFormat="1" ht="15" thickBot="1">
      <c r="A10" s="2665"/>
      <c r="B10" s="2698" t="s">
        <v>3013</v>
      </c>
      <c r="C10" s="2699"/>
      <c r="D10" s="2687"/>
      <c r="E10" s="2687"/>
      <c r="F10" s="2697"/>
      <c r="G10" s="2697"/>
      <c r="H10" s="2700"/>
      <c r="I10" s="2701"/>
      <c r="J10" s="2702"/>
      <c r="K10" s="2700"/>
      <c r="L10" s="2701"/>
      <c r="M10" s="2702"/>
      <c r="N10" s="2700"/>
      <c r="O10" s="2701"/>
      <c r="P10" s="2702"/>
      <c r="Q10" s="2700"/>
      <c r="R10" s="2701"/>
      <c r="S10" s="907"/>
      <c r="T10" s="907"/>
      <c r="U10" s="907"/>
      <c r="V10" s="907"/>
      <c r="W10" s="907"/>
      <c r="X10" s="907"/>
      <c r="Y10" s="907"/>
      <c r="Z10" s="907"/>
      <c r="AA10" s="907"/>
      <c r="AB10" s="907"/>
      <c r="AC10" s="907"/>
    </row>
    <row r="11" spans="1:29" s="2703" customFormat="1">
      <c r="A11" s="2704"/>
      <c r="B11" s="2693"/>
      <c r="C11" s="2687"/>
      <c r="D11" s="2687"/>
      <c r="E11" s="2687"/>
      <c r="F11" s="2693"/>
      <c r="G11" s="2705"/>
      <c r="H11" s="2700"/>
      <c r="I11" s="2701"/>
      <c r="J11" s="2702"/>
      <c r="K11" s="2700"/>
      <c r="L11" s="2701"/>
      <c r="M11" s="2702"/>
      <c r="N11" s="2700"/>
      <c r="O11" s="2701"/>
      <c r="P11" s="2702"/>
      <c r="Q11" s="2700"/>
      <c r="R11" s="2701"/>
      <c r="S11" s="907"/>
      <c r="T11" s="907"/>
      <c r="U11" s="907"/>
      <c r="V11" s="907"/>
      <c r="W11" s="907"/>
      <c r="X11" s="907"/>
      <c r="Y11" s="907"/>
      <c r="Z11" s="907"/>
      <c r="AA11" s="907"/>
      <c r="AB11" s="907"/>
      <c r="AC11" s="907"/>
    </row>
    <row r="12" spans="1:29" s="2679" customFormat="1" ht="18">
      <c r="A12" s="2704"/>
      <c r="B12" s="2693"/>
      <c r="C12" s="2687"/>
      <c r="D12" s="2706"/>
      <c r="E12" s="2687"/>
      <c r="F12" s="2693"/>
      <c r="G12" s="2705"/>
      <c r="H12" s="2707"/>
      <c r="I12" s="2708"/>
      <c r="J12" s="2707"/>
      <c r="K12" s="2707"/>
      <c r="L12" s="2709"/>
      <c r="M12" s="2707"/>
      <c r="N12" s="2710"/>
      <c r="O12" s="2711"/>
      <c r="P12" s="2710"/>
      <c r="Q12" s="2710"/>
      <c r="R12" s="2677"/>
      <c r="S12" s="2678"/>
      <c r="T12" s="2678"/>
      <c r="U12" s="2678"/>
      <c r="V12" s="2678"/>
      <c r="W12" s="2678"/>
      <c r="X12" s="2678"/>
      <c r="Y12" s="2678"/>
      <c r="Z12" s="2678"/>
      <c r="AA12" s="2678"/>
      <c r="AB12" s="2678"/>
      <c r="AC12" s="2678"/>
    </row>
    <row r="13" spans="1:29" ht="15.75" thickBot="1">
      <c r="A13" s="2712" t="s">
        <v>3031</v>
      </c>
      <c r="B13" s="2706"/>
      <c r="C13" s="2706"/>
      <c r="D13" s="2704"/>
      <c r="E13" s="2706"/>
      <c r="F13" s="2706"/>
      <c r="G13" s="2706"/>
    </row>
    <row r="14" spans="1:29" ht="15" thickBot="1">
      <c r="A14" s="2716"/>
      <c r="B14" s="2716"/>
      <c r="C14" s="2717" t="s">
        <v>3014</v>
      </c>
      <c r="D14" s="2687"/>
      <c r="E14" s="2718"/>
      <c r="F14" s="2718"/>
      <c r="G14" s="2682" t="s">
        <v>3015</v>
      </c>
    </row>
    <row r="15" spans="1:29" ht="51">
      <c r="A15" s="2666" t="s">
        <v>3016</v>
      </c>
      <c r="B15" s="2719" t="s">
        <v>2996</v>
      </c>
      <c r="C15" s="2720" t="str">
        <f>C3</f>
        <v>估价对象周边居住用地比例、居住小区规模和社区发展完善程度，综合评价居住社区成熟度一般</v>
      </c>
      <c r="D15" s="2687"/>
      <c r="E15" s="2667" t="s">
        <v>3017</v>
      </c>
      <c r="F15" s="2719" t="s">
        <v>3018</v>
      </c>
      <c r="G15" s="2721" t="str">
        <f>G3</f>
        <v>估价对象位于XX开发区，园区建设成熟度XX，产业集聚程度XX</v>
      </c>
    </row>
    <row r="16" spans="1:29" ht="38.25">
      <c r="A16" s="2668"/>
      <c r="B16" s="2722" t="s">
        <v>2998</v>
      </c>
      <c r="C16" s="2723" t="str">
        <f>C4</f>
        <v>估价对象位于XX商圈，周边商业氛围成熟，人流量大，商业繁华度好</v>
      </c>
      <c r="D16" s="2687"/>
      <c r="E16" s="2669"/>
      <c r="F16" s="2724" t="s">
        <v>3000</v>
      </c>
      <c r="G16" s="2725" t="str">
        <f>G4</f>
        <v>估价对象周边道路状况、公共交通通达情况、停车便捷程度，综合评价交通便捷度较好</v>
      </c>
    </row>
    <row r="17" spans="1:18" ht="38.25">
      <c r="A17" s="2668"/>
      <c r="B17" s="2722" t="s">
        <v>3002</v>
      </c>
      <c r="C17" s="2723" t="str">
        <f>C5</f>
        <v>估价对象位于XX商圈，周边办公楼项目较多，入驻率高，办公集聚程度较好</v>
      </c>
      <c r="D17" s="2693"/>
      <c r="E17" s="2669"/>
      <c r="F17" s="2724" t="s">
        <v>3019</v>
      </c>
      <c r="G17" s="2726"/>
    </row>
    <row r="18" spans="1:18" ht="38.25">
      <c r="A18" s="2668"/>
      <c r="B18" s="2724" t="s">
        <v>3006</v>
      </c>
      <c r="C18" s="2725" t="str">
        <f>C6</f>
        <v>估价对象周边道路状况、公共交通通达情况、停车便捷程度，综合评价交通便捷度较好</v>
      </c>
      <c r="D18" s="2693"/>
      <c r="E18" s="2669"/>
      <c r="F18" s="2724" t="s">
        <v>3009</v>
      </c>
      <c r="G18" s="2725" t="str">
        <f>G7</f>
        <v>该园区内是否有污染型企业，绿化情况，卫生条件，整体环境状况判断</v>
      </c>
    </row>
    <row r="19" spans="1:18" ht="25.5">
      <c r="A19" s="2668"/>
      <c r="B19" s="2724" t="s">
        <v>3020</v>
      </c>
      <c r="C19" s="2726"/>
      <c r="D19" s="2687"/>
      <c r="E19" s="2669"/>
      <c r="F19" s="329" t="s">
        <v>3004</v>
      </c>
      <c r="G19" s="2725" t="str">
        <f>G5</f>
        <v>估价对象所在区域公共配套设施齐备情况</v>
      </c>
    </row>
    <row r="20" spans="1:18" ht="25.5">
      <c r="A20" s="2668"/>
      <c r="B20" s="2724" t="s">
        <v>3021</v>
      </c>
      <c r="C20" s="2723" t="str">
        <f>C9</f>
        <v>区域自然环境：；人文环境；综合评价环境状况一般</v>
      </c>
      <c r="D20" s="2693"/>
      <c r="E20" s="2669"/>
      <c r="F20" s="329" t="s">
        <v>3007</v>
      </c>
      <c r="G20" s="2725" t="str">
        <f>G6</f>
        <v>估价对象所在区域基础设施水平</v>
      </c>
    </row>
    <row r="21" spans="1:18" ht="25.5">
      <c r="A21" s="2668"/>
      <c r="B21" s="329" t="s">
        <v>3004</v>
      </c>
      <c r="C21" s="2725" t="str">
        <f>C7</f>
        <v>估价对象所在区域公共配套设施齐备情况</v>
      </c>
      <c r="D21" s="2687"/>
      <c r="E21" s="2669"/>
      <c r="F21" s="2724" t="s">
        <v>3022</v>
      </c>
      <c r="G21" s="2727"/>
    </row>
    <row r="22" spans="1:18" ht="13.5" customHeight="1">
      <c r="A22" s="2668"/>
      <c r="B22" s="329" t="s">
        <v>3007</v>
      </c>
      <c r="C22" s="2725" t="str">
        <f>C8</f>
        <v>估价对象所在区域基础设施水平</v>
      </c>
      <c r="D22" s="2687"/>
      <c r="E22" s="2669"/>
      <c r="F22" s="2724" t="s">
        <v>3013</v>
      </c>
      <c r="G22" s="2726"/>
    </row>
    <row r="23" spans="1:18" s="907" customFormat="1" ht="15" thickBot="1">
      <c r="A23" s="2668"/>
      <c r="B23" s="2724" t="s">
        <v>3022</v>
      </c>
      <c r="C23" s="2727"/>
      <c r="D23" s="1927"/>
      <c r="E23" s="2670"/>
      <c r="F23" s="2728" t="s">
        <v>3023</v>
      </c>
      <c r="G23" s="2729"/>
      <c r="H23" s="2713"/>
      <c r="I23" s="2714"/>
      <c r="J23" s="2713"/>
      <c r="K23" s="2713"/>
      <c r="L23" s="2714"/>
      <c r="M23" s="2713"/>
      <c r="N23" s="2713"/>
      <c r="O23" s="2714"/>
      <c r="P23" s="2713"/>
      <c r="Q23" s="2713"/>
      <c r="R23" s="2715"/>
    </row>
    <row r="24" spans="1:18" s="907" customFormat="1" ht="15" thickBot="1">
      <c r="A24" s="2671"/>
      <c r="B24" s="2728" t="s">
        <v>3024</v>
      </c>
      <c r="C24" s="2730">
        <f>C10</f>
        <v>0</v>
      </c>
      <c r="D24" s="1927"/>
      <c r="E24" s="2661"/>
      <c r="F24" s="2661"/>
      <c r="G24" s="2731"/>
      <c r="H24" s="2713"/>
      <c r="I24" s="2714"/>
      <c r="J24" s="2713"/>
      <c r="K24" s="2713"/>
      <c r="L24" s="2714"/>
      <c r="M24" s="2713"/>
      <c r="N24" s="2713"/>
      <c r="O24" s="2714"/>
      <c r="P24" s="2713"/>
      <c r="Q24" s="2713"/>
      <c r="R24" s="2715"/>
    </row>
    <row r="25" spans="1:18" s="907" customFormat="1">
      <c r="B25" s="2713"/>
      <c r="C25" s="2713"/>
      <c r="D25" s="2713"/>
      <c r="H25" s="2713"/>
      <c r="I25" s="2714"/>
      <c r="J25" s="2713"/>
      <c r="K25" s="2713"/>
      <c r="L25" s="2714"/>
      <c r="M25" s="2713"/>
      <c r="N25" s="2713"/>
      <c r="O25" s="2714"/>
      <c r="P25" s="2713"/>
      <c r="Q25" s="2713"/>
      <c r="R25" s="2715"/>
    </row>
    <row r="26" spans="1:18" s="907" customFormat="1">
      <c r="B26" s="2713"/>
      <c r="C26" s="2713"/>
      <c r="D26" s="2713"/>
      <c r="H26" s="2713"/>
      <c r="I26" s="2714"/>
      <c r="J26" s="2713"/>
      <c r="K26" s="2713"/>
      <c r="L26" s="2714"/>
      <c r="M26" s="2713"/>
      <c r="N26" s="2713"/>
      <c r="O26" s="2714"/>
      <c r="P26" s="2713"/>
      <c r="Q26" s="2713"/>
      <c r="R26" s="2715"/>
    </row>
    <row r="27" spans="1:18" s="907" customFormat="1">
      <c r="B27" s="2713"/>
      <c r="C27" s="2713"/>
      <c r="D27" s="2713"/>
      <c r="H27" s="2713"/>
      <c r="I27" s="2714"/>
      <c r="J27" s="2713"/>
      <c r="K27" s="2713"/>
      <c r="L27" s="2714"/>
      <c r="M27" s="2713"/>
      <c r="N27" s="2713"/>
      <c r="O27" s="2714"/>
      <c r="P27" s="2713"/>
      <c r="Q27" s="2713"/>
      <c r="R27" s="2715"/>
    </row>
    <row r="28" spans="1:18" s="907" customFormat="1">
      <c r="B28" s="2713"/>
      <c r="C28" s="2713"/>
      <c r="D28" s="2713"/>
      <c r="H28" s="2713"/>
      <c r="I28" s="2714"/>
      <c r="J28" s="2713"/>
      <c r="K28" s="2713"/>
      <c r="L28" s="2714"/>
      <c r="M28" s="2713"/>
      <c r="N28" s="2713"/>
      <c r="O28" s="2714"/>
      <c r="P28" s="2713"/>
      <c r="Q28" s="2713"/>
      <c r="R28" s="2715"/>
    </row>
    <row r="29" spans="1:18" s="907" customFormat="1">
      <c r="B29" s="2713"/>
      <c r="C29" s="2713"/>
      <c r="D29" s="2713"/>
      <c r="H29" s="2713"/>
      <c r="I29" s="2714"/>
      <c r="J29" s="2713"/>
      <c r="K29" s="2713"/>
      <c r="L29" s="2714"/>
      <c r="M29" s="2713"/>
      <c r="N29" s="2713"/>
      <c r="O29" s="2714"/>
      <c r="P29" s="2713"/>
      <c r="Q29" s="2713"/>
      <c r="R29" s="2715"/>
    </row>
    <row r="30" spans="1:18" s="907" customFormat="1">
      <c r="B30" s="2713"/>
      <c r="C30" s="2713"/>
      <c r="D30" s="2713"/>
      <c r="H30" s="2713"/>
      <c r="I30" s="2714"/>
      <c r="J30" s="2713"/>
      <c r="K30" s="2713"/>
      <c r="L30" s="2714"/>
      <c r="M30" s="2713"/>
      <c r="N30" s="2713"/>
      <c r="O30" s="2714"/>
      <c r="P30" s="2713"/>
      <c r="Q30" s="2713"/>
      <c r="R30" s="2715"/>
    </row>
    <row r="31" spans="1:18" s="907" customFormat="1">
      <c r="B31" s="2713"/>
      <c r="C31" s="2713"/>
      <c r="D31" s="2713"/>
      <c r="H31" s="2713"/>
      <c r="I31" s="2714"/>
      <c r="J31" s="2713"/>
      <c r="K31" s="2713"/>
      <c r="L31" s="2714"/>
      <c r="M31" s="2713"/>
      <c r="N31" s="2713"/>
      <c r="O31" s="2714"/>
      <c r="P31" s="2713"/>
      <c r="Q31" s="2713"/>
      <c r="R31" s="2715"/>
    </row>
    <row r="32" spans="1:18" s="907" customFormat="1">
      <c r="B32" s="2713"/>
      <c r="C32" s="2713"/>
      <c r="D32" s="2713"/>
      <c r="H32" s="2713"/>
      <c r="I32" s="2714"/>
      <c r="J32" s="2713"/>
      <c r="K32" s="2713"/>
      <c r="L32" s="2714"/>
      <c r="M32" s="2713"/>
      <c r="N32" s="2713"/>
      <c r="O32" s="2714"/>
      <c r="P32" s="2713"/>
      <c r="Q32" s="2713"/>
      <c r="R32" s="2715"/>
    </row>
    <row r="33" spans="2:18" s="907" customFormat="1">
      <c r="B33" s="2713"/>
      <c r="C33" s="2713"/>
      <c r="D33" s="2713"/>
      <c r="H33" s="2713"/>
      <c r="I33" s="2714"/>
      <c r="J33" s="2713"/>
      <c r="K33" s="2713"/>
      <c r="L33" s="2714"/>
      <c r="M33" s="2713"/>
      <c r="N33" s="2713"/>
      <c r="O33" s="2714"/>
      <c r="P33" s="2713"/>
      <c r="Q33" s="2713"/>
      <c r="R33" s="2715"/>
    </row>
    <row r="34" spans="2:18" s="907" customFormat="1">
      <c r="B34" s="2713"/>
      <c r="C34" s="2713"/>
      <c r="D34" s="2713"/>
      <c r="H34" s="2713"/>
      <c r="I34" s="2714"/>
      <c r="J34" s="2713"/>
      <c r="K34" s="2713"/>
      <c r="L34" s="2714"/>
      <c r="M34" s="2713"/>
      <c r="N34" s="2713"/>
      <c r="O34" s="2714"/>
      <c r="P34" s="2713"/>
      <c r="Q34" s="2713"/>
      <c r="R34" s="2715"/>
    </row>
    <row r="35" spans="2:18" s="907" customFormat="1">
      <c r="B35" s="2713"/>
      <c r="C35" s="2713"/>
      <c r="D35" s="2713"/>
      <c r="H35" s="2713"/>
      <c r="I35" s="2714"/>
      <c r="J35" s="2713"/>
      <c r="K35" s="2713"/>
      <c r="L35" s="2714"/>
      <c r="M35" s="2713"/>
      <c r="N35" s="2713"/>
      <c r="O35" s="2714"/>
      <c r="P35" s="2713"/>
      <c r="Q35" s="2713"/>
      <c r="R35" s="2715"/>
    </row>
    <row r="36" spans="2:18" s="907" customFormat="1">
      <c r="B36" s="2713"/>
      <c r="C36" s="2713"/>
      <c r="D36" s="2713"/>
      <c r="H36" s="2713"/>
      <c r="I36" s="2714"/>
      <c r="J36" s="2713"/>
      <c r="K36" s="2713"/>
      <c r="L36" s="2714"/>
      <c r="M36" s="2713"/>
      <c r="N36" s="2713"/>
      <c r="O36" s="2714"/>
      <c r="P36" s="2713"/>
      <c r="Q36" s="2713"/>
      <c r="R36" s="2715"/>
    </row>
    <row r="37" spans="2:18" s="907" customFormat="1">
      <c r="B37" s="2713"/>
      <c r="C37" s="2713"/>
      <c r="D37" s="2713"/>
      <c r="H37" s="2713"/>
      <c r="I37" s="2714"/>
      <c r="J37" s="2713"/>
      <c r="K37" s="2713"/>
      <c r="L37" s="2714"/>
      <c r="M37" s="2713"/>
      <c r="N37" s="2713"/>
      <c r="O37" s="2714"/>
      <c r="P37" s="2713"/>
      <c r="Q37" s="2713"/>
      <c r="R37" s="2715"/>
    </row>
    <row r="38" spans="2:18" s="907" customFormat="1">
      <c r="B38" s="2713"/>
      <c r="C38" s="2713"/>
      <c r="D38" s="2713"/>
      <c r="E38" s="2713"/>
      <c r="F38" s="2713"/>
      <c r="G38" s="2714"/>
      <c r="H38" s="2713"/>
      <c r="I38" s="2714"/>
      <c r="J38" s="2713"/>
      <c r="K38" s="2713"/>
      <c r="L38" s="2714"/>
      <c r="M38" s="2713"/>
      <c r="N38" s="2713"/>
      <c r="O38" s="2714"/>
      <c r="P38" s="2713"/>
      <c r="Q38" s="2713"/>
      <c r="R38" s="2715"/>
    </row>
    <row r="39" spans="2:18" s="907" customFormat="1">
      <c r="B39" s="2713"/>
      <c r="C39" s="2713"/>
      <c r="D39" s="2713"/>
      <c r="E39" s="2713"/>
      <c r="F39" s="2713"/>
      <c r="G39" s="2714"/>
      <c r="H39" s="2713"/>
      <c r="I39" s="2714"/>
      <c r="J39" s="2713"/>
      <c r="K39" s="2713"/>
      <c r="L39" s="2714"/>
      <c r="M39" s="2713"/>
      <c r="N39" s="2713"/>
      <c r="O39" s="2714"/>
      <c r="P39" s="2713"/>
      <c r="Q39" s="2713"/>
      <c r="R39" s="2715"/>
    </row>
    <row r="40" spans="2:18" s="907" customFormat="1">
      <c r="B40" s="2713"/>
      <c r="C40" s="2713"/>
      <c r="D40" s="2713"/>
      <c r="E40" s="2713"/>
      <c r="F40" s="2713"/>
      <c r="G40" s="2714"/>
      <c r="H40" s="2713"/>
      <c r="I40" s="2714"/>
      <c r="J40" s="2713"/>
      <c r="K40" s="2713"/>
      <c r="L40" s="2714"/>
      <c r="M40" s="2713"/>
      <c r="N40" s="2713"/>
      <c r="O40" s="2714"/>
      <c r="P40" s="2713"/>
      <c r="Q40" s="2713"/>
      <c r="R40" s="2715"/>
    </row>
    <row r="41" spans="2:18" s="907" customFormat="1">
      <c r="B41" s="2713"/>
      <c r="C41" s="2713"/>
      <c r="D41" s="2713"/>
      <c r="E41" s="2713"/>
      <c r="F41" s="2713"/>
      <c r="G41" s="2714"/>
      <c r="H41" s="2713"/>
      <c r="I41" s="2714"/>
      <c r="J41" s="2713"/>
      <c r="K41" s="2713"/>
      <c r="L41" s="2714"/>
      <c r="M41" s="2713"/>
      <c r="N41" s="2713"/>
      <c r="O41" s="2714"/>
      <c r="P41" s="2713"/>
      <c r="Q41" s="2713"/>
      <c r="R41" s="2715"/>
    </row>
    <row r="42" spans="2:18" s="907" customFormat="1">
      <c r="B42" s="2713"/>
      <c r="C42" s="2713"/>
      <c r="D42" s="2713"/>
      <c r="E42" s="2713"/>
      <c r="F42" s="2713"/>
      <c r="G42" s="2714"/>
      <c r="H42" s="2713"/>
      <c r="I42" s="2714"/>
      <c r="J42" s="2713"/>
      <c r="K42" s="2713"/>
      <c r="L42" s="2714"/>
      <c r="M42" s="2713"/>
      <c r="N42" s="2713"/>
      <c r="O42" s="2714"/>
      <c r="P42" s="2713"/>
      <c r="Q42" s="2713"/>
      <c r="R42" s="2715"/>
    </row>
    <row r="43" spans="2:18" s="907" customFormat="1">
      <c r="B43" s="2713"/>
      <c r="C43" s="2713"/>
      <c r="D43" s="2713"/>
      <c r="E43" s="2713"/>
      <c r="F43" s="2713"/>
      <c r="G43" s="2714"/>
      <c r="H43" s="2713"/>
      <c r="I43" s="2714"/>
      <c r="J43" s="2713"/>
      <c r="K43" s="2713"/>
      <c r="L43" s="2714"/>
      <c r="M43" s="2713"/>
      <c r="N43" s="2713"/>
      <c r="O43" s="2714"/>
      <c r="P43" s="2713"/>
      <c r="Q43" s="2713"/>
      <c r="R43" s="2715"/>
    </row>
    <row r="44" spans="2:18" s="907" customFormat="1">
      <c r="B44" s="2713"/>
      <c r="C44" s="2713"/>
      <c r="D44" s="2713"/>
      <c r="E44" s="2713"/>
      <c r="F44" s="2713"/>
      <c r="G44" s="2714"/>
      <c r="H44" s="2713"/>
      <c r="I44" s="2714"/>
      <c r="J44" s="2713"/>
      <c r="K44" s="2713"/>
      <c r="L44" s="2714"/>
      <c r="M44" s="2713"/>
      <c r="N44" s="2713"/>
      <c r="O44" s="2714"/>
      <c r="P44" s="2713"/>
      <c r="Q44" s="2713"/>
      <c r="R44" s="2715"/>
    </row>
    <row r="45" spans="2:18" s="907" customFormat="1">
      <c r="B45" s="2713"/>
      <c r="C45" s="2713"/>
      <c r="D45" s="2713"/>
      <c r="E45" s="2713"/>
      <c r="F45" s="2713"/>
      <c r="G45" s="2714"/>
      <c r="H45" s="2713"/>
      <c r="I45" s="2714"/>
      <c r="J45" s="2713"/>
      <c r="K45" s="2713"/>
      <c r="L45" s="2714"/>
      <c r="M45" s="2713"/>
      <c r="N45" s="2713"/>
      <c r="O45" s="2714"/>
      <c r="P45" s="2713"/>
      <c r="Q45" s="2713"/>
      <c r="R45" s="2715"/>
    </row>
    <row r="46" spans="2:18" s="907" customFormat="1">
      <c r="B46" s="2713"/>
      <c r="C46" s="2713"/>
      <c r="D46" s="2713"/>
      <c r="E46" s="2713"/>
      <c r="F46" s="2713"/>
      <c r="G46" s="2714"/>
      <c r="H46" s="2713"/>
      <c r="I46" s="2714"/>
      <c r="J46" s="2713"/>
      <c r="K46" s="2713"/>
      <c r="L46" s="2714"/>
      <c r="M46" s="2713"/>
      <c r="N46" s="2713"/>
      <c r="O46" s="2714"/>
      <c r="P46" s="2713"/>
      <c r="Q46" s="2713"/>
      <c r="R46" s="2715"/>
    </row>
    <row r="47" spans="2:18" s="907" customFormat="1">
      <c r="B47" s="2713"/>
      <c r="C47" s="2713"/>
      <c r="D47" s="2713"/>
      <c r="E47" s="2713"/>
      <c r="F47" s="2713"/>
      <c r="G47" s="2714"/>
      <c r="H47" s="2713"/>
      <c r="I47" s="2714"/>
      <c r="J47" s="2713"/>
      <c r="K47" s="2713"/>
      <c r="L47" s="2714"/>
      <c r="M47" s="2713"/>
      <c r="N47" s="2713"/>
      <c r="O47" s="2714"/>
      <c r="P47" s="2713"/>
      <c r="Q47" s="2713"/>
      <c r="R47" s="2715"/>
    </row>
    <row r="48" spans="2:18" s="907" customFormat="1">
      <c r="B48" s="2713"/>
      <c r="C48" s="2713"/>
      <c r="D48" s="2713"/>
      <c r="E48" s="2713"/>
      <c r="F48" s="2713"/>
      <c r="G48" s="2714"/>
      <c r="H48" s="2713"/>
      <c r="I48" s="2714"/>
      <c r="J48" s="2713"/>
      <c r="K48" s="2713"/>
      <c r="L48" s="2714"/>
      <c r="M48" s="2713"/>
      <c r="N48" s="2713"/>
      <c r="O48" s="2714"/>
      <c r="P48" s="2713"/>
      <c r="Q48" s="2713"/>
      <c r="R48" s="2715"/>
    </row>
    <row r="49" spans="2:18" s="907" customFormat="1">
      <c r="B49" s="2713"/>
      <c r="C49" s="2713"/>
      <c r="D49" s="2713"/>
      <c r="E49" s="2713"/>
      <c r="F49" s="2713"/>
      <c r="G49" s="2714"/>
      <c r="H49" s="2713"/>
      <c r="I49" s="2714"/>
      <c r="J49" s="2713"/>
      <c r="K49" s="2713"/>
      <c r="L49" s="2714"/>
      <c r="M49" s="2713"/>
      <c r="N49" s="2713"/>
      <c r="O49" s="2714"/>
      <c r="P49" s="2713"/>
      <c r="Q49" s="2713"/>
      <c r="R49" s="2715"/>
    </row>
    <row r="50" spans="2:18" s="907" customFormat="1">
      <c r="B50" s="2713"/>
      <c r="C50" s="2713"/>
      <c r="D50" s="2713"/>
      <c r="E50" s="2713"/>
      <c r="F50" s="2713"/>
      <c r="G50" s="2714"/>
      <c r="H50" s="2713"/>
      <c r="I50" s="2714"/>
      <c r="J50" s="2713"/>
      <c r="K50" s="2713"/>
      <c r="L50" s="2714"/>
      <c r="M50" s="2713"/>
      <c r="N50" s="2713"/>
      <c r="O50" s="2714"/>
      <c r="P50" s="2713"/>
      <c r="Q50" s="2713"/>
      <c r="R50" s="2715"/>
    </row>
    <row r="51" spans="2:18" s="907" customFormat="1">
      <c r="B51" s="2713"/>
      <c r="C51" s="2713"/>
      <c r="D51" s="2713"/>
      <c r="E51" s="2713"/>
      <c r="F51" s="2713"/>
      <c r="G51" s="2714"/>
      <c r="H51" s="2713"/>
      <c r="I51" s="2714"/>
      <c r="J51" s="2713"/>
      <c r="K51" s="2713"/>
      <c r="L51" s="2714"/>
      <c r="M51" s="2713"/>
      <c r="N51" s="2713"/>
      <c r="O51" s="2714"/>
      <c r="P51" s="2713"/>
      <c r="Q51" s="2713"/>
      <c r="R51" s="2715"/>
    </row>
    <row r="52" spans="2:18" s="907" customFormat="1">
      <c r="B52" s="2713"/>
      <c r="C52" s="2713"/>
      <c r="D52" s="2713"/>
      <c r="E52" s="2713"/>
      <c r="F52" s="2713"/>
      <c r="G52" s="2714"/>
      <c r="H52" s="2713"/>
      <c r="I52" s="2714"/>
      <c r="J52" s="2713"/>
      <c r="K52" s="2713"/>
      <c r="L52" s="2714"/>
      <c r="M52" s="2713"/>
      <c r="N52" s="2713"/>
      <c r="O52" s="2714"/>
      <c r="P52" s="2713"/>
      <c r="Q52" s="2713"/>
      <c r="R52" s="2715"/>
    </row>
    <row r="53" spans="2:18" s="907" customFormat="1">
      <c r="B53" s="2713"/>
      <c r="C53" s="2713"/>
      <c r="D53" s="2713"/>
      <c r="E53" s="2713"/>
      <c r="F53" s="2713"/>
      <c r="G53" s="2714"/>
      <c r="H53" s="2713"/>
      <c r="I53" s="2714"/>
      <c r="J53" s="2713"/>
      <c r="K53" s="2713"/>
      <c r="L53" s="2714"/>
      <c r="M53" s="2713"/>
      <c r="N53" s="2713"/>
      <c r="O53" s="2714"/>
      <c r="P53" s="2713"/>
      <c r="Q53" s="2713"/>
      <c r="R53" s="2715"/>
    </row>
    <row r="54" spans="2:18" s="907" customFormat="1">
      <c r="B54" s="2713"/>
      <c r="C54" s="2713"/>
      <c r="D54" s="2713"/>
      <c r="E54" s="2713"/>
      <c r="F54" s="2713"/>
      <c r="G54" s="2714"/>
      <c r="H54" s="2713"/>
      <c r="I54" s="2714"/>
      <c r="J54" s="2713"/>
      <c r="K54" s="2713"/>
      <c r="L54" s="2714"/>
      <c r="M54" s="2713"/>
      <c r="N54" s="2713"/>
      <c r="O54" s="2714"/>
      <c r="P54" s="2713"/>
      <c r="Q54" s="2713"/>
      <c r="R54" s="2715"/>
    </row>
    <row r="55" spans="2:18" s="907" customFormat="1">
      <c r="B55" s="2713"/>
      <c r="C55" s="2713"/>
      <c r="D55" s="2713"/>
      <c r="E55" s="2713"/>
      <c r="F55" s="2713"/>
      <c r="G55" s="2714"/>
      <c r="H55" s="2713"/>
      <c r="I55" s="2714"/>
      <c r="J55" s="2713"/>
      <c r="K55" s="2713"/>
      <c r="L55" s="2714"/>
      <c r="M55" s="2713"/>
      <c r="N55" s="2713"/>
      <c r="O55" s="2714"/>
      <c r="P55" s="2713"/>
      <c r="Q55" s="2713"/>
      <c r="R55" s="2715"/>
    </row>
    <row r="56" spans="2:18" s="907" customFormat="1">
      <c r="B56" s="2713"/>
      <c r="C56" s="2713"/>
      <c r="D56" s="2713"/>
      <c r="E56" s="2713"/>
      <c r="F56" s="2713"/>
      <c r="G56" s="2714"/>
      <c r="H56" s="2713"/>
      <c r="I56" s="2714"/>
      <c r="J56" s="2713"/>
      <c r="K56" s="2713"/>
      <c r="L56" s="2714"/>
      <c r="M56" s="2713"/>
      <c r="N56" s="2713"/>
      <c r="O56" s="2714"/>
      <c r="P56" s="2713"/>
      <c r="Q56" s="2713"/>
      <c r="R56" s="2715"/>
    </row>
    <row r="57" spans="2:18" s="907" customFormat="1">
      <c r="B57" s="2713"/>
      <c r="C57" s="2713"/>
      <c r="D57" s="2713"/>
      <c r="E57" s="2713"/>
      <c r="F57" s="2713"/>
      <c r="G57" s="2714"/>
      <c r="H57" s="2713"/>
      <c r="I57" s="2714"/>
      <c r="J57" s="2713"/>
      <c r="K57" s="2713"/>
      <c r="L57" s="2714"/>
      <c r="M57" s="2713"/>
      <c r="N57" s="2713"/>
      <c r="O57" s="2714"/>
      <c r="P57" s="2713"/>
      <c r="Q57" s="2713"/>
      <c r="R57" s="2715"/>
    </row>
    <row r="58" spans="2:18" s="907" customFormat="1">
      <c r="B58" s="2713"/>
      <c r="C58" s="2713"/>
      <c r="D58" s="2713"/>
      <c r="E58" s="2713"/>
      <c r="F58" s="2713"/>
      <c r="G58" s="2714"/>
      <c r="H58" s="2713"/>
      <c r="I58" s="2714"/>
      <c r="J58" s="2713"/>
      <c r="K58" s="2713"/>
      <c r="L58" s="2714"/>
      <c r="M58" s="2713"/>
      <c r="N58" s="2713"/>
      <c r="O58" s="2714"/>
      <c r="P58" s="2713"/>
      <c r="Q58" s="2713"/>
      <c r="R58" s="2715"/>
    </row>
    <row r="59" spans="2:18" s="907" customFormat="1">
      <c r="B59" s="2713"/>
      <c r="C59" s="2713"/>
      <c r="D59" s="2713"/>
      <c r="E59" s="2713"/>
      <c r="F59" s="2713"/>
      <c r="G59" s="2714"/>
      <c r="H59" s="2713"/>
      <c r="I59" s="2714"/>
      <c r="J59" s="2713"/>
      <c r="K59" s="2713"/>
      <c r="L59" s="2714"/>
      <c r="M59" s="2713"/>
      <c r="N59" s="2713"/>
      <c r="O59" s="2714"/>
      <c r="P59" s="2713"/>
      <c r="Q59" s="2713"/>
      <c r="R59" s="2715"/>
    </row>
    <row r="60" spans="2:18" s="907" customFormat="1">
      <c r="B60" s="2713"/>
      <c r="C60" s="2713"/>
      <c r="D60" s="2713"/>
      <c r="E60" s="2713"/>
      <c r="F60" s="2713"/>
      <c r="G60" s="2714"/>
      <c r="H60" s="2713"/>
      <c r="I60" s="2714"/>
      <c r="J60" s="2713"/>
      <c r="K60" s="2713"/>
      <c r="L60" s="2714"/>
      <c r="M60" s="2713"/>
      <c r="N60" s="2713"/>
      <c r="O60" s="2714"/>
      <c r="P60" s="2713"/>
      <c r="Q60" s="2713"/>
      <c r="R60" s="2715"/>
    </row>
    <row r="61" spans="2:18" s="907" customFormat="1">
      <c r="B61" s="2713"/>
      <c r="C61" s="2713"/>
      <c r="D61" s="2713"/>
      <c r="E61" s="2713"/>
      <c r="F61" s="2713"/>
      <c r="G61" s="2714"/>
      <c r="H61" s="2713"/>
      <c r="I61" s="2714"/>
      <c r="J61" s="2713"/>
      <c r="K61" s="2713"/>
      <c r="L61" s="2714"/>
      <c r="M61" s="2713"/>
      <c r="N61" s="2713"/>
      <c r="O61" s="2714"/>
      <c r="P61" s="2713"/>
      <c r="Q61" s="2713"/>
      <c r="R61" s="2715"/>
    </row>
    <row r="62" spans="2:18" s="907" customFormat="1">
      <c r="B62" s="2713"/>
      <c r="C62" s="2713"/>
      <c r="D62" s="2713"/>
      <c r="E62" s="2713"/>
      <c r="F62" s="2713"/>
      <c r="G62" s="2714"/>
      <c r="H62" s="2713"/>
      <c r="I62" s="2714"/>
      <c r="J62" s="2713"/>
      <c r="K62" s="2713"/>
      <c r="L62" s="2714"/>
      <c r="M62" s="2713"/>
      <c r="N62" s="2713"/>
      <c r="O62" s="2714"/>
      <c r="P62" s="2713"/>
      <c r="Q62" s="2713"/>
      <c r="R62" s="2715"/>
    </row>
    <row r="63" spans="2:18" s="907" customFormat="1">
      <c r="B63" s="2713"/>
      <c r="C63" s="2713"/>
      <c r="D63" s="2713"/>
      <c r="E63" s="2713"/>
      <c r="F63" s="2713"/>
      <c r="G63" s="2714"/>
      <c r="H63" s="2713"/>
      <c r="I63" s="2714"/>
      <c r="J63" s="2713"/>
      <c r="K63" s="2713"/>
      <c r="L63" s="2714"/>
      <c r="M63" s="2713"/>
      <c r="N63" s="2713"/>
      <c r="O63" s="2714"/>
      <c r="P63" s="2713"/>
      <c r="Q63" s="2713"/>
      <c r="R63" s="2715"/>
    </row>
    <row r="64" spans="2:18" s="907" customFormat="1">
      <c r="B64" s="2713"/>
      <c r="C64" s="2713"/>
      <c r="D64" s="2713"/>
      <c r="E64" s="2713"/>
      <c r="F64" s="2713"/>
      <c r="G64" s="2714"/>
      <c r="H64" s="2713"/>
      <c r="I64" s="2714"/>
      <c r="J64" s="2713"/>
      <c r="K64" s="2713"/>
      <c r="L64" s="2714"/>
      <c r="M64" s="2713"/>
      <c r="N64" s="2713"/>
      <c r="O64" s="2714"/>
      <c r="P64" s="2713"/>
      <c r="Q64" s="2713"/>
      <c r="R64" s="2715"/>
    </row>
    <row r="65" spans="2:18" s="907" customFormat="1">
      <c r="B65" s="2713"/>
      <c r="C65" s="2713"/>
      <c r="D65" s="2713"/>
      <c r="E65" s="2713"/>
      <c r="F65" s="2713"/>
      <c r="G65" s="2714"/>
      <c r="H65" s="2713"/>
      <c r="I65" s="2714"/>
      <c r="J65" s="2713"/>
      <c r="K65" s="2713"/>
      <c r="L65" s="2714"/>
      <c r="M65" s="2713"/>
      <c r="N65" s="2713"/>
      <c r="O65" s="2714"/>
      <c r="P65" s="2713"/>
      <c r="Q65" s="2713"/>
      <c r="R65" s="2715"/>
    </row>
    <row r="66" spans="2:18" s="907" customFormat="1">
      <c r="B66" s="2713"/>
      <c r="C66" s="2713"/>
      <c r="D66" s="2713"/>
      <c r="E66" s="2713"/>
      <c r="F66" s="2713"/>
      <c r="G66" s="2714"/>
      <c r="H66" s="2713"/>
      <c r="I66" s="2714"/>
      <c r="J66" s="2713"/>
      <c r="K66" s="2713"/>
      <c r="L66" s="2714"/>
      <c r="M66" s="2713"/>
      <c r="N66" s="2713"/>
      <c r="O66" s="2714"/>
      <c r="P66" s="2713"/>
      <c r="Q66" s="2713"/>
      <c r="R66" s="2715"/>
    </row>
    <row r="67" spans="2:18" s="907" customFormat="1">
      <c r="B67" s="2713"/>
      <c r="C67" s="2713"/>
      <c r="D67" s="2713"/>
      <c r="E67" s="2713"/>
      <c r="F67" s="2713"/>
      <c r="G67" s="2714"/>
      <c r="H67" s="2713"/>
      <c r="I67" s="2714"/>
      <c r="J67" s="2713"/>
      <c r="K67" s="2713"/>
      <c r="L67" s="2714"/>
      <c r="M67" s="2713"/>
      <c r="N67" s="2713"/>
      <c r="O67" s="2714"/>
      <c r="P67" s="2713"/>
      <c r="Q67" s="2713"/>
      <c r="R67" s="2715"/>
    </row>
    <row r="68" spans="2:18" s="907" customFormat="1">
      <c r="B68" s="2713"/>
      <c r="C68" s="2713"/>
      <c r="D68" s="2713"/>
      <c r="E68" s="2713"/>
      <c r="F68" s="2713"/>
      <c r="G68" s="2714"/>
      <c r="H68" s="2713"/>
      <c r="I68" s="2714"/>
      <c r="J68" s="2713"/>
      <c r="K68" s="2713"/>
      <c r="L68" s="2714"/>
      <c r="M68" s="2713"/>
      <c r="N68" s="2713"/>
      <c r="O68" s="2714"/>
      <c r="P68" s="2713"/>
      <c r="Q68" s="2713"/>
      <c r="R68" s="2715"/>
    </row>
    <row r="69" spans="2:18" s="907" customFormat="1">
      <c r="B69" s="2713"/>
      <c r="C69" s="2713"/>
      <c r="D69" s="2713"/>
      <c r="E69" s="2713"/>
      <c r="F69" s="2713"/>
      <c r="G69" s="2714"/>
      <c r="H69" s="2713"/>
      <c r="I69" s="2714"/>
      <c r="J69" s="2713"/>
      <c r="K69" s="2713"/>
      <c r="L69" s="2714"/>
      <c r="M69" s="2713"/>
      <c r="N69" s="2713"/>
      <c r="O69" s="2714"/>
      <c r="P69" s="2713"/>
      <c r="Q69" s="2713"/>
      <c r="R69" s="2715"/>
    </row>
    <row r="70" spans="2:18" s="907" customFormat="1">
      <c r="B70" s="2713"/>
      <c r="C70" s="2713"/>
      <c r="D70" s="2713"/>
      <c r="E70" s="2713"/>
      <c r="F70" s="2713"/>
      <c r="G70" s="2714"/>
      <c r="H70" s="2713"/>
      <c r="I70" s="2714"/>
      <c r="J70" s="2713"/>
      <c r="K70" s="2713"/>
      <c r="L70" s="2714"/>
      <c r="M70" s="2713"/>
      <c r="N70" s="2713"/>
      <c r="O70" s="2714"/>
      <c r="P70" s="2713"/>
      <c r="Q70" s="2713"/>
      <c r="R70" s="2715"/>
    </row>
    <row r="71" spans="2:18" s="907" customFormat="1">
      <c r="B71" s="2713"/>
      <c r="C71" s="2713"/>
      <c r="D71" s="2713"/>
      <c r="E71" s="2713"/>
      <c r="F71" s="2713"/>
      <c r="G71" s="2714"/>
      <c r="H71" s="2713"/>
      <c r="I71" s="2714"/>
      <c r="J71" s="2713"/>
      <c r="K71" s="2713"/>
      <c r="L71" s="2714"/>
      <c r="M71" s="2713"/>
      <c r="N71" s="2713"/>
      <c r="O71" s="2714"/>
      <c r="P71" s="2713"/>
      <c r="Q71" s="2713"/>
      <c r="R71" s="2715"/>
    </row>
    <row r="72" spans="2:18" s="907" customFormat="1">
      <c r="B72" s="2713"/>
      <c r="C72" s="2713"/>
      <c r="D72" s="2713"/>
      <c r="E72" s="2713"/>
      <c r="F72" s="2713"/>
      <c r="G72" s="2714"/>
      <c r="H72" s="2713"/>
      <c r="I72" s="2714"/>
      <c r="J72" s="2713"/>
      <c r="K72" s="2713"/>
      <c r="L72" s="2714"/>
      <c r="M72" s="2713"/>
      <c r="N72" s="2713"/>
      <c r="O72" s="2714"/>
      <c r="P72" s="2713"/>
      <c r="Q72" s="2713"/>
      <c r="R72" s="2715"/>
    </row>
    <row r="73" spans="2:18" s="907" customFormat="1">
      <c r="B73" s="2713"/>
      <c r="C73" s="2713"/>
      <c r="D73" s="2713"/>
      <c r="E73" s="2713"/>
      <c r="F73" s="2713"/>
      <c r="G73" s="2714"/>
      <c r="H73" s="2713"/>
      <c r="I73" s="2714"/>
      <c r="J73" s="2713"/>
      <c r="K73" s="2713"/>
      <c r="L73" s="2714"/>
      <c r="M73" s="2713"/>
      <c r="N73" s="2713"/>
      <c r="O73" s="2714"/>
      <c r="P73" s="2713"/>
      <c r="Q73" s="2713"/>
      <c r="R73" s="2715"/>
    </row>
    <row r="74" spans="2:18" s="907" customFormat="1">
      <c r="B74" s="2713"/>
      <c r="C74" s="2713"/>
      <c r="D74" s="2713"/>
      <c r="E74" s="2713"/>
      <c r="F74" s="2713"/>
      <c r="G74" s="2714"/>
      <c r="H74" s="2713"/>
      <c r="I74" s="2714"/>
      <c r="J74" s="2713"/>
      <c r="K74" s="2713"/>
      <c r="L74" s="2714"/>
      <c r="M74" s="2713"/>
      <c r="N74" s="2713"/>
      <c r="O74" s="2714"/>
      <c r="P74" s="2713"/>
      <c r="Q74" s="2713"/>
      <c r="R74" s="2715"/>
    </row>
    <row r="75" spans="2:18" s="907" customFormat="1">
      <c r="B75" s="2713"/>
      <c r="C75" s="2713"/>
      <c r="D75" s="2713"/>
      <c r="E75" s="2713"/>
      <c r="F75" s="2713"/>
      <c r="G75" s="2714"/>
      <c r="H75" s="2713"/>
      <c r="I75" s="2714"/>
      <c r="J75" s="2713"/>
      <c r="K75" s="2713"/>
      <c r="L75" s="2714"/>
      <c r="M75" s="2713"/>
      <c r="N75" s="2713"/>
      <c r="O75" s="2714"/>
      <c r="P75" s="2713"/>
      <c r="Q75" s="2713"/>
      <c r="R75" s="2715"/>
    </row>
    <row r="76" spans="2:18" s="907" customFormat="1">
      <c r="B76" s="2713"/>
      <c r="C76" s="2713"/>
      <c r="D76" s="2713"/>
      <c r="E76" s="2713"/>
      <c r="F76" s="2713"/>
      <c r="G76" s="2714"/>
      <c r="H76" s="2713"/>
      <c r="I76" s="2714"/>
      <c r="J76" s="2713"/>
      <c r="K76" s="2713"/>
      <c r="L76" s="2714"/>
      <c r="M76" s="2713"/>
      <c r="N76" s="2713"/>
      <c r="O76" s="2714"/>
      <c r="P76" s="2713"/>
      <c r="Q76" s="2713"/>
      <c r="R76" s="2715"/>
    </row>
    <row r="77" spans="2:18" s="907" customFormat="1">
      <c r="B77" s="2713"/>
      <c r="C77" s="2713"/>
      <c r="D77" s="2713"/>
      <c r="E77" s="2713"/>
      <c r="F77" s="2713"/>
      <c r="G77" s="2714"/>
      <c r="H77" s="2713"/>
      <c r="I77" s="2714"/>
      <c r="J77" s="2713"/>
      <c r="K77" s="2713"/>
      <c r="L77" s="2714"/>
      <c r="M77" s="2713"/>
      <c r="N77" s="2713"/>
      <c r="O77" s="2714"/>
      <c r="P77" s="2713"/>
      <c r="Q77" s="2713"/>
      <c r="R77" s="2715"/>
    </row>
    <row r="78" spans="2:18" s="907" customFormat="1">
      <c r="B78" s="2713"/>
      <c r="C78" s="2713"/>
      <c r="D78" s="2713"/>
      <c r="E78" s="2713"/>
      <c r="F78" s="2713"/>
      <c r="G78" s="2714"/>
      <c r="H78" s="2713"/>
      <c r="I78" s="2714"/>
      <c r="J78" s="2713"/>
      <c r="K78" s="2713"/>
      <c r="L78" s="2714"/>
      <c r="M78" s="2713"/>
      <c r="N78" s="2713"/>
      <c r="O78" s="2714"/>
      <c r="P78" s="2713"/>
      <c r="Q78" s="2713"/>
      <c r="R78" s="2715"/>
    </row>
    <row r="79" spans="2:18" s="907" customFormat="1">
      <c r="B79" s="2713"/>
      <c r="C79" s="2713"/>
      <c r="D79" s="2713"/>
      <c r="E79" s="2713"/>
      <c r="F79" s="2713"/>
      <c r="G79" s="2714"/>
      <c r="H79" s="2713"/>
      <c r="I79" s="2714"/>
      <c r="J79" s="2713"/>
      <c r="K79" s="2713"/>
      <c r="L79" s="2714"/>
      <c r="M79" s="2713"/>
      <c r="N79" s="2713"/>
      <c r="O79" s="2714"/>
      <c r="P79" s="2713"/>
      <c r="Q79" s="2713"/>
      <c r="R79" s="2715"/>
    </row>
    <row r="80" spans="2:18" s="907" customFormat="1">
      <c r="B80" s="2713"/>
      <c r="C80" s="2713"/>
      <c r="D80" s="2713"/>
      <c r="E80" s="2713"/>
      <c r="F80" s="2713"/>
      <c r="G80" s="2714"/>
      <c r="H80" s="2713"/>
      <c r="I80" s="2714"/>
      <c r="J80" s="2713"/>
      <c r="K80" s="2713"/>
      <c r="L80" s="2714"/>
      <c r="M80" s="2713"/>
      <c r="N80" s="2713"/>
      <c r="O80" s="2714"/>
      <c r="P80" s="2713"/>
      <c r="Q80" s="2713"/>
      <c r="R80" s="2715"/>
    </row>
    <row r="81" spans="2:18" s="907" customFormat="1">
      <c r="B81" s="2713"/>
      <c r="C81" s="2713"/>
      <c r="D81" s="2713"/>
      <c r="E81" s="2713"/>
      <c r="F81" s="2713"/>
      <c r="G81" s="2714"/>
      <c r="H81" s="2713"/>
      <c r="I81" s="2714"/>
      <c r="J81" s="2713"/>
      <c r="K81" s="2713"/>
      <c r="L81" s="2714"/>
      <c r="M81" s="2713"/>
      <c r="N81" s="2713"/>
      <c r="O81" s="2714"/>
      <c r="P81" s="2713"/>
      <c r="Q81" s="2713"/>
      <c r="R81" s="2715"/>
    </row>
    <row r="82" spans="2:18" s="907" customFormat="1">
      <c r="B82" s="2713"/>
      <c r="C82" s="2713"/>
      <c r="D82" s="2713"/>
      <c r="E82" s="2713"/>
      <c r="F82" s="2713"/>
      <c r="G82" s="2714"/>
      <c r="H82" s="2713"/>
      <c r="I82" s="2714"/>
      <c r="J82" s="2713"/>
      <c r="K82" s="2713"/>
      <c r="L82" s="2714"/>
      <c r="M82" s="2713"/>
      <c r="N82" s="2713"/>
      <c r="O82" s="2714"/>
      <c r="P82" s="2713"/>
      <c r="Q82" s="2713"/>
      <c r="R82" s="2715"/>
    </row>
    <row r="83" spans="2:18" s="907" customFormat="1">
      <c r="B83" s="2713"/>
      <c r="C83" s="2713"/>
      <c r="D83" s="2713"/>
      <c r="E83" s="2713"/>
      <c r="F83" s="2713"/>
      <c r="G83" s="2714"/>
      <c r="H83" s="2713"/>
      <c r="I83" s="2714"/>
      <c r="J83" s="2713"/>
      <c r="K83" s="2713"/>
      <c r="L83" s="2714"/>
      <c r="M83" s="2713"/>
      <c r="N83" s="2713"/>
      <c r="O83" s="2714"/>
      <c r="P83" s="2713"/>
      <c r="Q83" s="2713"/>
      <c r="R83" s="2715"/>
    </row>
    <row r="84" spans="2:18" s="907" customFormat="1">
      <c r="B84" s="2713"/>
      <c r="C84" s="2713"/>
      <c r="D84" s="2713"/>
      <c r="E84" s="2713"/>
      <c r="F84" s="2713"/>
      <c r="G84" s="2714"/>
      <c r="H84" s="2713"/>
      <c r="I84" s="2714"/>
      <c r="J84" s="2713"/>
      <c r="K84" s="2713"/>
      <c r="L84" s="2714"/>
      <c r="M84" s="2713"/>
      <c r="N84" s="2713"/>
      <c r="O84" s="2714"/>
      <c r="P84" s="2713"/>
      <c r="Q84" s="2713"/>
      <c r="R84" s="2715"/>
    </row>
    <row r="85" spans="2:18" s="907" customFormat="1">
      <c r="B85" s="2713"/>
      <c r="C85" s="2713"/>
      <c r="D85" s="2713"/>
      <c r="E85" s="2713"/>
      <c r="F85" s="2713"/>
      <c r="G85" s="2714"/>
      <c r="H85" s="2713"/>
      <c r="I85" s="2714"/>
      <c r="J85" s="2713"/>
      <c r="K85" s="2713"/>
      <c r="L85" s="2714"/>
      <c r="M85" s="2713"/>
      <c r="N85" s="2713"/>
      <c r="O85" s="2714"/>
      <c r="P85" s="2713"/>
      <c r="Q85" s="2713"/>
      <c r="R85" s="2715"/>
    </row>
    <row r="86" spans="2:18" s="907" customFormat="1">
      <c r="B86" s="2713"/>
      <c r="C86" s="2713"/>
      <c r="D86" s="2713"/>
      <c r="E86" s="2713"/>
      <c r="F86" s="2713"/>
      <c r="G86" s="2714"/>
      <c r="H86" s="2713"/>
      <c r="I86" s="2714"/>
      <c r="J86" s="2713"/>
      <c r="K86" s="2713"/>
      <c r="L86" s="2714"/>
      <c r="M86" s="2713"/>
      <c r="N86" s="2713"/>
      <c r="O86" s="2714"/>
      <c r="P86" s="2713"/>
      <c r="Q86" s="2713"/>
      <c r="R86" s="2715"/>
    </row>
    <row r="87" spans="2:18" s="907" customFormat="1">
      <c r="B87" s="2713"/>
      <c r="C87" s="2713"/>
      <c r="D87" s="2713"/>
      <c r="E87" s="2713"/>
      <c r="F87" s="2713"/>
      <c r="G87" s="2714"/>
      <c r="H87" s="2713"/>
      <c r="I87" s="2714"/>
      <c r="J87" s="2713"/>
      <c r="K87" s="2713"/>
      <c r="L87" s="2714"/>
      <c r="M87" s="2713"/>
      <c r="N87" s="2713"/>
      <c r="O87" s="2714"/>
      <c r="P87" s="2713"/>
      <c r="Q87" s="2713"/>
      <c r="R87" s="2715"/>
    </row>
    <row r="88" spans="2:18" s="907" customFormat="1">
      <c r="B88" s="2713"/>
      <c r="C88" s="2713"/>
      <c r="D88" s="2713"/>
      <c r="E88" s="2713"/>
      <c r="F88" s="2713"/>
      <c r="G88" s="2714"/>
      <c r="H88" s="2713"/>
      <c r="I88" s="2714"/>
      <c r="J88" s="2713"/>
      <c r="K88" s="2713"/>
      <c r="L88" s="2714"/>
      <c r="M88" s="2713"/>
      <c r="N88" s="2713"/>
      <c r="O88" s="2714"/>
      <c r="P88" s="2713"/>
      <c r="Q88" s="2713"/>
      <c r="R88" s="2715"/>
    </row>
    <row r="89" spans="2:18" s="907" customFormat="1">
      <c r="B89" s="2713"/>
      <c r="C89" s="2713"/>
      <c r="D89" s="2713"/>
      <c r="E89" s="2713"/>
      <c r="F89" s="2713"/>
      <c r="G89" s="2714"/>
      <c r="H89" s="2713"/>
      <c r="I89" s="2714"/>
      <c r="J89" s="2713"/>
      <c r="K89" s="2713"/>
      <c r="L89" s="2714"/>
      <c r="M89" s="2713"/>
      <c r="N89" s="2713"/>
      <c r="O89" s="2714"/>
      <c r="P89" s="2713"/>
      <c r="Q89" s="2713"/>
      <c r="R89" s="2715"/>
    </row>
    <row r="90" spans="2:18" s="907" customFormat="1">
      <c r="B90" s="2713"/>
      <c r="C90" s="2713"/>
      <c r="D90" s="2713"/>
      <c r="E90" s="2713"/>
      <c r="F90" s="2713"/>
      <c r="G90" s="2714"/>
      <c r="H90" s="2713"/>
      <c r="I90" s="2714"/>
      <c r="J90" s="2713"/>
      <c r="K90" s="2713"/>
      <c r="L90" s="2714"/>
      <c r="M90" s="2713"/>
      <c r="N90" s="2713"/>
      <c r="O90" s="2714"/>
      <c r="P90" s="2713"/>
      <c r="Q90" s="2713"/>
      <c r="R90" s="2715"/>
    </row>
    <row r="91" spans="2:18" s="907" customFormat="1">
      <c r="B91" s="2713"/>
      <c r="C91" s="2713"/>
      <c r="D91" s="2713"/>
      <c r="E91" s="2713"/>
      <c r="F91" s="2713"/>
      <c r="G91" s="2714"/>
      <c r="H91" s="2713"/>
      <c r="I91" s="2714"/>
      <c r="J91" s="2713"/>
      <c r="K91" s="2713"/>
      <c r="L91" s="2714"/>
      <c r="M91" s="2713"/>
      <c r="N91" s="2713"/>
      <c r="O91" s="2714"/>
      <c r="P91" s="2713"/>
      <c r="Q91" s="2713"/>
      <c r="R91" s="2715"/>
    </row>
    <row r="92" spans="2:18" s="907" customFormat="1">
      <c r="B92" s="2713"/>
      <c r="C92" s="2713"/>
      <c r="D92" s="2713"/>
      <c r="E92" s="2713"/>
      <c r="F92" s="2713"/>
      <c r="G92" s="2714"/>
      <c r="H92" s="2713"/>
      <c r="I92" s="2714"/>
      <c r="J92" s="2713"/>
      <c r="K92" s="2713"/>
      <c r="L92" s="2714"/>
      <c r="M92" s="2713"/>
      <c r="N92" s="2713"/>
      <c r="O92" s="2714"/>
      <c r="P92" s="2713"/>
      <c r="Q92" s="2713"/>
      <c r="R92" s="2715"/>
    </row>
    <row r="93" spans="2:18" s="907" customFormat="1">
      <c r="B93" s="2713"/>
      <c r="C93" s="2713"/>
      <c r="D93" s="2713"/>
      <c r="E93" s="2713"/>
      <c r="F93" s="2713"/>
      <c r="G93" s="2714"/>
      <c r="H93" s="2713"/>
      <c r="I93" s="2714"/>
      <c r="J93" s="2713"/>
      <c r="K93" s="2713"/>
      <c r="L93" s="2714"/>
      <c r="M93" s="2713"/>
      <c r="N93" s="2713"/>
      <c r="O93" s="2714"/>
      <c r="P93" s="2713"/>
      <c r="Q93" s="2713"/>
      <c r="R93" s="2715"/>
    </row>
    <row r="94" spans="2:18" s="907" customFormat="1">
      <c r="B94" s="2713"/>
      <c r="C94" s="2713"/>
      <c r="D94" s="2713"/>
      <c r="E94" s="2713"/>
      <c r="F94" s="2713"/>
      <c r="G94" s="2714"/>
      <c r="H94" s="2713"/>
      <c r="I94" s="2714"/>
      <c r="J94" s="2713"/>
      <c r="K94" s="2713"/>
      <c r="L94" s="2714"/>
      <c r="M94" s="2713"/>
      <c r="N94" s="2713"/>
      <c r="O94" s="2714"/>
      <c r="P94" s="2713"/>
      <c r="Q94" s="2713"/>
      <c r="R94" s="2715"/>
    </row>
    <row r="95" spans="2:18" s="907" customFormat="1">
      <c r="B95" s="2713"/>
      <c r="C95" s="2713"/>
      <c r="D95" s="2713"/>
      <c r="E95" s="2713"/>
      <c r="F95" s="2713"/>
      <c r="G95" s="2714"/>
      <c r="H95" s="2713"/>
      <c r="I95" s="2714"/>
      <c r="J95" s="2713"/>
      <c r="K95" s="2713"/>
      <c r="L95" s="2714"/>
      <c r="M95" s="2713"/>
      <c r="N95" s="2713"/>
      <c r="O95" s="2714"/>
      <c r="P95" s="2713"/>
      <c r="Q95" s="2713"/>
      <c r="R95" s="2715"/>
    </row>
    <row r="96" spans="2:18" s="907" customFormat="1">
      <c r="B96" s="2713"/>
      <c r="C96" s="2713"/>
      <c r="D96" s="2713"/>
      <c r="E96" s="2713"/>
      <c r="F96" s="2713"/>
      <c r="G96" s="2714"/>
      <c r="H96" s="2713"/>
      <c r="I96" s="2714"/>
      <c r="J96" s="2713"/>
      <c r="K96" s="2713"/>
      <c r="L96" s="2714"/>
      <c r="M96" s="2713"/>
      <c r="N96" s="2713"/>
      <c r="O96" s="2714"/>
      <c r="P96" s="2713"/>
      <c r="Q96" s="2713"/>
      <c r="R96" s="2715"/>
    </row>
    <row r="97" spans="2:18" s="907" customFormat="1">
      <c r="B97" s="2713"/>
      <c r="C97" s="2713"/>
      <c r="D97" s="2713"/>
      <c r="E97" s="2713"/>
      <c r="F97" s="2713"/>
      <c r="G97" s="2714"/>
      <c r="H97" s="2713"/>
      <c r="I97" s="2714"/>
      <c r="J97" s="2713"/>
      <c r="K97" s="2713"/>
      <c r="L97" s="2714"/>
      <c r="M97" s="2713"/>
      <c r="N97" s="2713"/>
      <c r="O97" s="2714"/>
      <c r="P97" s="2713"/>
      <c r="Q97" s="2713"/>
      <c r="R97" s="2715"/>
    </row>
    <row r="98" spans="2:18" s="907" customFormat="1">
      <c r="B98" s="2713"/>
      <c r="C98" s="2713"/>
      <c r="D98" s="2713"/>
      <c r="E98" s="2713"/>
      <c r="F98" s="2713"/>
      <c r="G98" s="2714"/>
      <c r="H98" s="2713"/>
      <c r="I98" s="2714"/>
      <c r="J98" s="2713"/>
      <c r="K98" s="2713"/>
      <c r="L98" s="2714"/>
      <c r="M98" s="2713"/>
      <c r="N98" s="2713"/>
      <c r="O98" s="2714"/>
      <c r="P98" s="2713"/>
      <c r="Q98" s="2713"/>
      <c r="R98" s="2715"/>
    </row>
    <row r="99" spans="2:18" s="907" customFormat="1">
      <c r="B99" s="2713"/>
      <c r="C99" s="2713"/>
      <c r="D99" s="2713"/>
      <c r="E99" s="2713"/>
      <c r="F99" s="2713"/>
      <c r="G99" s="2714"/>
      <c r="H99" s="2713"/>
      <c r="I99" s="2714"/>
      <c r="J99" s="2713"/>
      <c r="K99" s="2713"/>
      <c r="L99" s="2714"/>
      <c r="M99" s="2713"/>
      <c r="N99" s="2713"/>
      <c r="O99" s="2714"/>
      <c r="P99" s="2713"/>
      <c r="Q99" s="2713"/>
      <c r="R99" s="2715"/>
    </row>
    <row r="100" spans="2:18" s="907" customFormat="1">
      <c r="B100" s="2713"/>
      <c r="C100" s="2713"/>
      <c r="D100" s="2713"/>
      <c r="E100" s="2713"/>
      <c r="F100" s="2713"/>
      <c r="G100" s="2714"/>
      <c r="H100" s="2713"/>
      <c r="I100" s="2714"/>
      <c r="J100" s="2713"/>
      <c r="K100" s="2713"/>
      <c r="L100" s="2714"/>
      <c r="M100" s="2713"/>
      <c r="N100" s="2713"/>
      <c r="O100" s="2714"/>
      <c r="P100" s="2713"/>
      <c r="Q100" s="2713"/>
      <c r="R100" s="2715"/>
    </row>
    <row r="101" spans="2:18" s="907" customFormat="1">
      <c r="B101" s="2713"/>
      <c r="C101" s="2713"/>
      <c r="D101" s="2713"/>
      <c r="E101" s="2713"/>
      <c r="F101" s="2713"/>
      <c r="G101" s="2714"/>
      <c r="H101" s="2713"/>
      <c r="I101" s="2714"/>
      <c r="J101" s="2713"/>
      <c r="K101" s="2713"/>
      <c r="L101" s="2714"/>
      <c r="M101" s="2713"/>
      <c r="N101" s="2713"/>
      <c r="O101" s="2714"/>
      <c r="P101" s="2713"/>
      <c r="Q101" s="2713"/>
      <c r="R101" s="2715"/>
    </row>
    <row r="102" spans="2:18" s="907" customFormat="1">
      <c r="B102" s="2713"/>
      <c r="C102" s="2713"/>
      <c r="D102" s="2713"/>
      <c r="E102" s="2713"/>
      <c r="F102" s="2713"/>
      <c r="G102" s="2714"/>
      <c r="H102" s="2713"/>
      <c r="I102" s="2714"/>
      <c r="J102" s="2713"/>
      <c r="K102" s="2713"/>
      <c r="L102" s="2714"/>
      <c r="M102" s="2713"/>
      <c r="N102" s="2713"/>
      <c r="O102" s="2714"/>
      <c r="P102" s="2713"/>
      <c r="Q102" s="2713"/>
      <c r="R102" s="2715"/>
    </row>
    <row r="103" spans="2:18" s="907" customFormat="1">
      <c r="B103" s="2713"/>
      <c r="C103" s="2713"/>
      <c r="D103" s="2713"/>
      <c r="E103" s="2713"/>
      <c r="F103" s="2713"/>
      <c r="G103" s="2714"/>
      <c r="H103" s="2713"/>
      <c r="I103" s="2714"/>
      <c r="J103" s="2713"/>
      <c r="K103" s="2713"/>
      <c r="L103" s="2714"/>
      <c r="M103" s="2713"/>
      <c r="N103" s="2713"/>
      <c r="O103" s="2714"/>
      <c r="P103" s="2713"/>
      <c r="Q103" s="2713"/>
      <c r="R103" s="2715"/>
    </row>
    <row r="104" spans="2:18" s="907" customFormat="1">
      <c r="B104" s="2713"/>
      <c r="C104" s="2713"/>
      <c r="D104" s="2713"/>
      <c r="E104" s="2713"/>
      <c r="F104" s="2713"/>
      <c r="G104" s="2714"/>
      <c r="H104" s="2713"/>
      <c r="I104" s="2714"/>
      <c r="J104" s="2713"/>
      <c r="K104" s="2713"/>
      <c r="L104" s="2714"/>
      <c r="M104" s="2713"/>
      <c r="N104" s="2713"/>
      <c r="O104" s="2714"/>
      <c r="P104" s="2713"/>
      <c r="Q104" s="2713"/>
      <c r="R104" s="2715"/>
    </row>
    <row r="105" spans="2:18" s="907" customFormat="1">
      <c r="B105" s="2713"/>
      <c r="C105" s="2713"/>
      <c r="D105" s="2713"/>
      <c r="E105" s="2713"/>
      <c r="F105" s="2713"/>
      <c r="G105" s="2714"/>
      <c r="H105" s="2713"/>
      <c r="I105" s="2714"/>
      <c r="J105" s="2713"/>
      <c r="K105" s="2713"/>
      <c r="L105" s="2714"/>
      <c r="M105" s="2713"/>
      <c r="N105" s="2713"/>
      <c r="O105" s="2714"/>
      <c r="P105" s="2713"/>
      <c r="Q105" s="2713"/>
      <c r="R105" s="2715"/>
    </row>
    <row r="106" spans="2:18" s="907" customFormat="1">
      <c r="B106" s="2713"/>
      <c r="C106" s="2713"/>
      <c r="D106" s="2713"/>
      <c r="E106" s="2713"/>
      <c r="F106" s="2713"/>
      <c r="G106" s="2714"/>
      <c r="H106" s="2713"/>
      <c r="I106" s="2714"/>
      <c r="J106" s="2713"/>
      <c r="K106" s="2713"/>
      <c r="L106" s="2714"/>
      <c r="M106" s="2713"/>
      <c r="N106" s="2713"/>
      <c r="O106" s="2714"/>
      <c r="P106" s="2713"/>
      <c r="Q106" s="2713"/>
      <c r="R106" s="2715"/>
    </row>
    <row r="107" spans="2:18" s="907" customFormat="1">
      <c r="B107" s="2713"/>
      <c r="C107" s="2713"/>
      <c r="D107" s="2713"/>
      <c r="E107" s="2713"/>
      <c r="F107" s="2713"/>
      <c r="G107" s="2714"/>
      <c r="H107" s="2713"/>
      <c r="I107" s="2714"/>
      <c r="J107" s="2713"/>
      <c r="K107" s="2713"/>
      <c r="L107" s="2714"/>
      <c r="M107" s="2713"/>
      <c r="N107" s="2713"/>
      <c r="O107" s="2714"/>
      <c r="P107" s="2713"/>
      <c r="Q107" s="2713"/>
      <c r="R107" s="2715"/>
    </row>
    <row r="108" spans="2:18" s="907" customFormat="1">
      <c r="B108" s="2713"/>
      <c r="C108" s="2713"/>
      <c r="D108" s="2713"/>
      <c r="E108" s="2713"/>
      <c r="F108" s="2713"/>
      <c r="G108" s="2714"/>
      <c r="H108" s="2713"/>
      <c r="I108" s="2714"/>
      <c r="J108" s="2713"/>
      <c r="K108" s="2713"/>
      <c r="L108" s="2714"/>
      <c r="M108" s="2713"/>
      <c r="N108" s="2713"/>
      <c r="O108" s="2714"/>
      <c r="P108" s="2713"/>
      <c r="Q108" s="2713"/>
      <c r="R108" s="2715"/>
    </row>
    <row r="109" spans="2:18" s="907" customFormat="1">
      <c r="B109" s="2713"/>
      <c r="C109" s="2713"/>
      <c r="D109" s="2713"/>
      <c r="E109" s="2713"/>
      <c r="F109" s="2713"/>
      <c r="G109" s="2714"/>
      <c r="H109" s="2713"/>
      <c r="I109" s="2714"/>
      <c r="J109" s="2713"/>
      <c r="K109" s="2713"/>
      <c r="L109" s="2714"/>
      <c r="M109" s="2713"/>
      <c r="N109" s="2713"/>
      <c r="O109" s="2714"/>
      <c r="P109" s="2713"/>
      <c r="Q109" s="2713"/>
      <c r="R109" s="2715"/>
    </row>
    <row r="110" spans="2:18" s="907" customFormat="1">
      <c r="B110" s="2713"/>
      <c r="C110" s="2713"/>
      <c r="D110" s="2713"/>
      <c r="E110" s="2713"/>
      <c r="F110" s="2713"/>
      <c r="G110" s="2714"/>
      <c r="H110" s="2713"/>
      <c r="I110" s="2714"/>
      <c r="J110" s="2713"/>
      <c r="K110" s="2713"/>
      <c r="L110" s="2714"/>
      <c r="M110" s="2713"/>
      <c r="N110" s="2713"/>
      <c r="O110" s="2714"/>
      <c r="P110" s="2713"/>
      <c r="Q110" s="2713"/>
      <c r="R110" s="2715"/>
    </row>
    <row r="111" spans="2:18" s="907" customFormat="1">
      <c r="B111" s="2713"/>
      <c r="C111" s="2713"/>
      <c r="D111" s="2713"/>
      <c r="E111" s="2713"/>
      <c r="F111" s="2713"/>
      <c r="G111" s="2714"/>
      <c r="H111" s="2713"/>
      <c r="I111" s="2714"/>
      <c r="J111" s="2713"/>
      <c r="K111" s="2713"/>
      <c r="L111" s="2714"/>
      <c r="M111" s="2713"/>
      <c r="N111" s="2713"/>
      <c r="O111" s="2714"/>
      <c r="P111" s="2713"/>
      <c r="Q111" s="2713"/>
      <c r="R111" s="2715"/>
    </row>
    <row r="112" spans="2:18" s="907" customFormat="1">
      <c r="B112" s="2713"/>
      <c r="C112" s="2713"/>
      <c r="D112" s="2713"/>
      <c r="E112" s="2713"/>
      <c r="F112" s="2713"/>
      <c r="G112" s="2714"/>
      <c r="H112" s="2713"/>
      <c r="I112" s="2714"/>
      <c r="J112" s="2713"/>
      <c r="K112" s="2713"/>
      <c r="L112" s="2714"/>
      <c r="M112" s="2713"/>
      <c r="N112" s="2713"/>
      <c r="O112" s="2714"/>
      <c r="P112" s="2713"/>
      <c r="Q112" s="2713"/>
      <c r="R112" s="2715"/>
    </row>
    <row r="113" spans="2:18" s="907" customFormat="1">
      <c r="B113" s="2713"/>
      <c r="C113" s="2713"/>
      <c r="D113" s="2713"/>
      <c r="E113" s="2713"/>
      <c r="F113" s="2713"/>
      <c r="G113" s="2714"/>
      <c r="H113" s="2713"/>
      <c r="I113" s="2714"/>
      <c r="J113" s="2713"/>
      <c r="K113" s="2713"/>
      <c r="L113" s="2714"/>
      <c r="M113" s="2713"/>
      <c r="N113" s="2713"/>
      <c r="O113" s="2714"/>
      <c r="P113" s="2713"/>
      <c r="Q113" s="2713"/>
      <c r="R113" s="2715"/>
    </row>
    <row r="114" spans="2:18" s="907" customFormat="1">
      <c r="B114" s="2713"/>
      <c r="C114" s="2713"/>
      <c r="D114" s="2713"/>
      <c r="E114" s="2713"/>
      <c r="F114" s="2713"/>
      <c r="G114" s="2714"/>
      <c r="H114" s="2713"/>
      <c r="I114" s="2714"/>
      <c r="J114" s="2713"/>
      <c r="K114" s="2713"/>
      <c r="L114" s="2714"/>
      <c r="M114" s="2713"/>
      <c r="N114" s="2713"/>
      <c r="O114" s="2714"/>
      <c r="P114" s="2713"/>
      <c r="Q114" s="2713"/>
      <c r="R114" s="2715"/>
    </row>
    <row r="115" spans="2:18" s="907" customFormat="1">
      <c r="B115" s="2713"/>
      <c r="C115" s="2713"/>
      <c r="D115" s="2713"/>
      <c r="E115" s="2713"/>
      <c r="F115" s="2713"/>
      <c r="G115" s="2714"/>
      <c r="H115" s="2713"/>
      <c r="I115" s="2714"/>
      <c r="J115" s="2713"/>
      <c r="K115" s="2713"/>
      <c r="L115" s="2714"/>
      <c r="M115" s="2713"/>
      <c r="N115" s="2713"/>
      <c r="O115" s="2714"/>
      <c r="P115" s="2713"/>
      <c r="Q115" s="2713"/>
      <c r="R115" s="2715"/>
    </row>
    <row r="116" spans="2:18" s="907" customFormat="1">
      <c r="B116" s="2713"/>
      <c r="C116" s="2713"/>
      <c r="D116" s="2713"/>
      <c r="E116" s="2713"/>
      <c r="F116" s="2713"/>
      <c r="G116" s="2714"/>
      <c r="H116" s="2713"/>
      <c r="I116" s="2714"/>
      <c r="J116" s="2713"/>
      <c r="K116" s="2713"/>
      <c r="L116" s="2714"/>
      <c r="M116" s="2713"/>
      <c r="N116" s="2713"/>
      <c r="O116" s="2714"/>
      <c r="P116" s="2713"/>
      <c r="Q116" s="2713"/>
      <c r="R116" s="2715"/>
    </row>
    <row r="117" spans="2:18" s="907" customFormat="1">
      <c r="B117" s="2713"/>
      <c r="C117" s="2713"/>
      <c r="D117" s="2713"/>
      <c r="E117" s="2713"/>
      <c r="F117" s="2713"/>
      <c r="G117" s="2714"/>
      <c r="H117" s="2713"/>
      <c r="I117" s="2714"/>
      <c r="J117" s="2713"/>
      <c r="K117" s="2713"/>
      <c r="L117" s="2714"/>
      <c r="M117" s="2713"/>
      <c r="N117" s="2713"/>
      <c r="O117" s="2714"/>
      <c r="P117" s="2713"/>
      <c r="Q117" s="2713"/>
      <c r="R117" s="2715"/>
    </row>
    <row r="118" spans="2:18" s="907" customFormat="1">
      <c r="B118" s="2713"/>
      <c r="C118" s="2713"/>
      <c r="D118" s="2713"/>
      <c r="E118" s="2713"/>
      <c r="F118" s="2713"/>
      <c r="G118" s="2714"/>
      <c r="H118" s="2713"/>
      <c r="I118" s="2714"/>
      <c r="J118" s="2713"/>
      <c r="K118" s="2713"/>
      <c r="L118" s="2714"/>
      <c r="M118" s="2713"/>
      <c r="N118" s="2713"/>
      <c r="O118" s="2714"/>
      <c r="P118" s="2713"/>
      <c r="Q118" s="2713"/>
      <c r="R118" s="2715"/>
    </row>
    <row r="119" spans="2:18" s="907" customFormat="1">
      <c r="B119" s="2713"/>
      <c r="C119" s="2713"/>
      <c r="D119" s="2713"/>
      <c r="E119" s="2713"/>
      <c r="F119" s="2713"/>
      <c r="G119" s="2714"/>
      <c r="H119" s="2713"/>
      <c r="I119" s="2714"/>
      <c r="J119" s="2713"/>
      <c r="K119" s="2713"/>
      <c r="L119" s="2714"/>
      <c r="M119" s="2713"/>
      <c r="N119" s="2713"/>
      <c r="O119" s="2714"/>
      <c r="P119" s="2713"/>
      <c r="Q119" s="2713"/>
      <c r="R119" s="2715"/>
    </row>
    <row r="120" spans="2:18" s="907" customFormat="1">
      <c r="B120" s="2713"/>
      <c r="C120" s="2713"/>
      <c r="D120" s="2713"/>
      <c r="E120" s="2713"/>
      <c r="F120" s="2713"/>
      <c r="G120" s="2714"/>
      <c r="H120" s="2713"/>
      <c r="I120" s="2714"/>
      <c r="J120" s="2713"/>
      <c r="K120" s="2713"/>
      <c r="L120" s="2714"/>
      <c r="M120" s="2713"/>
      <c r="N120" s="2713"/>
      <c r="O120" s="2714"/>
      <c r="P120" s="2713"/>
      <c r="Q120" s="2713"/>
      <c r="R120" s="2715"/>
    </row>
    <row r="121" spans="2:18" s="907" customFormat="1">
      <c r="B121" s="2713"/>
      <c r="C121" s="2713"/>
      <c r="D121" s="2713"/>
      <c r="E121" s="2713"/>
      <c r="F121" s="2713"/>
      <c r="G121" s="2714"/>
      <c r="H121" s="2713"/>
      <c r="I121" s="2714"/>
      <c r="J121" s="2713"/>
      <c r="K121" s="2713"/>
      <c r="L121" s="2714"/>
      <c r="M121" s="2713"/>
      <c r="N121" s="2713"/>
      <c r="O121" s="2714"/>
      <c r="P121" s="2713"/>
      <c r="Q121" s="2713"/>
      <c r="R121" s="2715"/>
    </row>
    <row r="122" spans="2:18" s="907" customFormat="1">
      <c r="B122" s="2713"/>
      <c r="C122" s="2713"/>
      <c r="D122" s="2713"/>
      <c r="E122" s="2713"/>
      <c r="F122" s="2713"/>
      <c r="G122" s="2714"/>
      <c r="H122" s="2713"/>
      <c r="I122" s="2714"/>
      <c r="J122" s="2713"/>
      <c r="K122" s="2713"/>
      <c r="L122" s="2714"/>
      <c r="M122" s="2713"/>
      <c r="N122" s="2713"/>
      <c r="O122" s="2714"/>
      <c r="P122" s="2713"/>
      <c r="Q122" s="2713"/>
      <c r="R122" s="2715"/>
    </row>
    <row r="123" spans="2:18" s="907" customFormat="1">
      <c r="B123" s="2713"/>
      <c r="C123" s="2713"/>
      <c r="D123" s="2713"/>
      <c r="E123" s="2713"/>
      <c r="F123" s="2713"/>
      <c r="G123" s="2714"/>
      <c r="H123" s="2713"/>
      <c r="I123" s="2714"/>
      <c r="J123" s="2713"/>
      <c r="K123" s="2713"/>
      <c r="L123" s="2714"/>
      <c r="M123" s="2713"/>
      <c r="N123" s="2713"/>
      <c r="O123" s="2714"/>
      <c r="P123" s="2713"/>
      <c r="Q123" s="2713"/>
      <c r="R123" s="2715"/>
    </row>
    <row r="124" spans="2:18" s="907" customFormat="1">
      <c r="B124" s="2713"/>
      <c r="C124" s="2713"/>
      <c r="D124" s="2713"/>
      <c r="E124" s="2713"/>
      <c r="F124" s="2713"/>
      <c r="G124" s="2714"/>
      <c r="H124" s="2713"/>
      <c r="I124" s="2714"/>
      <c r="J124" s="2713"/>
      <c r="K124" s="2713"/>
      <c r="L124" s="2714"/>
      <c r="M124" s="2713"/>
      <c r="N124" s="2713"/>
      <c r="O124" s="2714"/>
      <c r="P124" s="2713"/>
      <c r="Q124" s="2713"/>
      <c r="R124" s="2715"/>
    </row>
    <row r="125" spans="2:18" s="907" customFormat="1">
      <c r="B125" s="2713"/>
      <c r="C125" s="2713"/>
      <c r="D125" s="2713"/>
      <c r="E125" s="2713"/>
      <c r="F125" s="2713"/>
      <c r="G125" s="2714"/>
      <c r="H125" s="2713"/>
      <c r="I125" s="2714"/>
      <c r="J125" s="2713"/>
      <c r="K125" s="2713"/>
      <c r="L125" s="2714"/>
      <c r="M125" s="2713"/>
      <c r="N125" s="2713"/>
      <c r="O125" s="2714"/>
      <c r="P125" s="2713"/>
      <c r="Q125" s="2713"/>
      <c r="R125" s="2715"/>
    </row>
    <row r="126" spans="2:18" s="907" customFormat="1">
      <c r="B126" s="2713"/>
      <c r="C126" s="2713"/>
      <c r="D126" s="2713"/>
      <c r="E126" s="2713"/>
      <c r="F126" s="2713"/>
      <c r="G126" s="2714"/>
      <c r="H126" s="2713"/>
      <c r="I126" s="2714"/>
      <c r="J126" s="2713"/>
      <c r="K126" s="2713"/>
      <c r="L126" s="2714"/>
      <c r="M126" s="2713"/>
      <c r="N126" s="2713"/>
      <c r="O126" s="2714"/>
      <c r="P126" s="2713"/>
      <c r="Q126" s="2713"/>
      <c r="R126" s="2715"/>
    </row>
    <row r="127" spans="2:18" s="907" customFormat="1">
      <c r="B127" s="2713"/>
      <c r="C127" s="2713"/>
      <c r="D127" s="2713"/>
      <c r="E127" s="2713"/>
      <c r="F127" s="2713"/>
      <c r="G127" s="2714"/>
      <c r="H127" s="2713"/>
      <c r="I127" s="2714"/>
      <c r="J127" s="2713"/>
      <c r="K127" s="2713"/>
      <c r="L127" s="2714"/>
      <c r="M127" s="2713"/>
      <c r="N127" s="2713"/>
      <c r="O127" s="2714"/>
      <c r="P127" s="2713"/>
      <c r="Q127" s="2713"/>
      <c r="R127" s="2715"/>
    </row>
    <row r="128" spans="2:18" s="907" customFormat="1">
      <c r="B128" s="2713"/>
      <c r="C128" s="2713"/>
      <c r="D128" s="2713"/>
      <c r="E128" s="2713"/>
      <c r="F128" s="2713"/>
      <c r="G128" s="2714"/>
      <c r="H128" s="2713"/>
      <c r="I128" s="2714"/>
      <c r="J128" s="2713"/>
      <c r="K128" s="2713"/>
      <c r="L128" s="2714"/>
      <c r="M128" s="2713"/>
      <c r="N128" s="2713"/>
      <c r="O128" s="2714"/>
      <c r="P128" s="2713"/>
      <c r="Q128" s="2713"/>
      <c r="R128" s="2715"/>
    </row>
    <row r="129" spans="2:18" s="907" customFormat="1">
      <c r="B129" s="2713"/>
      <c r="C129" s="2713"/>
      <c r="D129" s="2713"/>
      <c r="E129" s="2713"/>
      <c r="F129" s="2713"/>
      <c r="G129" s="2714"/>
      <c r="H129" s="2713"/>
      <c r="I129" s="2714"/>
      <c r="J129" s="2713"/>
      <c r="K129" s="2713"/>
      <c r="L129" s="2714"/>
      <c r="M129" s="2713"/>
      <c r="N129" s="2713"/>
      <c r="O129" s="2714"/>
      <c r="P129" s="2713"/>
      <c r="Q129" s="2713"/>
      <c r="R129" s="2715"/>
    </row>
    <row r="130" spans="2:18" s="907" customFormat="1">
      <c r="B130" s="2713"/>
      <c r="C130" s="2713"/>
      <c r="D130" s="2713"/>
      <c r="E130" s="2713"/>
      <c r="F130" s="2713"/>
      <c r="G130" s="2714"/>
      <c r="H130" s="2713"/>
      <c r="I130" s="2714"/>
      <c r="J130" s="2713"/>
      <c r="K130" s="2713"/>
      <c r="L130" s="2714"/>
      <c r="M130" s="2713"/>
      <c r="N130" s="2713"/>
      <c r="O130" s="2714"/>
      <c r="P130" s="2713"/>
      <c r="Q130" s="2713"/>
      <c r="R130" s="2715"/>
    </row>
    <row r="131" spans="2:18" s="907" customFormat="1">
      <c r="B131" s="2713"/>
      <c r="C131" s="2713"/>
      <c r="D131" s="2713"/>
      <c r="E131" s="2713"/>
      <c r="F131" s="2713"/>
      <c r="G131" s="2714"/>
      <c r="H131" s="2713"/>
      <c r="I131" s="2714"/>
      <c r="J131" s="2713"/>
      <c r="K131" s="2713"/>
      <c r="L131" s="2714"/>
      <c r="M131" s="2713"/>
      <c r="N131" s="2713"/>
      <c r="O131" s="2714"/>
      <c r="P131" s="2713"/>
      <c r="Q131" s="2713"/>
      <c r="R131" s="2715"/>
    </row>
    <row r="132" spans="2:18" s="907" customFormat="1">
      <c r="B132" s="2713"/>
      <c r="C132" s="2713"/>
      <c r="D132" s="2713"/>
      <c r="E132" s="2713"/>
      <c r="F132" s="2713"/>
      <c r="G132" s="2714"/>
      <c r="H132" s="2713"/>
      <c r="I132" s="2714"/>
      <c r="J132" s="2713"/>
      <c r="K132" s="2713"/>
      <c r="L132" s="2714"/>
      <c r="M132" s="2713"/>
      <c r="N132" s="2713"/>
      <c r="O132" s="2714"/>
      <c r="P132" s="2713"/>
      <c r="Q132" s="2713"/>
      <c r="R132" s="2715"/>
    </row>
    <row r="133" spans="2:18" s="907" customFormat="1">
      <c r="B133" s="2713"/>
      <c r="C133" s="2713"/>
      <c r="D133" s="2713"/>
      <c r="E133" s="2713"/>
      <c r="F133" s="2713"/>
      <c r="G133" s="2714"/>
      <c r="H133" s="2713"/>
      <c r="I133" s="2714"/>
      <c r="J133" s="2713"/>
      <c r="K133" s="2713"/>
      <c r="L133" s="2714"/>
      <c r="M133" s="2713"/>
      <c r="N133" s="2713"/>
      <c r="O133" s="2714"/>
      <c r="P133" s="2713"/>
      <c r="Q133" s="2713"/>
      <c r="R133" s="2715"/>
    </row>
    <row r="134" spans="2:18" s="907" customFormat="1">
      <c r="B134" s="2713"/>
      <c r="C134" s="2713"/>
      <c r="D134" s="2713"/>
      <c r="E134" s="2713"/>
      <c r="F134" s="2713"/>
      <c r="G134" s="2714"/>
      <c r="H134" s="2713"/>
      <c r="I134" s="2714"/>
      <c r="J134" s="2713"/>
      <c r="K134" s="2713"/>
      <c r="L134" s="2714"/>
      <c r="M134" s="2713"/>
      <c r="N134" s="2713"/>
      <c r="O134" s="2714"/>
      <c r="P134" s="2713"/>
      <c r="Q134" s="2713"/>
      <c r="R134" s="2715"/>
    </row>
    <row r="135" spans="2:18" s="907" customFormat="1">
      <c r="B135" s="2713"/>
      <c r="C135" s="2713"/>
      <c r="D135" s="2713"/>
      <c r="E135" s="2713"/>
      <c r="F135" s="2713"/>
      <c r="G135" s="2714"/>
      <c r="H135" s="2713"/>
      <c r="I135" s="2714"/>
      <c r="J135" s="2713"/>
      <c r="K135" s="2713"/>
      <c r="L135" s="2714"/>
      <c r="M135" s="2713"/>
      <c r="N135" s="2713"/>
      <c r="O135" s="2714"/>
      <c r="P135" s="2713"/>
      <c r="Q135" s="2713"/>
      <c r="R135" s="2715"/>
    </row>
    <row r="136" spans="2:18" s="907" customFormat="1">
      <c r="B136" s="2713"/>
      <c r="C136" s="2713"/>
      <c r="D136" s="2713"/>
      <c r="E136" s="2713"/>
      <c r="F136" s="2713"/>
      <c r="G136" s="2714"/>
      <c r="H136" s="2713"/>
      <c r="I136" s="2714"/>
      <c r="J136" s="2713"/>
      <c r="K136" s="2713"/>
      <c r="L136" s="2714"/>
      <c r="M136" s="2713"/>
      <c r="N136" s="2713"/>
      <c r="O136" s="2714"/>
      <c r="P136" s="2713"/>
      <c r="Q136" s="2713"/>
      <c r="R136" s="2715"/>
    </row>
    <row r="137" spans="2:18" s="907" customFormat="1">
      <c r="B137" s="2713"/>
      <c r="C137" s="2713"/>
      <c r="D137" s="2713"/>
      <c r="E137" s="2713"/>
      <c r="F137" s="2713"/>
      <c r="G137" s="2714"/>
      <c r="H137" s="2713"/>
      <c r="I137" s="2714"/>
      <c r="J137" s="2713"/>
      <c r="K137" s="2713"/>
      <c r="L137" s="2714"/>
      <c r="M137" s="2713"/>
      <c r="N137" s="2713"/>
      <c r="O137" s="2714"/>
      <c r="P137" s="2713"/>
      <c r="Q137" s="2713"/>
      <c r="R137" s="2715"/>
    </row>
    <row r="138" spans="2:18" s="907" customFormat="1">
      <c r="B138" s="2713"/>
      <c r="C138" s="2713"/>
      <c r="D138" s="2713"/>
      <c r="E138" s="2713"/>
      <c r="F138" s="2713"/>
      <c r="G138" s="2714"/>
      <c r="H138" s="2713"/>
      <c r="I138" s="2714"/>
      <c r="J138" s="2713"/>
      <c r="K138" s="2713"/>
      <c r="L138" s="2714"/>
      <c r="M138" s="2713"/>
      <c r="N138" s="2713"/>
      <c r="O138" s="2714"/>
      <c r="P138" s="2713"/>
      <c r="Q138" s="2713"/>
      <c r="R138" s="2715"/>
    </row>
    <row r="139" spans="2:18" s="907" customFormat="1">
      <c r="B139" s="2713"/>
      <c r="C139" s="2713"/>
      <c r="D139" s="2713"/>
      <c r="E139" s="2713"/>
      <c r="F139" s="2713"/>
      <c r="G139" s="2714"/>
      <c r="H139" s="2713"/>
      <c r="I139" s="2714"/>
      <c r="J139" s="2713"/>
      <c r="K139" s="2713"/>
      <c r="L139" s="2714"/>
      <c r="M139" s="2713"/>
      <c r="N139" s="2713"/>
      <c r="O139" s="2714"/>
      <c r="P139" s="2713"/>
      <c r="Q139" s="2713"/>
      <c r="R139" s="2715"/>
    </row>
    <row r="140" spans="2:18" s="907" customFormat="1">
      <c r="B140" s="2713"/>
      <c r="C140" s="2713"/>
      <c r="D140" s="2713"/>
      <c r="E140" s="2713"/>
      <c r="F140" s="2713"/>
      <c r="G140" s="2714"/>
      <c r="H140" s="2713"/>
      <c r="I140" s="2714"/>
      <c r="J140" s="2713"/>
      <c r="K140" s="2713"/>
      <c r="L140" s="2714"/>
      <c r="M140" s="2713"/>
      <c r="N140" s="2713"/>
      <c r="O140" s="2714"/>
      <c r="P140" s="2713"/>
      <c r="Q140" s="2713"/>
      <c r="R140" s="2715"/>
    </row>
    <row r="141" spans="2:18" s="907" customFormat="1">
      <c r="B141" s="2713"/>
      <c r="C141" s="2713"/>
      <c r="D141" s="2713"/>
      <c r="E141" s="2713"/>
      <c r="F141" s="2713"/>
      <c r="G141" s="2714"/>
      <c r="H141" s="2713"/>
      <c r="I141" s="2714"/>
      <c r="J141" s="2713"/>
      <c r="K141" s="2713"/>
      <c r="L141" s="2714"/>
      <c r="M141" s="2713"/>
      <c r="N141" s="2713"/>
      <c r="O141" s="2714"/>
      <c r="P141" s="2713"/>
      <c r="Q141" s="2713"/>
      <c r="R141" s="2715"/>
    </row>
    <row r="142" spans="2:18" s="907" customFormat="1">
      <c r="B142" s="2713"/>
      <c r="C142" s="2713"/>
      <c r="D142" s="2713"/>
      <c r="E142" s="2713"/>
      <c r="F142" s="2713"/>
      <c r="G142" s="2714"/>
      <c r="H142" s="2713"/>
      <c r="I142" s="2714"/>
      <c r="J142" s="2713"/>
      <c r="K142" s="2713"/>
      <c r="L142" s="2714"/>
      <c r="M142" s="2713"/>
      <c r="N142" s="2713"/>
      <c r="O142" s="2714"/>
      <c r="P142" s="2713"/>
      <c r="Q142" s="2713"/>
      <c r="R142" s="2715"/>
    </row>
    <row r="143" spans="2:18" s="907" customFormat="1">
      <c r="B143" s="2713"/>
      <c r="C143" s="2713"/>
      <c r="D143" s="2713"/>
      <c r="E143" s="2713"/>
      <c r="F143" s="2713"/>
      <c r="G143" s="2714"/>
      <c r="H143" s="2713"/>
      <c r="I143" s="2714"/>
      <c r="J143" s="2713"/>
      <c r="K143" s="2713"/>
      <c r="L143" s="2714"/>
      <c r="M143" s="2713"/>
      <c r="N143" s="2713"/>
      <c r="O143" s="2714"/>
      <c r="P143" s="2713"/>
      <c r="Q143" s="2713"/>
      <c r="R143" s="2715"/>
    </row>
    <row r="144" spans="2:18" s="907" customFormat="1">
      <c r="B144" s="2713"/>
      <c r="C144" s="2713"/>
      <c r="D144" s="2713"/>
      <c r="E144" s="2713"/>
      <c r="F144" s="2713"/>
      <c r="G144" s="2714"/>
      <c r="H144" s="2713"/>
      <c r="I144" s="2714"/>
      <c r="J144" s="2713"/>
      <c r="K144" s="2713"/>
      <c r="L144" s="2714"/>
      <c r="M144" s="2713"/>
      <c r="N144" s="2713"/>
      <c r="O144" s="2714"/>
      <c r="P144" s="2713"/>
      <c r="Q144" s="2713"/>
      <c r="R144" s="2715"/>
    </row>
    <row r="145" spans="2:18" s="907" customFormat="1">
      <c r="B145" s="2713"/>
      <c r="C145" s="2713"/>
      <c r="D145" s="2713"/>
      <c r="E145" s="2713"/>
      <c r="F145" s="2713"/>
      <c r="G145" s="2714"/>
      <c r="H145" s="2713"/>
      <c r="I145" s="2714"/>
      <c r="J145" s="2713"/>
      <c r="K145" s="2713"/>
      <c r="L145" s="2714"/>
      <c r="M145" s="2713"/>
      <c r="N145" s="2713"/>
      <c r="O145" s="2714"/>
      <c r="P145" s="2713"/>
      <c r="Q145" s="2713"/>
      <c r="R145" s="2715"/>
    </row>
    <row r="146" spans="2:18" s="907" customFormat="1">
      <c r="B146" s="2713"/>
      <c r="C146" s="2713"/>
      <c r="D146" s="2713"/>
      <c r="E146" s="2713"/>
      <c r="F146" s="2713"/>
      <c r="G146" s="2714"/>
      <c r="H146" s="2713"/>
      <c r="I146" s="2714"/>
      <c r="J146" s="2713"/>
      <c r="K146" s="2713"/>
      <c r="L146" s="2714"/>
      <c r="M146" s="2713"/>
      <c r="N146" s="2713"/>
      <c r="O146" s="2714"/>
      <c r="P146" s="2713"/>
      <c r="Q146" s="2713"/>
      <c r="R146" s="2715"/>
    </row>
    <row r="147" spans="2:18" s="907" customFormat="1">
      <c r="B147" s="2713"/>
      <c r="C147" s="2713"/>
      <c r="D147" s="2713"/>
      <c r="E147" s="2713"/>
      <c r="F147" s="2713"/>
      <c r="G147" s="2714"/>
      <c r="H147" s="2713"/>
      <c r="I147" s="2714"/>
      <c r="J147" s="2713"/>
      <c r="K147" s="2713"/>
      <c r="L147" s="2714"/>
      <c r="M147" s="2713"/>
      <c r="N147" s="2713"/>
      <c r="O147" s="2714"/>
      <c r="P147" s="2713"/>
      <c r="Q147" s="2713"/>
      <c r="R147" s="2715"/>
    </row>
    <row r="148" spans="2:18" s="907" customFormat="1">
      <c r="B148" s="2713"/>
      <c r="C148" s="2713"/>
      <c r="D148" s="2713"/>
      <c r="E148" s="2713"/>
      <c r="F148" s="2713"/>
      <c r="G148" s="2714"/>
      <c r="H148" s="2713"/>
      <c r="I148" s="2714"/>
      <c r="J148" s="2713"/>
      <c r="K148" s="2713"/>
      <c r="L148" s="2714"/>
      <c r="M148" s="2713"/>
      <c r="N148" s="2713"/>
      <c r="O148" s="2714"/>
      <c r="P148" s="2713"/>
      <c r="Q148" s="2713"/>
      <c r="R148" s="2715"/>
    </row>
    <row r="149" spans="2:18" s="907" customFormat="1">
      <c r="B149" s="2713"/>
      <c r="C149" s="2713"/>
      <c r="D149" s="2713"/>
      <c r="E149" s="2713"/>
      <c r="F149" s="2713"/>
      <c r="G149" s="2714"/>
      <c r="H149" s="2713"/>
      <c r="I149" s="2714"/>
      <c r="J149" s="2713"/>
      <c r="K149" s="2713"/>
      <c r="L149" s="2714"/>
      <c r="M149" s="2713"/>
      <c r="N149" s="2713"/>
      <c r="O149" s="2714"/>
      <c r="P149" s="2713"/>
      <c r="Q149" s="2713"/>
      <c r="R149" s="2715"/>
    </row>
    <row r="150" spans="2:18" s="907" customFormat="1">
      <c r="B150" s="2713"/>
      <c r="C150" s="2713"/>
      <c r="D150" s="2713"/>
      <c r="E150" s="2713"/>
      <c r="F150" s="2713"/>
      <c r="G150" s="2714"/>
      <c r="H150" s="2713"/>
      <c r="I150" s="2714"/>
      <c r="J150" s="2713"/>
      <c r="K150" s="2713"/>
      <c r="L150" s="2714"/>
      <c r="M150" s="2713"/>
      <c r="N150" s="2713"/>
      <c r="O150" s="2714"/>
      <c r="P150" s="2713"/>
      <c r="Q150" s="2713"/>
      <c r="R150" s="2715"/>
    </row>
    <row r="151" spans="2:18" s="907" customFormat="1">
      <c r="B151" s="2713"/>
      <c r="C151" s="2713"/>
      <c r="D151" s="2713"/>
      <c r="E151" s="2713"/>
      <c r="F151" s="2713"/>
      <c r="G151" s="2714"/>
      <c r="H151" s="2713"/>
      <c r="I151" s="2714"/>
      <c r="J151" s="2713"/>
      <c r="K151" s="2713"/>
      <c r="L151" s="2714"/>
      <c r="M151" s="2713"/>
      <c r="N151" s="2713"/>
      <c r="O151" s="2714"/>
      <c r="P151" s="2713"/>
      <c r="Q151" s="2713"/>
      <c r="R151" s="2715"/>
    </row>
    <row r="152" spans="2:18" s="907" customFormat="1">
      <c r="B152" s="2713"/>
      <c r="C152" s="2713"/>
      <c r="D152" s="2713"/>
      <c r="E152" s="2713"/>
      <c r="F152" s="2713"/>
      <c r="G152" s="2714"/>
      <c r="H152" s="2713"/>
      <c r="I152" s="2714"/>
      <c r="J152" s="2713"/>
      <c r="K152" s="2713"/>
      <c r="L152" s="2714"/>
      <c r="M152" s="2713"/>
      <c r="N152" s="2713"/>
      <c r="O152" s="2714"/>
      <c r="P152" s="2713"/>
      <c r="Q152" s="2713"/>
      <c r="R152" s="2715"/>
    </row>
    <row r="153" spans="2:18" s="907" customFormat="1">
      <c r="B153" s="2713"/>
      <c r="C153" s="2713"/>
      <c r="D153" s="2713"/>
      <c r="E153" s="2713"/>
      <c r="F153" s="2713"/>
      <c r="G153" s="2714"/>
      <c r="H153" s="2713"/>
      <c r="I153" s="2714"/>
      <c r="J153" s="2713"/>
      <c r="K153" s="2713"/>
      <c r="L153" s="2714"/>
      <c r="M153" s="2713"/>
      <c r="N153" s="2713"/>
      <c r="O153" s="2714"/>
      <c r="P153" s="2713"/>
      <c r="Q153" s="2713"/>
      <c r="R153" s="2715"/>
    </row>
    <row r="154" spans="2:18" s="907" customFormat="1">
      <c r="B154" s="2713"/>
      <c r="C154" s="2713"/>
      <c r="D154" s="2713"/>
      <c r="E154" s="2713"/>
      <c r="F154" s="2713"/>
      <c r="G154" s="2714"/>
      <c r="H154" s="2713"/>
      <c r="I154" s="2714"/>
      <c r="J154" s="2713"/>
      <c r="K154" s="2713"/>
      <c r="L154" s="2714"/>
      <c r="M154" s="2713"/>
      <c r="N154" s="2713"/>
      <c r="O154" s="2714"/>
      <c r="P154" s="2713"/>
      <c r="Q154" s="2713"/>
      <c r="R154" s="2715"/>
    </row>
    <row r="155" spans="2:18" s="907" customFormat="1">
      <c r="B155" s="2713"/>
      <c r="C155" s="2713"/>
      <c r="D155" s="2713"/>
      <c r="E155" s="2713"/>
      <c r="F155" s="2713"/>
      <c r="G155" s="2714"/>
      <c r="H155" s="2713"/>
      <c r="I155" s="2714"/>
      <c r="J155" s="2713"/>
      <c r="K155" s="2713"/>
      <c r="L155" s="2714"/>
      <c r="M155" s="2713"/>
      <c r="N155" s="2713"/>
      <c r="O155" s="2714"/>
      <c r="P155" s="2713"/>
      <c r="Q155" s="2713"/>
      <c r="R155" s="2715"/>
    </row>
    <row r="156" spans="2:18" s="907" customFormat="1">
      <c r="B156" s="2713"/>
      <c r="C156" s="2713"/>
      <c r="D156" s="2713"/>
      <c r="E156" s="2713"/>
      <c r="F156" s="2713"/>
      <c r="G156" s="2714"/>
      <c r="H156" s="2713"/>
      <c r="I156" s="2714"/>
      <c r="J156" s="2713"/>
      <c r="K156" s="2713"/>
      <c r="L156" s="2714"/>
      <c r="M156" s="2713"/>
      <c r="N156" s="2713"/>
      <c r="O156" s="2714"/>
      <c r="P156" s="2713"/>
      <c r="Q156" s="2713"/>
      <c r="R156" s="2715"/>
    </row>
    <row r="157" spans="2:18" s="907" customFormat="1">
      <c r="B157" s="2713"/>
      <c r="C157" s="2713"/>
      <c r="D157" s="2713"/>
      <c r="E157" s="2713"/>
      <c r="F157" s="2713"/>
      <c r="G157" s="2714"/>
      <c r="H157" s="2713"/>
      <c r="I157" s="2714"/>
      <c r="J157" s="2713"/>
      <c r="K157" s="2713"/>
      <c r="L157" s="2714"/>
      <c r="M157" s="2713"/>
      <c r="N157" s="2713"/>
      <c r="O157" s="2714"/>
      <c r="P157" s="2713"/>
      <c r="Q157" s="2713"/>
      <c r="R157" s="2715"/>
    </row>
    <row r="158" spans="2:18" s="907" customFormat="1">
      <c r="B158" s="2713"/>
      <c r="C158" s="2713"/>
      <c r="D158" s="2713"/>
      <c r="E158" s="2713"/>
      <c r="F158" s="2713"/>
      <c r="G158" s="2714"/>
      <c r="H158" s="2713"/>
      <c r="I158" s="2714"/>
      <c r="J158" s="2713"/>
      <c r="K158" s="2713"/>
      <c r="L158" s="2714"/>
      <c r="M158" s="2713"/>
      <c r="N158" s="2713"/>
      <c r="O158" s="2714"/>
      <c r="P158" s="2713"/>
      <c r="Q158" s="2713"/>
      <c r="R158" s="2715"/>
    </row>
    <row r="159" spans="2:18" s="907" customFormat="1">
      <c r="B159" s="2713"/>
      <c r="C159" s="2713"/>
      <c r="D159" s="2713"/>
      <c r="E159" s="2713"/>
      <c r="F159" s="2713"/>
      <c r="G159" s="2714"/>
      <c r="H159" s="2713"/>
      <c r="I159" s="2714"/>
      <c r="J159" s="2713"/>
      <c r="K159" s="2713"/>
      <c r="L159" s="2714"/>
      <c r="M159" s="2713"/>
      <c r="N159" s="2713"/>
      <c r="O159" s="2714"/>
      <c r="P159" s="2713"/>
      <c r="Q159" s="2713"/>
      <c r="R159" s="2715"/>
    </row>
    <row r="160" spans="2:18" s="907" customFormat="1">
      <c r="B160" s="2713"/>
      <c r="C160" s="2713"/>
      <c r="D160" s="2713"/>
      <c r="E160" s="2713"/>
      <c r="F160" s="2713"/>
      <c r="G160" s="2714"/>
      <c r="H160" s="2713"/>
      <c r="I160" s="2714"/>
      <c r="J160" s="2713"/>
      <c r="K160" s="2713"/>
      <c r="L160" s="2714"/>
      <c r="M160" s="2713"/>
      <c r="N160" s="2713"/>
      <c r="O160" s="2714"/>
      <c r="P160" s="2713"/>
      <c r="Q160" s="2713"/>
      <c r="R160" s="2715"/>
    </row>
    <row r="161" spans="2:18" s="907" customFormat="1">
      <c r="B161" s="2713"/>
      <c r="C161" s="2713"/>
      <c r="D161" s="2713"/>
      <c r="E161" s="2713"/>
      <c r="F161" s="2713"/>
      <c r="G161" s="2714"/>
      <c r="H161" s="2713"/>
      <c r="I161" s="2714"/>
      <c r="J161" s="2713"/>
      <c r="K161" s="2713"/>
      <c r="L161" s="2714"/>
      <c r="M161" s="2713"/>
      <c r="N161" s="2713"/>
      <c r="O161" s="2714"/>
      <c r="P161" s="2713"/>
      <c r="Q161" s="2713"/>
      <c r="R161" s="2715"/>
    </row>
    <row r="162" spans="2:18" s="907" customFormat="1">
      <c r="B162" s="2713"/>
      <c r="C162" s="2713"/>
      <c r="D162" s="2713"/>
      <c r="E162" s="2713"/>
      <c r="F162" s="2713"/>
      <c r="G162" s="2714"/>
      <c r="H162" s="2713"/>
      <c r="I162" s="2714"/>
      <c r="J162" s="2713"/>
      <c r="K162" s="2713"/>
      <c r="L162" s="2714"/>
      <c r="M162" s="2713"/>
      <c r="N162" s="2713"/>
      <c r="O162" s="2714"/>
      <c r="P162" s="2713"/>
      <c r="Q162" s="2713"/>
      <c r="R162" s="2715"/>
    </row>
    <row r="163" spans="2:18" s="907" customFormat="1">
      <c r="B163" s="2713"/>
      <c r="C163" s="2713"/>
      <c r="D163" s="2713"/>
      <c r="E163" s="2713"/>
      <c r="F163" s="2713"/>
      <c r="G163" s="2714"/>
      <c r="H163" s="2713"/>
      <c r="I163" s="2714"/>
      <c r="J163" s="2713"/>
      <c r="K163" s="2713"/>
      <c r="L163" s="2714"/>
      <c r="M163" s="2713"/>
      <c r="N163" s="2713"/>
      <c r="O163" s="2714"/>
      <c r="P163" s="2713"/>
      <c r="Q163" s="2713"/>
      <c r="R163" s="2715"/>
    </row>
    <row r="164" spans="2:18" s="907" customFormat="1">
      <c r="B164" s="2713"/>
      <c r="C164" s="2713"/>
      <c r="D164" s="2713"/>
      <c r="E164" s="2713"/>
      <c r="F164" s="2713"/>
      <c r="G164" s="2714"/>
      <c r="H164" s="2713"/>
      <c r="I164" s="2714"/>
      <c r="J164" s="2713"/>
      <c r="K164" s="2713"/>
      <c r="L164" s="2714"/>
      <c r="M164" s="2713"/>
      <c r="N164" s="2713"/>
      <c r="O164" s="2714"/>
      <c r="P164" s="2713"/>
      <c r="Q164" s="2713"/>
      <c r="R164" s="2715"/>
    </row>
    <row r="165" spans="2:18" s="907" customFormat="1">
      <c r="B165" s="2713"/>
      <c r="C165" s="2713"/>
      <c r="D165" s="2713"/>
      <c r="E165" s="2713"/>
      <c r="F165" s="2713"/>
      <c r="G165" s="2714"/>
      <c r="H165" s="2713"/>
      <c r="I165" s="2714"/>
      <c r="J165" s="2713"/>
      <c r="K165" s="2713"/>
      <c r="L165" s="2714"/>
      <c r="M165" s="2713"/>
      <c r="N165" s="2713"/>
      <c r="O165" s="2714"/>
      <c r="P165" s="2713"/>
      <c r="Q165" s="2713"/>
      <c r="R165" s="2715"/>
    </row>
    <row r="166" spans="2:18" s="907" customFormat="1">
      <c r="B166" s="2713"/>
      <c r="C166" s="2713"/>
      <c r="D166" s="2713"/>
      <c r="E166" s="2713"/>
      <c r="F166" s="2713"/>
      <c r="G166" s="2714"/>
      <c r="H166" s="2713"/>
      <c r="I166" s="2714"/>
      <c r="J166" s="2713"/>
      <c r="K166" s="2713"/>
      <c r="L166" s="2714"/>
      <c r="M166" s="2713"/>
      <c r="N166" s="2713"/>
      <c r="O166" s="2714"/>
      <c r="P166" s="2713"/>
      <c r="Q166" s="2713"/>
      <c r="R166" s="2715"/>
    </row>
    <row r="167" spans="2:18" s="907" customFormat="1">
      <c r="B167" s="2713"/>
      <c r="C167" s="2713"/>
      <c r="D167" s="2713"/>
      <c r="E167" s="2713"/>
      <c r="F167" s="2713"/>
      <c r="G167" s="2714"/>
      <c r="H167" s="2713"/>
      <c r="I167" s="2714"/>
      <c r="J167" s="2713"/>
      <c r="K167" s="2713"/>
      <c r="L167" s="2714"/>
      <c r="M167" s="2713"/>
      <c r="N167" s="2713"/>
      <c r="O167" s="2714"/>
      <c r="P167" s="2713"/>
      <c r="Q167" s="2713"/>
      <c r="R167" s="2715"/>
    </row>
    <row r="168" spans="2:18" s="907" customFormat="1">
      <c r="B168" s="2713"/>
      <c r="C168" s="2713"/>
      <c r="D168" s="2713"/>
      <c r="E168" s="2713"/>
      <c r="F168" s="2713"/>
      <c r="G168" s="2714"/>
      <c r="H168" s="2713"/>
      <c r="I168" s="2714"/>
      <c r="J168" s="2713"/>
      <c r="K168" s="2713"/>
      <c r="L168" s="2714"/>
      <c r="M168" s="2713"/>
      <c r="N168" s="2713"/>
      <c r="O168" s="2714"/>
      <c r="P168" s="2713"/>
      <c r="Q168" s="2713"/>
      <c r="R168" s="2715"/>
    </row>
    <row r="169" spans="2:18" s="907" customFormat="1">
      <c r="B169" s="2713"/>
      <c r="C169" s="2713"/>
      <c r="D169" s="2713"/>
      <c r="E169" s="2713"/>
      <c r="F169" s="2713"/>
      <c r="G169" s="2714"/>
      <c r="H169" s="2713"/>
      <c r="I169" s="2714"/>
      <c r="J169" s="2713"/>
      <c r="K169" s="2713"/>
      <c r="L169" s="2714"/>
      <c r="M169" s="2713"/>
      <c r="N169" s="2713"/>
      <c r="O169" s="2714"/>
      <c r="P169" s="2713"/>
      <c r="Q169" s="2713"/>
      <c r="R169" s="2715"/>
    </row>
    <row r="170" spans="2:18" s="907" customFormat="1">
      <c r="B170" s="2713"/>
      <c r="C170" s="2713"/>
      <c r="D170" s="2713"/>
      <c r="E170" s="2713"/>
      <c r="F170" s="2713"/>
      <c r="G170" s="2714"/>
      <c r="H170" s="2713"/>
      <c r="I170" s="2714"/>
      <c r="J170" s="2713"/>
      <c r="K170" s="2713"/>
      <c r="L170" s="2714"/>
      <c r="M170" s="2713"/>
      <c r="N170" s="2713"/>
      <c r="O170" s="2714"/>
      <c r="P170" s="2713"/>
      <c r="Q170" s="2713"/>
      <c r="R170" s="2715"/>
    </row>
    <row r="171" spans="2:18" s="907" customFormat="1">
      <c r="B171" s="2713"/>
      <c r="C171" s="2713"/>
      <c r="D171" s="2713"/>
      <c r="E171" s="2713"/>
      <c r="F171" s="2713"/>
      <c r="G171" s="2714"/>
      <c r="H171" s="2713"/>
      <c r="I171" s="2714"/>
      <c r="J171" s="2713"/>
      <c r="K171" s="2713"/>
      <c r="L171" s="2714"/>
      <c r="M171" s="2713"/>
      <c r="N171" s="2713"/>
      <c r="O171" s="2714"/>
      <c r="P171" s="2713"/>
      <c r="Q171" s="2713"/>
      <c r="R171" s="2715"/>
    </row>
    <row r="172" spans="2:18" s="907" customFormat="1">
      <c r="B172" s="2713"/>
      <c r="C172" s="2713"/>
      <c r="D172" s="2713"/>
      <c r="E172" s="2713"/>
      <c r="F172" s="2713"/>
      <c r="G172" s="2714"/>
      <c r="H172" s="2713"/>
      <c r="I172" s="2714"/>
      <c r="J172" s="2713"/>
      <c r="K172" s="2713"/>
      <c r="L172" s="2714"/>
      <c r="M172" s="2713"/>
      <c r="N172" s="2713"/>
      <c r="O172" s="2714"/>
      <c r="P172" s="2713"/>
      <c r="Q172" s="2713"/>
      <c r="R172" s="2715"/>
    </row>
    <row r="173" spans="2:18" s="907" customFormat="1">
      <c r="B173" s="2713"/>
      <c r="C173" s="2713"/>
      <c r="D173" s="2713"/>
      <c r="E173" s="2713"/>
      <c r="F173" s="2713"/>
      <c r="G173" s="2714"/>
      <c r="H173" s="2713"/>
      <c r="I173" s="2714"/>
      <c r="J173" s="2713"/>
      <c r="K173" s="2713"/>
      <c r="L173" s="2714"/>
      <c r="M173" s="2713"/>
      <c r="N173" s="2713"/>
      <c r="O173" s="2714"/>
      <c r="P173" s="2713"/>
      <c r="Q173" s="2713"/>
      <c r="R173" s="2715"/>
    </row>
    <row r="174" spans="2:18" s="907" customFormat="1">
      <c r="B174" s="2713"/>
      <c r="C174" s="2713"/>
      <c r="D174" s="2713"/>
      <c r="E174" s="2713"/>
      <c r="F174" s="2713"/>
      <c r="G174" s="2714"/>
      <c r="H174" s="2713"/>
      <c r="I174" s="2714"/>
      <c r="J174" s="2713"/>
      <c r="K174" s="2713"/>
      <c r="L174" s="2714"/>
      <c r="M174" s="2713"/>
      <c r="N174" s="2713"/>
      <c r="O174" s="2714"/>
      <c r="P174" s="2713"/>
      <c r="Q174" s="2713"/>
      <c r="R174" s="2715"/>
    </row>
    <row r="175" spans="2:18" s="907" customFormat="1">
      <c r="B175" s="2713"/>
      <c r="C175" s="2713"/>
      <c r="D175" s="2713"/>
      <c r="E175" s="2713"/>
      <c r="F175" s="2713"/>
      <c r="G175" s="2714"/>
      <c r="H175" s="2713"/>
      <c r="I175" s="2714"/>
      <c r="J175" s="2713"/>
      <c r="K175" s="2713"/>
      <c r="L175" s="2714"/>
      <c r="M175" s="2713"/>
      <c r="N175" s="2713"/>
      <c r="O175" s="2714"/>
      <c r="P175" s="2713"/>
      <c r="Q175" s="2713"/>
      <c r="R175" s="2715"/>
    </row>
    <row r="176" spans="2:18" s="907" customFormat="1">
      <c r="B176" s="2713"/>
      <c r="C176" s="2713"/>
      <c r="D176" s="2713"/>
      <c r="E176" s="2713"/>
      <c r="F176" s="2713"/>
      <c r="G176" s="2714"/>
      <c r="H176" s="2713"/>
      <c r="I176" s="2714"/>
      <c r="J176" s="2713"/>
      <c r="K176" s="2713"/>
      <c r="L176" s="2714"/>
      <c r="M176" s="2713"/>
      <c r="N176" s="2713"/>
      <c r="O176" s="2714"/>
      <c r="P176" s="2713"/>
      <c r="Q176" s="2713"/>
      <c r="R176" s="2715"/>
    </row>
    <row r="177" spans="1:18" s="907" customFormat="1">
      <c r="B177" s="2713"/>
      <c r="C177" s="2713"/>
      <c r="D177" s="2713"/>
      <c r="E177" s="2713"/>
      <c r="F177" s="2713"/>
      <c r="G177" s="2714"/>
      <c r="H177" s="2713"/>
      <c r="I177" s="2714"/>
      <c r="J177" s="2713"/>
      <c r="K177" s="2713"/>
      <c r="L177" s="2714"/>
      <c r="M177" s="2713"/>
      <c r="N177" s="2713"/>
      <c r="O177" s="2714"/>
      <c r="P177" s="2713"/>
      <c r="Q177" s="2713"/>
      <c r="R177" s="2715"/>
    </row>
    <row r="178" spans="1:18" s="907" customFormat="1">
      <c r="B178" s="2713"/>
      <c r="C178" s="2713"/>
      <c r="D178" s="2713"/>
      <c r="E178" s="2713"/>
      <c r="F178" s="2713"/>
      <c r="G178" s="2714"/>
      <c r="H178" s="2713"/>
      <c r="I178" s="2714"/>
      <c r="J178" s="2713"/>
      <c r="K178" s="2713"/>
      <c r="L178" s="2714"/>
      <c r="M178" s="2713"/>
      <c r="N178" s="2713"/>
      <c r="O178" s="2714"/>
      <c r="P178" s="2713"/>
      <c r="Q178" s="2713"/>
      <c r="R178" s="2715"/>
    </row>
    <row r="179" spans="1:18" s="907" customFormat="1">
      <c r="B179" s="2713"/>
      <c r="C179" s="2713"/>
      <c r="D179" s="2713"/>
      <c r="E179" s="2713"/>
      <c r="F179" s="2713"/>
      <c r="G179" s="2714"/>
      <c r="H179" s="2713"/>
      <c r="I179" s="2714"/>
      <c r="J179" s="2713"/>
      <c r="K179" s="2713"/>
      <c r="L179" s="2714"/>
      <c r="M179" s="2713"/>
      <c r="N179" s="2713"/>
      <c r="O179" s="2714"/>
      <c r="P179" s="2713"/>
      <c r="Q179" s="2713"/>
      <c r="R179" s="2715"/>
    </row>
    <row r="180" spans="1:18" s="907" customFormat="1">
      <c r="B180" s="2713"/>
      <c r="C180" s="2713"/>
      <c r="D180" s="2713"/>
      <c r="E180" s="2713"/>
      <c r="F180" s="2713"/>
      <c r="G180" s="2714"/>
      <c r="H180" s="2713"/>
      <c r="I180" s="2714"/>
      <c r="J180" s="2713"/>
      <c r="K180" s="2713"/>
      <c r="L180" s="2714"/>
      <c r="M180" s="2713"/>
      <c r="N180" s="2713"/>
      <c r="O180" s="2714"/>
      <c r="P180" s="2713"/>
      <c r="Q180" s="2713"/>
      <c r="R180" s="2715"/>
    </row>
    <row r="181" spans="1:18" s="907" customFormat="1">
      <c r="B181" s="2713"/>
      <c r="C181" s="2713"/>
      <c r="D181" s="2713"/>
      <c r="E181" s="2713"/>
      <c r="F181" s="2713"/>
      <c r="G181" s="2714"/>
      <c r="H181" s="2713"/>
      <c r="I181" s="2714"/>
      <c r="J181" s="2713"/>
      <c r="K181" s="2713"/>
      <c r="L181" s="2714"/>
      <c r="M181" s="2713"/>
      <c r="N181" s="2713"/>
      <c r="O181" s="2714"/>
      <c r="P181" s="2713"/>
      <c r="Q181" s="2713"/>
      <c r="R181" s="2715"/>
    </row>
    <row r="182" spans="1:18" s="907" customFormat="1">
      <c r="B182" s="2713"/>
      <c r="C182" s="2713"/>
      <c r="D182" s="2713"/>
      <c r="E182" s="2713"/>
      <c r="F182" s="2713"/>
      <c r="G182" s="2714"/>
      <c r="H182" s="2713"/>
      <c r="I182" s="2714"/>
      <c r="J182" s="2713"/>
      <c r="K182" s="2713"/>
      <c r="L182" s="2714"/>
      <c r="M182" s="2713"/>
      <c r="N182" s="2713"/>
      <c r="O182" s="2714"/>
      <c r="P182" s="2713"/>
      <c r="Q182" s="2713"/>
      <c r="R182" s="2715"/>
    </row>
    <row r="183" spans="1:18" s="907" customFormat="1">
      <c r="B183" s="2713"/>
      <c r="C183" s="2713"/>
      <c r="D183" s="2713"/>
      <c r="E183" s="2713"/>
      <c r="F183" s="2713"/>
      <c r="G183" s="2714"/>
      <c r="H183" s="2713"/>
      <c r="I183" s="2714"/>
      <c r="J183" s="2713"/>
      <c r="K183" s="2713"/>
      <c r="L183" s="2714"/>
      <c r="M183" s="2713"/>
      <c r="N183" s="2713"/>
      <c r="O183" s="2714"/>
      <c r="P183" s="2713"/>
      <c r="Q183" s="2713"/>
      <c r="R183" s="2715"/>
    </row>
    <row r="184" spans="1:18" s="907" customFormat="1">
      <c r="B184" s="2713"/>
      <c r="C184" s="2713"/>
      <c r="D184" s="2713"/>
      <c r="E184" s="2713"/>
      <c r="F184" s="2713"/>
      <c r="G184" s="2714"/>
      <c r="H184" s="2713"/>
      <c r="I184" s="2714"/>
      <c r="J184" s="2713"/>
      <c r="K184" s="2713"/>
      <c r="L184" s="2714"/>
      <c r="M184" s="2713"/>
      <c r="N184" s="2713"/>
      <c r="O184" s="2714"/>
      <c r="P184" s="2713"/>
      <c r="Q184" s="2713"/>
      <c r="R184" s="2715"/>
    </row>
    <row r="185" spans="1:18" s="907"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907"/>
      <c r="B186" s="2713"/>
      <c r="C186" s="2713"/>
      <c r="E186" s="2713"/>
      <c r="F186" s="2713"/>
      <c r="G186" s="2714"/>
    </row>
    <row r="187" spans="1:18">
      <c r="A187" s="907"/>
      <c r="B187" s="2713"/>
      <c r="C187" s="2713"/>
      <c r="E187" s="2713"/>
      <c r="F187" s="2713"/>
      <c r="G187" s="271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H30" sqref="H30"/>
    </sheetView>
  </sheetViews>
  <sheetFormatPr defaultColWidth="9" defaultRowHeight="13.5"/>
  <cols>
    <col min="1" max="1" width="25" style="2735" customWidth="1"/>
    <col min="2" max="9" width="15.75" style="2735" customWidth="1"/>
    <col min="10" max="16384" width="9" style="2735"/>
  </cols>
  <sheetData>
    <row r="1" spans="1:11" ht="16.5">
      <c r="A1" s="2734" t="s">
        <v>1331</v>
      </c>
      <c r="B1" s="2734">
        <f>SUM(B14:B23)</f>
        <v>519.96</v>
      </c>
      <c r="C1" s="2910"/>
      <c r="D1" s="2910"/>
      <c r="E1" s="2910"/>
      <c r="F1" s="2910"/>
      <c r="G1" s="2911"/>
      <c r="H1" s="2912"/>
      <c r="I1" s="2912"/>
      <c r="J1" s="2912"/>
      <c r="K1" s="2912"/>
    </row>
    <row r="2" spans="1:11" ht="16.5">
      <c r="A2" s="2734" t="s">
        <v>1319</v>
      </c>
      <c r="B2" s="2734">
        <f>SUM(C14:C23)</f>
        <v>202.06</v>
      </c>
      <c r="C2" s="2910"/>
      <c r="D2" s="2910"/>
      <c r="E2" s="2910"/>
      <c r="F2" s="2910"/>
      <c r="G2" s="2911"/>
      <c r="H2" s="2912"/>
      <c r="I2" s="2912"/>
      <c r="J2" s="2912"/>
      <c r="K2" s="2912"/>
    </row>
    <row r="3" spans="1:11" ht="16.5">
      <c r="A3" s="2734" t="s">
        <v>1328</v>
      </c>
      <c r="B3" s="2736">
        <f>项目基本情况!D3</f>
        <v>44523</v>
      </c>
      <c r="C3" s="2910"/>
      <c r="D3" s="2910"/>
      <c r="E3" s="2910"/>
      <c r="F3" s="2910"/>
      <c r="G3" s="2911"/>
      <c r="H3" s="2912"/>
      <c r="I3" s="2912"/>
      <c r="J3" s="2912"/>
      <c r="K3" s="2912"/>
    </row>
    <row r="4" spans="1:11" ht="33">
      <c r="A4" s="2734" t="s">
        <v>1327</v>
      </c>
      <c r="B4" s="2734" t="s">
        <v>1326</v>
      </c>
      <c r="C4" s="2734" t="s">
        <v>1325</v>
      </c>
      <c r="D4" s="2734" t="s">
        <v>1324</v>
      </c>
      <c r="E4" s="2910"/>
      <c r="F4" s="2911"/>
      <c r="G4" s="2911"/>
      <c r="H4" s="2912"/>
      <c r="I4" s="2912"/>
      <c r="J4" s="2912"/>
      <c r="K4" s="2912"/>
    </row>
    <row r="5" spans="1:11" ht="16.5">
      <c r="A5" s="2734" t="s">
        <v>1323</v>
      </c>
      <c r="B5" s="2734">
        <f ca="1">SUM(D14:D23)</f>
        <v>652</v>
      </c>
      <c r="C5" s="2734">
        <f ca="1">ROUND(B5*10000/$B$1,0)</f>
        <v>12539</v>
      </c>
      <c r="D5" s="2734">
        <f ca="1">ROUND(B5*10000/$B$2,0)</f>
        <v>32268</v>
      </c>
      <c r="E5" s="2910"/>
      <c r="F5" s="2911"/>
      <c r="G5" s="2911"/>
      <c r="H5" s="2912"/>
      <c r="I5" s="2912"/>
      <c r="J5" s="2912"/>
      <c r="K5" s="2912"/>
    </row>
    <row r="6" spans="1:11" ht="16.5">
      <c r="A6" s="2734" t="s">
        <v>1322</v>
      </c>
      <c r="B6" s="2734">
        <f ca="1">SUM(G14:G23)</f>
        <v>652</v>
      </c>
      <c r="C6" s="2734">
        <f ca="1">ROUND(B6*10000/$B$1,0)</f>
        <v>12539</v>
      </c>
      <c r="D6" s="2734">
        <f ca="1">ROUND(B6*10000/$B$2,0)</f>
        <v>32268</v>
      </c>
      <c r="E6" s="2910"/>
      <c r="F6" s="2911"/>
      <c r="G6" s="2911"/>
      <c r="H6" s="2912"/>
      <c r="I6" s="2912"/>
      <c r="J6" s="2912"/>
      <c r="K6" s="2912"/>
    </row>
    <row r="7" spans="1:11" ht="16.5">
      <c r="A7" s="2734" t="s">
        <v>1330</v>
      </c>
      <c r="B7" s="2734">
        <f>SUM(H14:H23)</f>
        <v>0</v>
      </c>
      <c r="C7" s="2734">
        <f>ROUND(B7*10000/$B$1,0)</f>
        <v>0</v>
      </c>
      <c r="D7" s="2734">
        <f>ROUND(B7*10000/$B$2,0)</f>
        <v>0</v>
      </c>
      <c r="E7" s="2910"/>
      <c r="F7" s="2911"/>
      <c r="G7" s="2911"/>
      <c r="H7" s="2912"/>
      <c r="I7" s="2912"/>
      <c r="J7" s="2912"/>
      <c r="K7" s="2912"/>
    </row>
    <row r="8" spans="1:11" ht="16.5">
      <c r="A8" s="2734" t="s">
        <v>1252</v>
      </c>
      <c r="B8" s="2734">
        <f>SUM(I14:I23)</f>
        <v>0</v>
      </c>
      <c r="C8" s="2734">
        <f>ROUND(B8*10000/$B$1,0)</f>
        <v>0</v>
      </c>
      <c r="D8" s="2734">
        <f>ROUND(B8*10000/$B$2,0)</f>
        <v>0</v>
      </c>
      <c r="E8" s="2910"/>
      <c r="F8" s="2911"/>
      <c r="G8" s="2911"/>
      <c r="H8" s="2912"/>
      <c r="I8" s="2912"/>
      <c r="J8" s="2912"/>
      <c r="K8" s="2912"/>
    </row>
    <row r="9" spans="1:11" ht="16.5">
      <c r="A9" s="2734" t="s">
        <v>1321</v>
      </c>
      <c r="B9" s="2742"/>
      <c r="C9" s="2910"/>
      <c r="D9" s="2910"/>
      <c r="E9" s="2910"/>
      <c r="F9" s="2911"/>
      <c r="G9" s="2911"/>
      <c r="H9" s="2912"/>
      <c r="I9" s="2912"/>
      <c r="J9" s="2912"/>
      <c r="K9" s="2912"/>
    </row>
    <row r="10" spans="1:11" ht="16.5">
      <c r="A10" s="2734" t="s">
        <v>1320</v>
      </c>
      <c r="B10" s="2742"/>
      <c r="C10" s="2910"/>
      <c r="D10" s="2910"/>
      <c r="E10" s="2910"/>
      <c r="F10" s="2911"/>
      <c r="G10" s="2911"/>
      <c r="H10" s="2912"/>
      <c r="I10" s="2912"/>
      <c r="J10" s="2912"/>
      <c r="K10" s="2912"/>
    </row>
    <row r="11" spans="1:11" ht="16.5">
      <c r="A11" s="2734" t="s">
        <v>1336</v>
      </c>
      <c r="B11" s="2742"/>
      <c r="C11" s="2910"/>
      <c r="D11" s="2910"/>
      <c r="E11" s="2910"/>
      <c r="F11" s="2911"/>
      <c r="G11" s="2911"/>
      <c r="H11" s="2912"/>
      <c r="I11" s="2912"/>
      <c r="J11" s="2912"/>
      <c r="K11" s="2912"/>
    </row>
    <row r="12" spans="1:11" ht="16.5">
      <c r="A12" s="2910"/>
      <c r="B12" s="2910"/>
      <c r="C12" s="2910"/>
      <c r="D12" s="2910"/>
      <c r="E12" s="2910"/>
      <c r="F12" s="2911"/>
      <c r="G12" s="2911"/>
      <c r="H12" s="2912"/>
      <c r="I12" s="2912"/>
      <c r="J12" s="2912"/>
      <c r="K12" s="2912"/>
    </row>
    <row r="13" spans="1:11" ht="33">
      <c r="A13" s="2737" t="s">
        <v>1335</v>
      </c>
      <c r="B13" s="2738" t="s">
        <v>1332</v>
      </c>
      <c r="C13" s="2738" t="s">
        <v>1334</v>
      </c>
      <c r="D13" s="2738" t="s">
        <v>1333</v>
      </c>
      <c r="E13" s="2734" t="s">
        <v>1325</v>
      </c>
      <c r="F13" s="2734" t="s">
        <v>1324</v>
      </c>
      <c r="G13" s="2738" t="s">
        <v>1318</v>
      </c>
      <c r="H13" s="2738" t="s">
        <v>1329</v>
      </c>
      <c r="I13" s="2738" t="s">
        <v>1317</v>
      </c>
      <c r="J13" s="2911"/>
      <c r="K13" s="2912"/>
    </row>
    <row r="14" spans="1:11" ht="16.5">
      <c r="A14" s="2739" t="s">
        <v>1316</v>
      </c>
      <c r="B14" s="2740">
        <f>结果表!B118</f>
        <v>519.96</v>
      </c>
      <c r="C14" s="2740">
        <f>结果表!C118</f>
        <v>202.06</v>
      </c>
      <c r="D14" s="2740">
        <f ca="1">结果表!H118</f>
        <v>652</v>
      </c>
      <c r="E14" s="2740">
        <f ca="1">ROUND(D14*10000/B14,0)</f>
        <v>12539</v>
      </c>
      <c r="F14" s="2740">
        <f ca="1">ROUND(D14*10000/C14,0)</f>
        <v>32268</v>
      </c>
      <c r="G14" s="2740">
        <f ca="1">结果表!D122</f>
        <v>652</v>
      </c>
      <c r="H14" s="2740" t="str">
        <f>结果表!D124</f>
        <v>——</v>
      </c>
      <c r="I14" s="2740" t="str">
        <f>结果表!D126</f>
        <v>——</v>
      </c>
      <c r="J14" s="2911"/>
      <c r="K14" s="2912"/>
    </row>
    <row r="15" spans="1:11" ht="16.5">
      <c r="A15" s="2739" t="s">
        <v>1315</v>
      </c>
      <c r="B15" s="2741"/>
      <c r="C15" s="2741"/>
      <c r="D15" s="2741"/>
      <c r="E15" s="2740" t="e">
        <f t="shared" ref="E15:E23" si="0">ROUND(D15*10000/B15,0)</f>
        <v>#DIV/0!</v>
      </c>
      <c r="F15" s="2740" t="e">
        <f t="shared" ref="F15:F23" si="1">ROUND(D15*10000/C15,0)</f>
        <v>#DIV/0!</v>
      </c>
      <c r="G15" s="1500"/>
      <c r="H15" s="1500"/>
      <c r="I15" s="2741"/>
      <c r="J15" s="2911"/>
      <c r="K15" s="2912"/>
    </row>
    <row r="16" spans="1:11" ht="16.5">
      <c r="A16" s="2739" t="s">
        <v>1314</v>
      </c>
      <c r="B16" s="2741"/>
      <c r="C16" s="2741"/>
      <c r="D16" s="2741"/>
      <c r="E16" s="2740" t="e">
        <f t="shared" si="0"/>
        <v>#DIV/0!</v>
      </c>
      <c r="F16" s="2740" t="e">
        <f t="shared" si="1"/>
        <v>#DIV/0!</v>
      </c>
      <c r="G16" s="1500"/>
      <c r="H16" s="1500"/>
      <c r="I16" s="2741"/>
      <c r="J16" s="2912"/>
      <c r="K16" s="2912"/>
    </row>
    <row r="17" spans="1:11" ht="16.5">
      <c r="A17" s="2739" t="s">
        <v>1313</v>
      </c>
      <c r="B17" s="2741"/>
      <c r="C17" s="2741"/>
      <c r="D17" s="2741"/>
      <c r="E17" s="2740" t="e">
        <f t="shared" si="0"/>
        <v>#DIV/0!</v>
      </c>
      <c r="F17" s="2740" t="e">
        <f t="shared" si="1"/>
        <v>#DIV/0!</v>
      </c>
      <c r="G17" s="1500"/>
      <c r="H17" s="1500"/>
      <c r="I17" s="2741"/>
      <c r="J17" s="2912"/>
      <c r="K17" s="2912"/>
    </row>
    <row r="18" spans="1:11" ht="16.5">
      <c r="A18" s="2739" t="s">
        <v>1312</v>
      </c>
      <c r="B18" s="2741"/>
      <c r="C18" s="2741"/>
      <c r="D18" s="2741"/>
      <c r="E18" s="2740" t="e">
        <f t="shared" si="0"/>
        <v>#DIV/0!</v>
      </c>
      <c r="F18" s="2740" t="e">
        <f t="shared" si="1"/>
        <v>#DIV/0!</v>
      </c>
      <c r="G18" s="2741"/>
      <c r="H18" s="2741"/>
      <c r="I18" s="2741"/>
      <c r="J18" s="2912"/>
      <c r="K18" s="2912"/>
    </row>
    <row r="19" spans="1:11" ht="16.5">
      <c r="A19" s="2739" t="s">
        <v>1311</v>
      </c>
      <c r="B19" s="2741"/>
      <c r="C19" s="2741"/>
      <c r="D19" s="2741"/>
      <c r="E19" s="2740" t="e">
        <f t="shared" si="0"/>
        <v>#DIV/0!</v>
      </c>
      <c r="F19" s="2740" t="e">
        <f t="shared" si="1"/>
        <v>#DIV/0!</v>
      </c>
      <c r="G19" s="2741"/>
      <c r="H19" s="2741"/>
      <c r="I19" s="2741"/>
      <c r="J19" s="2912"/>
      <c r="K19" s="2912"/>
    </row>
    <row r="20" spans="1:11" ht="16.5">
      <c r="A20" s="2739" t="s">
        <v>1310</v>
      </c>
      <c r="B20" s="2741"/>
      <c r="C20" s="2741"/>
      <c r="D20" s="2741"/>
      <c r="E20" s="2740" t="e">
        <f t="shared" si="0"/>
        <v>#DIV/0!</v>
      </c>
      <c r="F20" s="2740" t="e">
        <f t="shared" si="1"/>
        <v>#DIV/0!</v>
      </c>
      <c r="G20" s="2741"/>
      <c r="H20" s="2741"/>
      <c r="I20" s="2741"/>
      <c r="J20" s="2912"/>
      <c r="K20" s="2912"/>
    </row>
    <row r="21" spans="1:11" ht="16.5">
      <c r="A21" s="2739" t="s">
        <v>1309</v>
      </c>
      <c r="B21" s="2741"/>
      <c r="C21" s="2741"/>
      <c r="D21" s="2741"/>
      <c r="E21" s="2740" t="e">
        <f t="shared" si="0"/>
        <v>#DIV/0!</v>
      </c>
      <c r="F21" s="2740" t="e">
        <f t="shared" si="1"/>
        <v>#DIV/0!</v>
      </c>
      <c r="G21" s="2741"/>
      <c r="H21" s="2741"/>
      <c r="I21" s="2741"/>
      <c r="J21" s="2912"/>
      <c r="K21" s="2912"/>
    </row>
    <row r="22" spans="1:11" ht="16.5">
      <c r="A22" s="2739" t="s">
        <v>1308</v>
      </c>
      <c r="B22" s="2741"/>
      <c r="C22" s="2741"/>
      <c r="D22" s="2741"/>
      <c r="E22" s="2740" t="e">
        <f t="shared" si="0"/>
        <v>#DIV/0!</v>
      </c>
      <c r="F22" s="2740" t="e">
        <f t="shared" si="1"/>
        <v>#DIV/0!</v>
      </c>
      <c r="G22" s="2741"/>
      <c r="H22" s="2741"/>
      <c r="I22" s="2741"/>
      <c r="J22" s="2912"/>
      <c r="K22" s="2912"/>
    </row>
    <row r="23" spans="1:11" ht="16.5">
      <c r="A23" s="2739" t="s">
        <v>1307</v>
      </c>
      <c r="B23" s="2741"/>
      <c r="C23" s="2741"/>
      <c r="D23" s="2741"/>
      <c r="E23" s="2742" t="e">
        <f t="shared" si="0"/>
        <v>#DIV/0!</v>
      </c>
      <c r="F23" s="2742" t="e">
        <f t="shared" si="1"/>
        <v>#DIV/0!</v>
      </c>
      <c r="G23" s="2741"/>
      <c r="H23" s="2741"/>
      <c r="I23" s="2741"/>
      <c r="J23" s="2912"/>
      <c r="K23" s="2912"/>
    </row>
    <row r="24" spans="1:11">
      <c r="A24" s="2912"/>
      <c r="B24" s="2912"/>
      <c r="C24" s="2912"/>
      <c r="D24" s="2912"/>
      <c r="E24" s="2912"/>
      <c r="F24" s="2912"/>
      <c r="G24" s="2912"/>
      <c r="H24" s="2912"/>
      <c r="I24" s="2912"/>
      <c r="J24" s="2912"/>
      <c r="K24" s="2912"/>
    </row>
    <row r="25" spans="1:11">
      <c r="A25" s="2912"/>
      <c r="B25" s="2912"/>
      <c r="C25" s="2912"/>
      <c r="D25" s="2912"/>
      <c r="E25" s="2912"/>
      <c r="F25" s="2912"/>
      <c r="G25" s="2912"/>
      <c r="H25" s="2912"/>
      <c r="I25" s="2912"/>
      <c r="J25" s="2912"/>
      <c r="K25" s="2912"/>
    </row>
    <row r="26" spans="1:11">
      <c r="A26" s="2912"/>
      <c r="B26" s="2912"/>
      <c r="C26" s="2912"/>
      <c r="D26" s="2912"/>
      <c r="E26" s="2912"/>
      <c r="F26" s="2912"/>
      <c r="G26" s="2912"/>
      <c r="H26" s="2912"/>
      <c r="I26" s="2912"/>
      <c r="J26" s="2912"/>
      <c r="K26" s="291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8" sqref="F2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218" t="str">
        <f>项目基本情况!S2</f>
        <v>江苏省扬州市广陵区沙湾南路东侧、许庄路西侧（不动产单元号：321002006003GB00058W00000000）5套住宅用房房地产</v>
      </c>
      <c r="B2" s="3219"/>
      <c r="C2" s="3219"/>
      <c r="D2" s="3219"/>
      <c r="E2" s="3219"/>
      <c r="F2" s="3219"/>
      <c r="G2" s="3219"/>
      <c r="H2" s="3219"/>
      <c r="I2" s="3220"/>
    </row>
    <row r="3" spans="1:12" ht="12.75">
      <c r="A3" s="3222" t="s">
        <v>1949</v>
      </c>
      <c r="B3" s="3223"/>
      <c r="C3" s="3223"/>
      <c r="D3" s="3223"/>
      <c r="E3" s="3223"/>
      <c r="F3" s="3223"/>
      <c r="G3" s="3223"/>
      <c r="H3" s="3223"/>
      <c r="I3" s="3223"/>
    </row>
    <row r="4" spans="1:12" ht="14.25">
      <c r="A4" s="1940" t="s">
        <v>1950</v>
      </c>
      <c r="B4" s="1941" t="s">
        <v>1951</v>
      </c>
      <c r="C4" s="1942" t="s">
        <v>10260</v>
      </c>
      <c r="D4" s="1942" t="s">
        <v>10297</v>
      </c>
      <c r="E4" s="3224" t="s">
        <v>1952</v>
      </c>
      <c r="F4" s="3225"/>
      <c r="G4" s="3225"/>
      <c r="H4" s="3225"/>
      <c r="I4" s="3226"/>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198" t="s">
        <v>1953</v>
      </c>
      <c r="B5" s="3185">
        <v>25</v>
      </c>
      <c r="C5" s="3201"/>
      <c r="D5" s="3221"/>
      <c r="E5" s="136" t="s">
        <v>1954</v>
      </c>
      <c r="F5" s="1943"/>
      <c r="G5" s="1943"/>
      <c r="H5" s="1943"/>
      <c r="I5" s="1557"/>
    </row>
    <row r="6" spans="1:12" ht="12.75">
      <c r="A6" s="3198"/>
      <c r="B6" s="3185"/>
      <c r="C6" s="3202"/>
      <c r="D6" s="3221"/>
      <c r="E6" s="136" t="s">
        <v>1955</v>
      </c>
      <c r="F6" s="1943"/>
      <c r="G6" s="1943"/>
      <c r="H6" s="1943"/>
      <c r="I6" s="1557"/>
    </row>
    <row r="7" spans="1:12" ht="12.75">
      <c r="A7" s="3198"/>
      <c r="B7" s="3185"/>
      <c r="C7" s="3203"/>
      <c r="D7" s="3221"/>
      <c r="E7" s="136" t="s">
        <v>1956</v>
      </c>
      <c r="F7" s="1943"/>
      <c r="G7" s="1943"/>
      <c r="H7" s="1943"/>
      <c r="I7" s="1557"/>
    </row>
    <row r="8" spans="1:12" ht="12.75">
      <c r="A8" s="3198" t="s">
        <v>1957</v>
      </c>
      <c r="B8" s="3185">
        <v>15</v>
      </c>
      <c r="C8" s="3201"/>
      <c r="D8" s="3221"/>
      <c r="E8" s="136" t="s">
        <v>1958</v>
      </c>
      <c r="F8" s="1943"/>
      <c r="G8" s="1943"/>
      <c r="H8" s="1943"/>
      <c r="I8" s="1557"/>
    </row>
    <row r="9" spans="1:12" ht="12.75">
      <c r="A9" s="3198"/>
      <c r="B9" s="3185"/>
      <c r="C9" s="3203"/>
      <c r="D9" s="3221"/>
      <c r="E9" s="136" t="s">
        <v>1959</v>
      </c>
      <c r="F9" s="1943"/>
      <c r="G9" s="1943"/>
      <c r="H9" s="1943"/>
      <c r="I9" s="1557"/>
    </row>
    <row r="10" spans="1:12" ht="12.75">
      <c r="A10" s="3198" t="s">
        <v>1960</v>
      </c>
      <c r="B10" s="3185">
        <v>15</v>
      </c>
      <c r="C10" s="3201"/>
      <c r="D10" s="3221"/>
      <c r="E10" s="136" t="s">
        <v>1961</v>
      </c>
      <c r="F10" s="1943"/>
      <c r="G10" s="1943"/>
      <c r="H10" s="1943"/>
      <c r="I10" s="1557"/>
    </row>
    <row r="11" spans="1:12" ht="12.75">
      <c r="A11" s="3198"/>
      <c r="B11" s="3185"/>
      <c r="C11" s="3203"/>
      <c r="D11" s="3221"/>
      <c r="E11" s="136" t="s">
        <v>1962</v>
      </c>
      <c r="F11" s="1943"/>
      <c r="G11" s="1943"/>
      <c r="H11" s="1943"/>
      <c r="I11" s="1557"/>
    </row>
    <row r="12" spans="1:12" ht="12.75">
      <c r="A12" s="3198" t="s">
        <v>1963</v>
      </c>
      <c r="B12" s="3185">
        <v>15</v>
      </c>
      <c r="C12" s="3201"/>
      <c r="D12" s="3221"/>
      <c r="E12" s="136" t="s">
        <v>1964</v>
      </c>
      <c r="F12" s="1943"/>
      <c r="G12" s="1943"/>
      <c r="H12" s="1943"/>
      <c r="I12" s="1557"/>
    </row>
    <row r="13" spans="1:12" ht="12.75">
      <c r="A13" s="3198"/>
      <c r="B13" s="3185"/>
      <c r="C13" s="3203"/>
      <c r="D13" s="3221"/>
      <c r="E13" s="136" t="s">
        <v>1965</v>
      </c>
      <c r="F13" s="1943"/>
      <c r="G13" s="1943"/>
      <c r="H13" s="1943"/>
      <c r="I13" s="1557"/>
    </row>
    <row r="14" spans="1:12" ht="12.75">
      <c r="A14" s="3198" t="s">
        <v>1966</v>
      </c>
      <c r="B14" s="3185">
        <v>30</v>
      </c>
      <c r="C14" s="3201">
        <v>5</v>
      </c>
      <c r="D14" s="3221">
        <v>5</v>
      </c>
      <c r="E14" s="136" t="s">
        <v>1967</v>
      </c>
      <c r="F14" s="1943"/>
      <c r="G14" s="1943"/>
      <c r="H14" s="1943"/>
      <c r="I14" s="1557"/>
    </row>
    <row r="15" spans="1:12" ht="12.75">
      <c r="A15" s="3198"/>
      <c r="B15" s="3185"/>
      <c r="C15" s="3202"/>
      <c r="D15" s="3221"/>
      <c r="E15" s="136" t="s">
        <v>1968</v>
      </c>
      <c r="F15" s="1943"/>
      <c r="G15" s="1943"/>
      <c r="H15" s="1943"/>
      <c r="I15" s="1557"/>
    </row>
    <row r="16" spans="1:12" ht="12.75">
      <c r="A16" s="3198"/>
      <c r="B16" s="3185"/>
      <c r="C16" s="3203"/>
      <c r="D16" s="3221"/>
      <c r="E16" s="136" t="s">
        <v>1969</v>
      </c>
      <c r="F16" s="1943"/>
      <c r="G16" s="1943"/>
      <c r="H16" s="1943"/>
      <c r="I16" s="1557"/>
    </row>
    <row r="17" spans="1:36" ht="15">
      <c r="A17" s="1944" t="s">
        <v>1970</v>
      </c>
      <c r="B17" s="60"/>
      <c r="C17" s="137">
        <f>SUM(C5:C16)</f>
        <v>5</v>
      </c>
      <c r="D17" s="137">
        <f>SUM(D5:D16)</f>
        <v>5</v>
      </c>
      <c r="E17" s="134"/>
      <c r="F17" s="134"/>
      <c r="G17" s="134"/>
      <c r="H17" s="134"/>
      <c r="I17" s="134"/>
      <c r="K17" s="308"/>
      <c r="L17" s="308" t="s">
        <v>1971</v>
      </c>
      <c r="M17" s="308" t="s">
        <v>1972</v>
      </c>
    </row>
    <row r="18" spans="1:36" ht="31.9" customHeight="1" thickBot="1">
      <c r="A18" s="1945" t="s">
        <v>1973</v>
      </c>
      <c r="B18" s="1946"/>
      <c r="C18" s="138">
        <f>ROUND(C17/SUM(C17:D17),2)</f>
        <v>0.5</v>
      </c>
      <c r="D18" s="138">
        <f>1-C18</f>
        <v>0.5</v>
      </c>
      <c r="E18" s="3208" t="s">
        <v>2873</v>
      </c>
      <c r="F18" s="3209"/>
      <c r="G18" s="3209"/>
      <c r="H18" s="3209"/>
      <c r="I18" s="3209"/>
      <c r="K18" s="308" t="s">
        <v>1974</v>
      </c>
      <c r="L18" s="308">
        <f>IF(C1="",'数据-汇总表'!E3,SUMIF(项目类型,C1,'数据-汇总表'!E17:E26)+SUMIF(项目类型,C1,'数据-汇总表'!I17:I26))</f>
        <v>519.96</v>
      </c>
      <c r="M18" s="308">
        <f>IF(C1="",'数据-汇总表'!E3,SUMIF(项目类型,C1,'数据-汇总表'!E17:E26))</f>
        <v>519.96</v>
      </c>
    </row>
    <row r="19" spans="1:36" ht="15">
      <c r="A19" s="1947" t="s">
        <v>1975</v>
      </c>
      <c r="B19" s="1948" t="s">
        <v>1976</v>
      </c>
      <c r="C19" s="139">
        <f ca="1">SUMIF(INDIRECT("'"&amp;C4&amp;"'"&amp;"!A:A"),结果表!B19,INDIRECT("'"&amp;C4&amp;"'"&amp;"!B:B"))</f>
        <v>654</v>
      </c>
      <c r="D19" s="140">
        <f ca="1">SUMIF(INDIRECT("'"&amp;D4&amp;"'"&amp;"!A:A"),结果表!B19,INDIRECT("'"&amp;D4&amp;"'"&amp;"!B:B"))</f>
        <v>650</v>
      </c>
      <c r="E19" s="1947" t="s">
        <v>1977</v>
      </c>
      <c r="F19" s="1948" t="s">
        <v>1976</v>
      </c>
      <c r="G19" s="141">
        <f ca="1">ROUND(C19*$C$18+D19*$D$18,0)</f>
        <v>652</v>
      </c>
      <c r="H19" s="1949" t="s">
        <v>1978</v>
      </c>
      <c r="I19" s="134"/>
      <c r="K19" s="308" t="s">
        <v>1979</v>
      </c>
      <c r="L19" s="308">
        <f>IF(C1="",'数据-汇总表'!D3,SUMIF(项目类型,C1,'数据-汇总表'!D17:D26)+SUMIF(项目类型,C1,'数据-汇总表'!H17:H27))</f>
        <v>202.06</v>
      </c>
      <c r="M19" s="308">
        <f>IF(C1="",'数据-汇总表'!D3,SUMIF(项目类型,C1,'数据-汇总表'!D17:D26))</f>
        <v>202.06</v>
      </c>
    </row>
    <row r="20" spans="1:36" ht="15">
      <c r="A20" s="1950"/>
      <c r="B20" s="1157" t="s">
        <v>1980</v>
      </c>
      <c r="C20" s="142">
        <f ca="1">SUMIF(INDIRECT("'"&amp;C4&amp;"'"&amp;"!A:A"),结果表!B20,INDIRECT("'"&amp;C4&amp;"'"&amp;"!B:B"))</f>
        <v>12570</v>
      </c>
      <c r="D20" s="143">
        <f ca="1">SUMIF(INDIRECT("'"&amp;D4&amp;"'"&amp;"!A:A"),结果表!B20,INDIRECT("'"&amp;D4&amp;"'"&amp;"!B:B"))</f>
        <v>12501</v>
      </c>
      <c r="E20" s="1950"/>
      <c r="F20" s="1157" t="s">
        <v>1980</v>
      </c>
      <c r="G20" s="144">
        <f ca="1">ROUND(C20*$C$18+D20*$D$18,0)</f>
        <v>12536</v>
      </c>
      <c r="H20" s="917" t="s">
        <v>1981</v>
      </c>
      <c r="I20" s="134"/>
    </row>
    <row r="21" spans="1:36" ht="15" customHeight="1" thickBot="1">
      <c r="A21" s="937"/>
      <c r="B21" s="1951" t="s">
        <v>1982</v>
      </c>
      <c r="C21" s="728">
        <f ca="1">ROUND(C19*10000/L19,0)</f>
        <v>32367</v>
      </c>
      <c r="D21" s="729">
        <f ca="1">ROUND(D19*10000/L19,0)</f>
        <v>32169</v>
      </c>
      <c r="E21" s="937"/>
      <c r="F21" s="1951" t="s">
        <v>1982</v>
      </c>
      <c r="G21" s="145">
        <f ca="1">ROUND(G19*10000/L19,0)</f>
        <v>32268</v>
      </c>
      <c r="H21" s="1952" t="s">
        <v>1981</v>
      </c>
      <c r="I21" s="134"/>
    </row>
    <row r="22" spans="1:36" ht="15" thickBot="1">
      <c r="A22" s="1874" t="s">
        <v>1983</v>
      </c>
      <c r="B22" s="1953"/>
      <c r="C22" s="1954"/>
      <c r="D22" s="730">
        <f ca="1">IF(C19&lt;D19,D19/C19-1,C19/D19-1)</f>
        <v>6.1538461538461764E-3</v>
      </c>
      <c r="E22" s="134"/>
      <c r="F22" s="134"/>
      <c r="G22" s="134"/>
      <c r="H22" s="134"/>
      <c r="I22" s="134"/>
    </row>
    <row r="23" spans="1:36" ht="13.5" thickBot="1">
      <c r="A23" s="1933"/>
      <c r="B23" s="1933"/>
      <c r="C23" s="1933"/>
      <c r="D23" s="1933"/>
      <c r="E23" s="134"/>
      <c r="F23" s="134"/>
      <c r="G23" s="134"/>
      <c r="H23" s="134"/>
      <c r="I23" s="134"/>
    </row>
    <row r="24" spans="1:36" ht="14.25">
      <c r="A24" s="3192" t="s">
        <v>1984</v>
      </c>
      <c r="B24" s="1948" t="s">
        <v>1976</v>
      </c>
      <c r="C24" s="141">
        <f>IF(B30=0,0,D30)</f>
        <v>0</v>
      </c>
      <c r="D24" s="1955"/>
      <c r="E24" s="134"/>
      <c r="F24" s="134"/>
      <c r="G24" s="134"/>
      <c r="H24" s="134"/>
      <c r="I24" s="134"/>
    </row>
    <row r="25" spans="1:36" ht="14.25">
      <c r="A25" s="3193"/>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20" t="s">
        <v>2874</v>
      </c>
      <c r="F30" s="134"/>
      <c r="G30" s="134"/>
      <c r="H30" s="134"/>
      <c r="I30" s="134"/>
    </row>
    <row r="31" spans="1:36" s="2526" customFormat="1" ht="26.45" customHeight="1" thickTop="1" thickBot="1">
      <c r="A31" s="2521"/>
      <c r="B31" s="2522"/>
      <c r="C31" s="2522"/>
      <c r="D31" s="2522"/>
      <c r="E31" s="2522"/>
      <c r="F31" s="2522"/>
      <c r="G31" s="2522"/>
      <c r="H31" s="2522"/>
      <c r="I31" s="2523" t="s">
        <v>2875</v>
      </c>
      <c r="J31" s="2913"/>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9" t="s">
        <v>1990</v>
      </c>
      <c r="B32" s="1960"/>
      <c r="C32" s="149">
        <f ca="1">IF(D32="总价",G19-C24,G20-C25)</f>
        <v>652</v>
      </c>
      <c r="D32" s="1961" t="s">
        <v>10261</v>
      </c>
      <c r="E32" s="134"/>
      <c r="F32" s="134"/>
      <c r="G32" s="134"/>
      <c r="H32" s="134"/>
      <c r="I32" s="134"/>
    </row>
    <row r="33" spans="1:15" ht="15">
      <c r="A33" s="894" t="s">
        <v>1991</v>
      </c>
      <c r="B33" s="1962"/>
      <c r="C33" s="1963" t="s">
        <v>10262</v>
      </c>
      <c r="D33" s="1964" t="s">
        <v>10254</v>
      </c>
      <c r="E33" s="1965" t="s">
        <v>1992</v>
      </c>
      <c r="F33" s="1966" t="str">
        <f>IF(D32="楼面单价","取值（单价）","取值（总价）")</f>
        <v>取值（总价）</v>
      </c>
      <c r="G33" s="134"/>
      <c r="H33" s="134"/>
      <c r="I33" s="134"/>
    </row>
    <row r="34" spans="1:15" ht="15">
      <c r="A34" s="1967"/>
      <c r="B34" s="1968" t="s">
        <v>1993</v>
      </c>
      <c r="C34" s="153">
        <f ca="1">IF(C33="自定义",F34,C32-C35)</f>
        <v>-552</v>
      </c>
      <c r="D34" s="970">
        <f ca="1">IF(C33="自定义",ROUND(C34/C32,3),IF(C33="收益比率",SUMIF(INDIRECT("'"&amp;D33&amp;"'"&amp;"!b:b"),"土地收益比率",INDIRECT("'"&amp;D33&amp;"'"&amp;"!c:c")),SUMIF(INDIRECT("'"&amp;D33&amp;"'"&amp;"!b:b"),"土地成本比率",INDIRECT("'"&amp;D33&amp;"'"&amp;"!c:c"))))</f>
        <v>-0.84600000000000009</v>
      </c>
      <c r="E34" s="1969" t="s">
        <v>1994</v>
      </c>
      <c r="F34" s="1498"/>
      <c r="G34" s="134"/>
      <c r="H34" s="134"/>
      <c r="I34" s="134"/>
    </row>
    <row r="35" spans="1:15" ht="15.75" thickBot="1">
      <c r="A35" s="1970"/>
      <c r="B35" s="1971" t="s">
        <v>1995</v>
      </c>
      <c r="C35" s="1332">
        <f ca="1">IF(C33="自定义",F35,ROUND(C32*D35,0))</f>
        <v>1204</v>
      </c>
      <c r="D35" s="1333">
        <f ca="1">IF(C33="自定义",ROUND(C35/C32,3),IF(C33="收益比率",SUMIF(INDIRECT("'"&amp;D33&amp;"'"&amp;"!b:b"),"建筑物收益比率",INDIRECT("'"&amp;D33&amp;"'"&amp;"!c:c")),SUMIF(INDIRECT("'"&amp;D33&amp;"'"&amp;"!b:b"),"建筑物成本比率",INDIRECT("'"&amp;D33&amp;"'"&amp;"!c:c"))))</f>
        <v>1.8460000000000001</v>
      </c>
      <c r="E35" s="1972" t="s">
        <v>1996</v>
      </c>
      <c r="F35" s="159"/>
      <c r="G35" s="134"/>
      <c r="H35" s="134"/>
      <c r="I35" s="134"/>
    </row>
    <row r="36" spans="1:15" ht="15.75" thickBot="1">
      <c r="A36" s="3212" t="s">
        <v>1997</v>
      </c>
      <c r="B36" s="1973" t="s">
        <v>1998</v>
      </c>
      <c r="C36" s="150"/>
      <c r="D36" s="1974"/>
      <c r="E36" s="1975"/>
      <c r="F36" s="1976"/>
      <c r="G36" s="134"/>
      <c r="H36" s="134"/>
      <c r="I36" s="134"/>
    </row>
    <row r="37" spans="1:15" ht="15.75" thickBot="1">
      <c r="A37" s="3213"/>
      <c r="B37" s="1860" t="s">
        <v>1999</v>
      </c>
      <c r="C37" s="152"/>
      <c r="D37" s="1301"/>
      <c r="E37" s="1301"/>
      <c r="F37" s="1976"/>
      <c r="G37" s="134"/>
      <c r="H37" s="134"/>
      <c r="I37" s="134"/>
    </row>
    <row r="38" spans="1:15" ht="15.75" thickBot="1">
      <c r="A38" s="3214"/>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189" t="s">
        <v>2011</v>
      </c>
      <c r="B45" s="3190"/>
      <c r="C45" s="3191"/>
      <c r="D45" s="160">
        <f ca="1">ROUND(H101*F45,0)</f>
        <v>652</v>
      </c>
      <c r="E45" s="161" t="s">
        <v>2012</v>
      </c>
      <c r="F45" s="162">
        <v>1</v>
      </c>
      <c r="G45" s="163" t="s">
        <v>2013</v>
      </c>
      <c r="H45" s="134"/>
      <c r="I45" s="134"/>
      <c r="J45" s="3270" t="s">
        <v>2014</v>
      </c>
      <c r="K45" s="3270"/>
      <c r="L45" s="3270"/>
      <c r="M45" s="3270"/>
      <c r="N45" s="3270"/>
      <c r="O45" s="3270"/>
    </row>
    <row r="46" spans="1:15" ht="14.25" customHeight="1">
      <c r="A46" s="3186" t="s">
        <v>2015</v>
      </c>
      <c r="B46" s="3187"/>
      <c r="C46" s="3187"/>
      <c r="D46" s="3187"/>
      <c r="E46" s="3187"/>
      <c r="F46" s="3187"/>
      <c r="G46" s="3188"/>
      <c r="H46" s="1992"/>
      <c r="I46" s="164"/>
      <c r="J46" s="2745">
        <v>1</v>
      </c>
      <c r="K46" s="3251" t="s">
        <v>2016</v>
      </c>
      <c r="L46" s="3251"/>
      <c r="M46" s="3271"/>
      <c r="N46" s="3271"/>
      <c r="O46" s="3271"/>
    </row>
    <row r="47" spans="1:15" ht="12" customHeight="1">
      <c r="A47" s="165" t="s">
        <v>2017</v>
      </c>
      <c r="B47" s="166"/>
      <c r="C47" s="167"/>
      <c r="D47" s="1247" t="s">
        <v>2018</v>
      </c>
      <c r="E47" s="308" t="s">
        <v>2019</v>
      </c>
      <c r="F47" s="168" t="s">
        <v>2020</v>
      </c>
      <c r="G47" s="2768" t="s">
        <v>2021</v>
      </c>
      <c r="H47" s="2769"/>
      <c r="I47" s="164"/>
      <c r="J47" s="2745">
        <v>2</v>
      </c>
      <c r="K47" s="3251" t="s">
        <v>2022</v>
      </c>
      <c r="L47" s="3251"/>
      <c r="M47" s="3272">
        <f>'数据-取费表'!B2</f>
        <v>44523</v>
      </c>
      <c r="N47" s="3272"/>
      <c r="O47" s="3272"/>
    </row>
    <row r="48" spans="1:15" ht="25.5">
      <c r="A48" s="3217" t="s">
        <v>2023</v>
      </c>
      <c r="B48" s="3200"/>
      <c r="C48" s="3200"/>
      <c r="D48" s="2546" t="b">
        <f>IF(H48="情况1",0,IF(H48="情况2",D52,IF(H48="情况3",D53,IF(H48="情况4",D54))))</f>
        <v>0</v>
      </c>
      <c r="E48" s="2556" t="str">
        <f>IF(H48="情况4","(销售额-原购置价)×税（费）率","销售额×税（费）率")</f>
        <v>销售额×税（费）率</v>
      </c>
      <c r="F48" s="2770">
        <f>IF(H48="情况1","免征",'数据-取费表'!B41)</f>
        <v>5.6000000000000001E-2</v>
      </c>
      <c r="G48" s="2771" t="s">
        <v>2024</v>
      </c>
      <c r="H48" s="2772"/>
      <c r="I48" s="1992"/>
      <c r="J48" s="2745">
        <v>3</v>
      </c>
      <c r="K48" s="3251" t="s">
        <v>2025</v>
      </c>
      <c r="L48" s="3251"/>
      <c r="M48" s="3273">
        <f ca="1">H101</f>
        <v>652</v>
      </c>
      <c r="N48" s="3273"/>
      <c r="O48" s="3273"/>
    </row>
    <row r="49" spans="1:35" ht="25.5" customHeight="1">
      <c r="A49" s="2555" t="s">
        <v>2026</v>
      </c>
      <c r="B49" s="3184" t="s">
        <v>2027</v>
      </c>
      <c r="C49" s="3184"/>
      <c r="D49" s="1775">
        <v>0</v>
      </c>
      <c r="E49" s="330" t="s">
        <v>2028</v>
      </c>
      <c r="F49" s="2646" t="s">
        <v>34</v>
      </c>
      <c r="G49" s="3257"/>
      <c r="H49" s="2527" t="s">
        <v>2876</v>
      </c>
      <c r="I49" s="2528"/>
      <c r="J49" s="2745">
        <v>4</v>
      </c>
      <c r="K49" s="3251" t="str">
        <f>IF(项目基本情况!E8="房地产抵押价值","房地产抵押价值","抵押担保权已注销时的房地产抵押价值")</f>
        <v>抵押担保权已注销时的房地产抵押价值</v>
      </c>
      <c r="L49" s="3251"/>
      <c r="M49" s="3273" t="str">
        <f>IF(项目基本情况!E8="房地产抵押价值",H107,H109)</f>
        <v>——</v>
      </c>
      <c r="N49" s="3273"/>
      <c r="O49" s="3273"/>
    </row>
    <row r="50" spans="1:35" ht="25.5" customHeight="1">
      <c r="A50" s="2773"/>
      <c r="B50" s="3184" t="s">
        <v>2029</v>
      </c>
      <c r="C50" s="3184"/>
      <c r="D50" s="2774"/>
      <c r="E50" s="338"/>
      <c r="F50" s="2646"/>
      <c r="G50" s="3258"/>
      <c r="H50" s="2529" t="s">
        <v>2877</v>
      </c>
      <c r="I50" s="2528"/>
      <c r="J50" s="3270" t="s">
        <v>2030</v>
      </c>
      <c r="K50" s="3270"/>
      <c r="L50" s="3270"/>
      <c r="M50" s="3270"/>
      <c r="N50" s="3270"/>
      <c r="O50" s="3270"/>
    </row>
    <row r="51" spans="1:35" ht="20.45" customHeight="1">
      <c r="A51" s="2775"/>
      <c r="B51" s="3184" t="s">
        <v>2031</v>
      </c>
      <c r="C51" s="3184"/>
      <c r="D51" s="1247"/>
      <c r="E51" s="333"/>
      <c r="F51" s="2646"/>
      <c r="G51" s="3259"/>
      <c r="H51" s="2529" t="s">
        <v>2878</v>
      </c>
      <c r="I51" s="2528"/>
      <c r="J51" s="2746" t="s">
        <v>2032</v>
      </c>
      <c r="K51" s="3251" t="s">
        <v>2033</v>
      </c>
      <c r="L51" s="3251"/>
      <c r="M51" s="2746" t="s">
        <v>2034</v>
      </c>
      <c r="N51" s="2746" t="s">
        <v>2035</v>
      </c>
      <c r="O51" s="2746" t="s">
        <v>2036</v>
      </c>
    </row>
    <row r="52" spans="1:35" ht="24" customHeight="1">
      <c r="A52" s="2557" t="s">
        <v>2037</v>
      </c>
      <c r="B52" s="3184" t="s">
        <v>2038</v>
      </c>
      <c r="C52" s="3184"/>
      <c r="D52" s="1247">
        <f ca="1">ROUND(D45*'数据-取费表'!B41/(1+'数据-取费表'!C42),0)</f>
        <v>35</v>
      </c>
      <c r="E52" s="2556" t="s">
        <v>2039</v>
      </c>
      <c r="F52" s="2776">
        <f>'数据-取费表'!B41</f>
        <v>5.6000000000000001E-2</v>
      </c>
      <c r="G52" s="2777"/>
      <c r="H52" s="2766"/>
      <c r="I52" s="1993"/>
      <c r="J52" s="2745">
        <v>1</v>
      </c>
      <c r="K52" s="3252" t="s">
        <v>2040</v>
      </c>
      <c r="L52" s="3252"/>
      <c r="M52" s="2747" t="b">
        <f>D48</f>
        <v>0</v>
      </c>
      <c r="N52" s="2745" t="str">
        <f>E48</f>
        <v>销售额×税（费）率</v>
      </c>
      <c r="O52" s="2748">
        <f>F48</f>
        <v>5.6000000000000001E-2</v>
      </c>
    </row>
    <row r="53" spans="1:35" ht="12" customHeight="1">
      <c r="A53" s="2557" t="s">
        <v>2041</v>
      </c>
      <c r="B53" s="3210" t="s">
        <v>3035</v>
      </c>
      <c r="C53" s="3211"/>
      <c r="D53" s="1247">
        <f ca="1">ROUND(D45*'数据-取费表'!B41/(1+'数据-取费表'!C42),0)</f>
        <v>35</v>
      </c>
      <c r="E53" s="2556" t="s">
        <v>2039</v>
      </c>
      <c r="F53" s="2776">
        <f>'数据-取费表'!B41</f>
        <v>5.6000000000000001E-2</v>
      </c>
      <c r="G53" s="2777"/>
      <c r="H53" s="2766"/>
      <c r="I53" s="1993"/>
      <c r="J53" s="2745">
        <v>2</v>
      </c>
      <c r="K53" s="3252" t="s">
        <v>2042</v>
      </c>
      <c r="L53" s="3252"/>
      <c r="M53" s="2747">
        <f t="shared" ref="M53:O54" ca="1" si="0">D55</f>
        <v>0</v>
      </c>
      <c r="N53" s="2745" t="str">
        <f t="shared" si="0"/>
        <v>销售额×税（费）率</v>
      </c>
      <c r="O53" s="2748" t="str">
        <f t="shared" si="0"/>
        <v>免征</v>
      </c>
    </row>
    <row r="54" spans="1:35" ht="12" customHeight="1">
      <c r="A54" s="2557" t="s">
        <v>2043</v>
      </c>
      <c r="B54" s="3210" t="s">
        <v>3036</v>
      </c>
      <c r="C54" s="3211"/>
      <c r="D54" s="1247">
        <f ca="1">C68</f>
        <v>35</v>
      </c>
      <c r="E54" s="333" t="s">
        <v>2044</v>
      </c>
      <c r="F54" s="2776">
        <f>'数据-取费表'!B41</f>
        <v>5.6000000000000001E-2</v>
      </c>
      <c r="G54" s="2777"/>
      <c r="H54" s="2778"/>
      <c r="I54" s="1993"/>
      <c r="J54" s="2745">
        <v>3</v>
      </c>
      <c r="K54" s="3252" t="s">
        <v>2045</v>
      </c>
      <c r="L54" s="3252"/>
      <c r="M54" s="2747">
        <f t="shared" ca="1" si="0"/>
        <v>369</v>
      </c>
      <c r="N54" s="2745" t="str">
        <f t="shared" si="0"/>
        <v>增值额×税（费）率</v>
      </c>
      <c r="O54" s="2749" t="str">
        <f t="shared" si="0"/>
        <v>免征</v>
      </c>
    </row>
    <row r="55" spans="1:35" ht="24" customHeight="1">
      <c r="A55" s="3199" t="s">
        <v>2046</v>
      </c>
      <c r="B55" s="3200"/>
      <c r="C55" s="3200"/>
      <c r="D55" s="2546">
        <f ca="1">IF(H55="个人住宅",0,ROUND(D45*I55,0))</f>
        <v>0</v>
      </c>
      <c r="E55" s="2556" t="s">
        <v>2047</v>
      </c>
      <c r="F55" s="2776" t="str">
        <f>IF(H55="正常",I55,"免征")</f>
        <v>免征</v>
      </c>
      <c r="G55" s="2777"/>
      <c r="H55" s="2772"/>
      <c r="I55" s="170">
        <f>'数据-取费表'!B49</f>
        <v>5.0000000000000001E-4</v>
      </c>
      <c r="J55" s="2745">
        <f>IF(H59="非个人房产","",4)</f>
        <v>4</v>
      </c>
      <c r="K55" s="3252" t="str">
        <f>IF(H59="非个人房产","——","个人所得税")</f>
        <v>个人所得税</v>
      </c>
      <c r="L55" s="3252"/>
      <c r="M55" s="2750">
        <f ca="1">D59</f>
        <v>6</v>
      </c>
      <c r="N55" s="2227" t="str">
        <f>E59</f>
        <v>差额计税</v>
      </c>
      <c r="O55" s="2751">
        <f>F59</f>
        <v>0.01</v>
      </c>
    </row>
    <row r="56" spans="1:35" ht="24.75">
      <c r="A56" s="3199" t="s">
        <v>2048</v>
      </c>
      <c r="B56" s="3200"/>
      <c r="C56" s="3200"/>
      <c r="D56" s="2546">
        <f ca="1">IF(H56="个人住宅",D57,D58)</f>
        <v>369</v>
      </c>
      <c r="E56" s="2556" t="s">
        <v>2049</v>
      </c>
      <c r="F56" s="2776" t="str">
        <f>IF(H56="正常",F58,"免征")</f>
        <v>免征</v>
      </c>
      <c r="G56" s="2779" t="s">
        <v>2050</v>
      </c>
      <c r="H56" s="2780"/>
      <c r="I56" s="1994"/>
      <c r="J56" s="2745" t="str">
        <f>IF(项目基本情况!K6="上海银行",IF(J55="",4,J55+1),"")</f>
        <v/>
      </c>
      <c r="K56" s="3275" t="str">
        <f>IF(项目基本情况!K6="上海银行","其他处置费用","")</f>
        <v/>
      </c>
      <c r="L56" s="3276"/>
      <c r="M56" s="2747" t="str">
        <f>IF(项目基本情况!K6="上海银行",M69,"")</f>
        <v/>
      </c>
      <c r="N56" s="3275" t="str">
        <f>IF(项目基本情况!K6="上海银行","包含处置中涉及的律师、诉讼、拍卖、评估等费用","")</f>
        <v/>
      </c>
      <c r="O56" s="3278"/>
    </row>
    <row r="57" spans="1:35" ht="12.75">
      <c r="A57" s="2557" t="s">
        <v>2026</v>
      </c>
      <c r="B57" s="3210" t="s">
        <v>2051</v>
      </c>
      <c r="C57" s="3211"/>
      <c r="D57" s="1775">
        <v>0</v>
      </c>
      <c r="E57" s="330" t="s">
        <v>2028</v>
      </c>
      <c r="F57" s="308"/>
      <c r="G57" s="2777"/>
      <c r="H57" s="2781"/>
      <c r="I57" s="1994"/>
      <c r="J57" s="3252">
        <f>IF(AND(J55="",J56=""),4,IF(项目基本情况!K6="上海银行",结果表!J56+1,结果表!J55+1))</f>
        <v>5</v>
      </c>
      <c r="K57" s="3252" t="s">
        <v>2052</v>
      </c>
      <c r="L57" s="2752" t="s">
        <v>2053</v>
      </c>
      <c r="M57" s="2753"/>
      <c r="N57" s="2754">
        <f ca="1">SUMIF(M52:M56,"&lt;9e307")</f>
        <v>375</v>
      </c>
      <c r="O57" s="2755"/>
      <c r="P57" s="2914" t="e">
        <f ca="1">N57/M49</f>
        <v>#VALUE!</v>
      </c>
    </row>
    <row r="58" spans="1:35" ht="24.75">
      <c r="A58" s="2557" t="s">
        <v>2037</v>
      </c>
      <c r="B58" s="3210" t="s">
        <v>2054</v>
      </c>
      <c r="C58" s="3184"/>
      <c r="D58" s="2546">
        <f ca="1">IF(H58="转让取得",C81,C97)</f>
        <v>369</v>
      </c>
      <c r="E58" s="2556" t="s">
        <v>2049</v>
      </c>
      <c r="F58" s="308" t="s">
        <v>34</v>
      </c>
      <c r="G58" s="2777"/>
      <c r="H58" s="2780"/>
      <c r="I58" s="1994"/>
      <c r="J58" s="3252"/>
      <c r="K58" s="3252"/>
      <c r="L58" s="2752" t="s">
        <v>2055</v>
      </c>
      <c r="M58" s="2756"/>
      <c r="N58" s="2757" t="str">
        <f ca="1">NUMBERSTRING(INT(N57*10000),2)&amp;"元整"</f>
        <v>叁佰柒拾伍万元整</v>
      </c>
      <c r="O58" s="2758"/>
    </row>
    <row r="59" spans="1:35" ht="24.75" thickBot="1">
      <c r="A59" s="3255" t="s">
        <v>2056</v>
      </c>
      <c r="B59" s="3256"/>
      <c r="C59" s="3256"/>
      <c r="D59" s="2782">
        <f ca="1">IF(H59="非个人房产","——",IF(H59="个人住宅（满五唯一有凭证）",0,IF(H59="个人其他（无凭证）",ROUND(D45*F59,0),ROUND(C67*F59,0))))</f>
        <v>6</v>
      </c>
      <c r="E59" s="2783" t="str">
        <f>IF(H59="非个人房产","——",IF(H59="个人其他（无凭证）","销售额×税（费）率",IF(H59="个人住宅（满五唯一有凭证）","免征","差额计税")))</f>
        <v>差额计税</v>
      </c>
      <c r="F59" s="2784">
        <f>IF(OR(H59="非个人房产",H59="个人住宅（满五唯一有凭证）"),"——",IF(H59="个人其他（有凭证）",20%,1%))</f>
        <v>0.01</v>
      </c>
      <c r="G59" s="2785" t="s">
        <v>2050</v>
      </c>
      <c r="H59" s="2531"/>
      <c r="I59" s="2530" t="s">
        <v>2879</v>
      </c>
      <c r="J59" s="3253">
        <f>J57+1</f>
        <v>6</v>
      </c>
      <c r="K59" s="3252" t="s">
        <v>2057</v>
      </c>
      <c r="L59" s="2745" t="s">
        <v>2053</v>
      </c>
      <c r="M59" s="2759"/>
      <c r="N59" s="2760" t="e">
        <f ca="1">M49-N57</f>
        <v>#VALUE!</v>
      </c>
      <c r="O59" s="2761"/>
    </row>
    <row r="60" spans="1:35" ht="12" customHeight="1">
      <c r="A60" s="1995"/>
      <c r="B60" s="1933"/>
      <c r="C60" s="1933"/>
      <c r="D60" s="1933"/>
      <c r="E60" s="1763"/>
      <c r="F60" s="1994"/>
      <c r="G60" s="1994"/>
      <c r="H60" s="1996"/>
      <c r="I60" s="134"/>
      <c r="J60" s="3254"/>
      <c r="K60" s="3252"/>
      <c r="L60" s="2752" t="s">
        <v>2055</v>
      </c>
      <c r="M60" s="2756"/>
      <c r="N60" s="2757" t="e">
        <f ca="1">NUMBERSTRING(INT(N59*10000),2)&amp;"元整"</f>
        <v>#VALUE!</v>
      </c>
      <c r="O60" s="2758"/>
    </row>
    <row r="61" spans="1:35" ht="13.5" thickBot="1">
      <c r="A61" s="3197" t="s">
        <v>2058</v>
      </c>
      <c r="B61" s="3197"/>
      <c r="C61" s="3197"/>
      <c r="D61" s="3197"/>
      <c r="E61" s="3197"/>
      <c r="F61" s="1994"/>
      <c r="G61" s="1994"/>
      <c r="H61" s="1996"/>
      <c r="I61" s="134"/>
      <c r="J61" s="2745">
        <f>J59+1</f>
        <v>7</v>
      </c>
      <c r="K61" s="3252" t="s">
        <v>2059</v>
      </c>
      <c r="L61" s="3252"/>
      <c r="M61" s="2762"/>
      <c r="N61" s="2763" t="e">
        <f ca="1">ROUND(N59*10000/'数据-汇总表'!E3,0)</f>
        <v>#VALUE!</v>
      </c>
      <c r="O61" s="2764"/>
    </row>
    <row r="62" spans="1:35" ht="12.75">
      <c r="A62" s="3215" t="s">
        <v>2060</v>
      </c>
      <c r="B62" s="3216"/>
      <c r="C62" s="2208"/>
      <c r="D62" s="2208" t="s">
        <v>2061</v>
      </c>
      <c r="E62" s="171" t="s">
        <v>2062</v>
      </c>
      <c r="F62" s="1994"/>
      <c r="G62" s="1994"/>
      <c r="H62" s="1996"/>
      <c r="I62" s="134"/>
    </row>
    <row r="63" spans="1:35" ht="12.75">
      <c r="A63" s="178" t="s">
        <v>775</v>
      </c>
      <c r="B63" s="172" t="s">
        <v>2063</v>
      </c>
      <c r="C63" s="2786">
        <f ca="1">ROUND((C64+C65)/(1+'数据-取费表'!C42),0)</f>
        <v>621</v>
      </c>
      <c r="D63" s="172"/>
      <c r="E63" s="173"/>
      <c r="F63" s="1994"/>
      <c r="G63" s="1994"/>
      <c r="H63" s="1996"/>
      <c r="I63" s="134"/>
      <c r="J63" s="3277" t="s">
        <v>2064</v>
      </c>
      <c r="K63" s="1501" t="s">
        <v>2065</v>
      </c>
      <c r="L63" s="1501" t="e">
        <f>IF(M49&gt;10000,M49*0.5%,IF(AND(M49&gt;1000,M49&lt;=10000),M49*1%,IF(AND(M49&gt;100,M49&lt;=1000),M49*3%,IF(AND(M49&gt;10,M49&lt;=100),M49*5%,M49*8%))))</f>
        <v>#VALUE!</v>
      </c>
      <c r="M63" s="308" t="e">
        <f>ROUND(L63,1)</f>
        <v>#VALUE!</v>
      </c>
      <c r="N63" s="2765"/>
      <c r="Z63" s="1938"/>
      <c r="AI63" s="1939"/>
    </row>
    <row r="64" spans="1:35" ht="14.25" customHeight="1">
      <c r="A64" s="174" t="s">
        <v>770</v>
      </c>
      <c r="B64" s="175" t="s">
        <v>2066</v>
      </c>
      <c r="C64" s="2787">
        <f ca="1">D45</f>
        <v>652</v>
      </c>
      <c r="D64" s="175" t="s">
        <v>32</v>
      </c>
      <c r="E64" s="177"/>
      <c r="F64" s="1994"/>
      <c r="G64" s="1994"/>
      <c r="H64" s="1996"/>
      <c r="I64" s="134"/>
      <c r="J64" s="3277"/>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6" t="s">
        <v>2068</v>
      </c>
      <c r="Z64" s="1938"/>
      <c r="AI64" s="1939"/>
    </row>
    <row r="65" spans="1:35" ht="14.25" customHeight="1">
      <c r="A65" s="174" t="s">
        <v>771</v>
      </c>
      <c r="B65" s="175" t="s">
        <v>2069</v>
      </c>
      <c r="C65" s="2788"/>
      <c r="D65" s="175"/>
      <c r="E65" s="177"/>
      <c r="F65" s="1994"/>
      <c r="G65" s="1994"/>
      <c r="H65" s="1996"/>
      <c r="I65" s="134"/>
      <c r="J65" s="3277"/>
      <c r="K65" s="1501" t="s">
        <v>2070</v>
      </c>
      <c r="L65" s="1501" t="e">
        <f>IF(M49&gt;1000,M49*0.1%,IF(AND(M49&gt;500,M49&lt;=1000),M49*0.5%,IF(AND(M49&gt;50,M49&lt;=500),M49*1%,IF(AND(M49&gt;1,M49&lt;=50),M49*1.5%))))</f>
        <v>#VALUE!</v>
      </c>
      <c r="M65" s="308" t="e">
        <f t="shared" si="1"/>
        <v>#VALUE!</v>
      </c>
      <c r="N65" s="2766" t="s">
        <v>2068</v>
      </c>
      <c r="Z65" s="1938"/>
      <c r="AI65" s="1939"/>
    </row>
    <row r="66" spans="1:35" ht="14.25" customHeight="1">
      <c r="A66" s="178" t="s">
        <v>772</v>
      </c>
      <c r="B66" s="179" t="s">
        <v>2071</v>
      </c>
      <c r="C66" s="2789"/>
      <c r="D66" s="179" t="s">
        <v>32</v>
      </c>
      <c r="E66" s="1509" t="s">
        <v>1337</v>
      </c>
      <c r="F66" s="1994"/>
      <c r="G66" s="1994"/>
      <c r="H66" s="1996"/>
      <c r="I66" s="134"/>
      <c r="J66" s="3277"/>
      <c r="K66" s="1501" t="s">
        <v>2072</v>
      </c>
      <c r="L66" s="1501" t="e">
        <f>M49*0.5%</f>
        <v>#VALUE!</v>
      </c>
      <c r="M66" s="308" t="e">
        <f>IF(L66&gt;0.5,0.5,ROUND(L66,0))</f>
        <v>#VALUE!</v>
      </c>
      <c r="N66" s="2766" t="s">
        <v>2073</v>
      </c>
      <c r="Z66" s="1938"/>
      <c r="AI66" s="1939"/>
    </row>
    <row r="67" spans="1:35" ht="14.25" customHeight="1">
      <c r="A67" s="178" t="s">
        <v>773</v>
      </c>
      <c r="B67" s="179" t="s">
        <v>2074</v>
      </c>
      <c r="C67" s="2790">
        <f ca="1">C63-C66</f>
        <v>621</v>
      </c>
      <c r="D67" s="175" t="s">
        <v>32</v>
      </c>
      <c r="E67" s="177"/>
      <c r="F67" s="1994"/>
      <c r="G67" s="1994"/>
      <c r="H67" s="1996"/>
      <c r="I67" s="134"/>
      <c r="J67" s="3277"/>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5"/>
      <c r="Z67" s="1938"/>
      <c r="AI67" s="1939"/>
    </row>
    <row r="68" spans="1:35" ht="14.25" customHeight="1" thickBot="1">
      <c r="A68" s="181" t="s">
        <v>774</v>
      </c>
      <c r="B68" s="182" t="s">
        <v>2076</v>
      </c>
      <c r="C68" s="2791">
        <f ca="1">IF(C67&lt;=0,0,ROUND(C67*D68,0))</f>
        <v>35</v>
      </c>
      <c r="D68" s="2792">
        <f>'数据-取费表'!B41</f>
        <v>5.6000000000000001E-2</v>
      </c>
      <c r="E68" s="184"/>
      <c r="F68" s="1994"/>
      <c r="G68" s="1994"/>
      <c r="H68" s="1996"/>
      <c r="I68" s="134"/>
      <c r="J68" s="3277"/>
      <c r="K68" s="1501" t="s">
        <v>2077</v>
      </c>
      <c r="L68" s="1501" t="e">
        <f>IF(M49&gt;10000,M49*0.5%,IF(AND(M49&gt;5000,M49&lt;=10000),M49*1%,IF(AND(M49&gt;1000,M49&lt;=5000),M49*2%,IF(AND(M49&gt;200,M49&lt;=1000),M49*3%,M49*5%))))</f>
        <v>#VALUE!</v>
      </c>
      <c r="M68" s="308" t="e">
        <f>ROUND(L68,1)</f>
        <v>#VALUE!</v>
      </c>
      <c r="N68" s="2765"/>
      <c r="Z68" s="1938"/>
      <c r="AI68" s="1939"/>
    </row>
    <row r="69" spans="1:35" s="1958" customFormat="1" ht="16.5" customHeight="1">
      <c r="A69" s="1997"/>
      <c r="B69" s="1998"/>
      <c r="C69" s="1999"/>
      <c r="D69" s="2000"/>
      <c r="E69" s="2001"/>
      <c r="F69" s="1763"/>
      <c r="G69" s="1763"/>
      <c r="H69" s="1762"/>
      <c r="I69" s="1933"/>
      <c r="J69" s="3277"/>
      <c r="K69" s="1501" t="s">
        <v>2078</v>
      </c>
      <c r="L69" s="1501"/>
      <c r="M69" s="308" t="e">
        <f>ROUND(SUM(M63:M68),0)</f>
        <v>#VALUE!</v>
      </c>
      <c r="N69" s="2767"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36" t="s">
        <v>2079</v>
      </c>
      <c r="B70" s="3237"/>
      <c r="C70" s="3237"/>
      <c r="D70" s="3237"/>
      <c r="E70" s="3237"/>
      <c r="F70" s="3237"/>
      <c r="G70" s="3237"/>
      <c r="H70" s="3237"/>
      <c r="I70" s="2002"/>
      <c r="J70" s="2915"/>
      <c r="K70" s="2915"/>
      <c r="L70" s="2915"/>
      <c r="M70" s="2915"/>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15" t="s">
        <v>2060</v>
      </c>
      <c r="B71" s="3216"/>
      <c r="C71" s="2208"/>
      <c r="D71" s="2208" t="s">
        <v>2061</v>
      </c>
      <c r="E71" s="185" t="s">
        <v>2062</v>
      </c>
      <c r="F71" s="186"/>
      <c r="G71" s="186"/>
      <c r="H71" s="187"/>
      <c r="I71" s="2006"/>
      <c r="J71" s="2915"/>
      <c r="K71" s="2915"/>
      <c r="L71" s="2915"/>
      <c r="M71" s="2915"/>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90">
        <f ca="1">ROUND(D45/(1+'数据-取费表'!C42),0)</f>
        <v>621</v>
      </c>
      <c r="D72" s="175" t="s">
        <v>32</v>
      </c>
      <c r="E72" s="2553"/>
      <c r="F72" s="2552"/>
      <c r="G72" s="2552"/>
      <c r="H72" s="188"/>
      <c r="I72" s="2006"/>
      <c r="J72" s="2915"/>
      <c r="K72" s="2915"/>
      <c r="L72" s="2915"/>
      <c r="M72" s="2915"/>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90">
        <f ca="1">C74+C78</f>
        <v>4</v>
      </c>
      <c r="D73" s="175" t="s">
        <v>32</v>
      </c>
      <c r="E73" s="2553"/>
      <c r="F73" s="2552"/>
      <c r="G73" s="2552"/>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53"/>
      <c r="F74" s="2552"/>
      <c r="G74" s="2552"/>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93"/>
      <c r="D75" s="175" t="s">
        <v>32</v>
      </c>
      <c r="E75" s="190" t="s">
        <v>2084</v>
      </c>
      <c r="F75" s="2794"/>
      <c r="G75" s="190" t="s">
        <v>2085</v>
      </c>
      <c r="H75" s="2795"/>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96">
        <v>0.05</v>
      </c>
      <c r="E76" s="3210" t="s">
        <v>2087</v>
      </c>
      <c r="F76" s="3184"/>
      <c r="G76" s="3184"/>
      <c r="H76" s="323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797">
        <f>'数据-取费表'!B48+'数据-取费表'!B49</f>
        <v>3.0499999999999999E-2</v>
      </c>
      <c r="E77" s="2546" t="s">
        <v>2089</v>
      </c>
      <c r="F77" s="192"/>
      <c r="G77" s="2008"/>
      <c r="H77" s="2554"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798">
        <f ca="1">ROUND(D45*D78/(1+'数据-取费表'!C42),0)</f>
        <v>4</v>
      </c>
      <c r="D78" s="2799">
        <f>'数据-取费表'!B43</f>
        <v>6.000000000000001E-3</v>
      </c>
      <c r="E78" s="3194" t="s">
        <v>2091</v>
      </c>
      <c r="F78" s="3195"/>
      <c r="G78" s="3195"/>
      <c r="H78" s="3204"/>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90">
        <f ca="1">C72-C73</f>
        <v>617</v>
      </c>
      <c r="D79" s="175" t="s">
        <v>32</v>
      </c>
      <c r="E79" s="2553"/>
      <c r="F79" s="2552"/>
      <c r="G79" s="2552"/>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800">
        <f ca="1">IF(C79&lt;=0,0,C79/C73)</f>
        <v>154.25</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801">
        <f ca="1">ROUND(IF(C79&lt;=0,0,IF(C80&gt;=200%,C79*60%-C73*35%,IF(C80&gt;=100%,C79*50%-C73*15%,IF(C80&gt;=50%,C79*40%-C73*5%,IF(C80&lt;50%,C79*30%,0))))),0)</f>
        <v>369</v>
      </c>
      <c r="D81" s="280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36" t="s">
        <v>2095</v>
      </c>
      <c r="B83" s="3237"/>
      <c r="C83" s="3237"/>
      <c r="D83" s="3237"/>
      <c r="E83" s="3237"/>
      <c r="F83" s="3237"/>
      <c r="G83" s="3237"/>
      <c r="H83" s="323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15" t="s">
        <v>2060</v>
      </c>
      <c r="B84" s="3216"/>
      <c r="C84" s="2208"/>
      <c r="D84" s="2208"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90">
        <f ca="1">ROUND(D45/(1+'数据-取费表'!C42),0)</f>
        <v>621</v>
      </c>
      <c r="D85" s="175" t="s">
        <v>32</v>
      </c>
      <c r="E85" s="2553"/>
      <c r="F85" s="2552"/>
      <c r="G85" s="2552"/>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90">
        <f ca="1">IF(H88="仅含出让金",C87+C90+C91+C92+C93+C94,C87+C91+C92+C93+C94)</f>
        <v>4</v>
      </c>
      <c r="D86" s="2803"/>
      <c r="E86" s="2553"/>
      <c r="F86" s="2552"/>
      <c r="G86" s="2552"/>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798">
        <f>C88+C89</f>
        <v>0</v>
      </c>
      <c r="D87" s="2799"/>
      <c r="E87" s="2548"/>
      <c r="F87" s="2549"/>
      <c r="G87" s="2549"/>
      <c r="H87" s="2550"/>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804"/>
      <c r="D88" s="2799"/>
      <c r="E88" s="199" t="s">
        <v>2098</v>
      </c>
      <c r="F88" s="2549"/>
      <c r="G88" s="200" t="s">
        <v>2099</v>
      </c>
      <c r="H88" s="2010"/>
      <c r="I88" s="2007"/>
      <c r="J88" s="2743" t="s">
        <v>3032</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798">
        <f>ROUND(C88*D89,0)</f>
        <v>0</v>
      </c>
      <c r="D89" s="2799">
        <f>'数据-取费表'!B48+'数据-取费表'!B49</f>
        <v>3.0499999999999999E-2</v>
      </c>
      <c r="E89" s="199" t="s">
        <v>2100</v>
      </c>
      <c r="F89" s="2549"/>
      <c r="G89" s="2549"/>
      <c r="H89" s="2550"/>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804"/>
      <c r="D90" s="2799"/>
      <c r="E90" s="199" t="str">
        <f>IF(H88="-","土地取得成本中已包含该笔费用"," ")</f>
        <v xml:space="preserve"> </v>
      </c>
      <c r="F90" s="2549"/>
      <c r="G90" s="3279" t="s">
        <v>2871</v>
      </c>
      <c r="H90" s="3280"/>
      <c r="I90" s="2007"/>
      <c r="J90" s="2743" t="s">
        <v>3033</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798">
        <f>IF(H91="——",成本法!C33,I91)</f>
        <v>0</v>
      </c>
      <c r="D91" s="2799"/>
      <c r="E91" s="3194" t="s">
        <v>2104</v>
      </c>
      <c r="F91" s="3195"/>
      <c r="G91" s="3195"/>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798">
        <f>ROUND((C87+C90+C91)*D92,0)</f>
        <v>0</v>
      </c>
      <c r="D92" s="2805"/>
      <c r="E92" s="3194" t="s">
        <v>2107</v>
      </c>
      <c r="F92" s="3195"/>
      <c r="G92" s="3195"/>
      <c r="H92" s="3204"/>
      <c r="I92" s="2007"/>
      <c r="J92" s="2744" t="s">
        <v>3034</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798">
        <f ca="1">ROUND(D45*D93/(1+'数据-取费表'!C42),0)</f>
        <v>4</v>
      </c>
      <c r="D93" s="2799">
        <f>'数据-取费表'!B43</f>
        <v>6.000000000000001E-3</v>
      </c>
      <c r="E93" s="3194" t="s">
        <v>2091</v>
      </c>
      <c r="F93" s="3195"/>
      <c r="G93" s="3195"/>
      <c r="H93" s="3204"/>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4">
        <f>ROUND((C87+C90+C91)*D94,0)</f>
        <v>0</v>
      </c>
      <c r="D94" s="2799">
        <v>0.2</v>
      </c>
      <c r="E94" s="3205" t="s">
        <v>2111</v>
      </c>
      <c r="F94" s="3206"/>
      <c r="G94" s="3206"/>
      <c r="H94" s="3207"/>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90">
        <f ca="1">ROUND(C85-C86,0)</f>
        <v>617</v>
      </c>
      <c r="D95" s="175" t="s">
        <v>32</v>
      </c>
      <c r="E95" s="2553"/>
      <c r="F95" s="2552"/>
      <c r="G95" s="2552"/>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800">
        <f ca="1">IF(C95&lt;=0,0,C95/C86)</f>
        <v>154.25</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801">
        <f ca="1">ROUND(IF(C95&lt;=0,0,IF(C96&gt;=200%,C95*60%-C86*35%,IF(C96&gt;=100%,C95*50%-C86*15%,IF(C96&gt;=50%,C95*40%-C86*5%,IF(C96&lt;50%,C95*30%,0))))),0)</f>
        <v>369</v>
      </c>
      <c r="D97" s="280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178" t="s">
        <v>2113</v>
      </c>
      <c r="B100" s="3179"/>
      <c r="C100" s="3179"/>
      <c r="D100" s="3196"/>
      <c r="E100" s="3179" t="s">
        <v>2114</v>
      </c>
      <c r="F100" s="3179"/>
      <c r="G100" s="3179"/>
      <c r="H100" s="3196"/>
      <c r="I100" s="134"/>
    </row>
    <row r="101" spans="1:35" ht="18.75" customHeight="1">
      <c r="A101" s="3260" t="s">
        <v>2115</v>
      </c>
      <c r="B101" s="3261"/>
      <c r="C101" s="2807" t="str">
        <f>C4</f>
        <v>比较法-住宅</v>
      </c>
      <c r="D101" s="2808" t="str">
        <f>D4</f>
        <v>成本法</v>
      </c>
      <c r="E101" s="3274" t="s">
        <v>2116</v>
      </c>
      <c r="F101" s="3228"/>
      <c r="G101" s="2013" t="s">
        <v>2117</v>
      </c>
      <c r="H101" s="2817">
        <f ca="1">H118</f>
        <v>652</v>
      </c>
      <c r="I101" s="134"/>
    </row>
    <row r="102" spans="1:35" ht="18.75" customHeight="1">
      <c r="A102" s="3230" t="s">
        <v>2118</v>
      </c>
      <c r="B102" s="2806" t="s">
        <v>2117</v>
      </c>
      <c r="C102" s="2807">
        <f ca="1">C19</f>
        <v>654</v>
      </c>
      <c r="D102" s="2808">
        <f ca="1">D19</f>
        <v>650</v>
      </c>
      <c r="E102" s="3274"/>
      <c r="F102" s="3228"/>
      <c r="G102" s="2013" t="s">
        <v>2119</v>
      </c>
      <c r="H102" s="2777">
        <f ca="1">I118</f>
        <v>12539</v>
      </c>
      <c r="I102" s="134"/>
    </row>
    <row r="103" spans="1:35" ht="42.75" customHeight="1">
      <c r="A103" s="3230"/>
      <c r="B103" s="2806" t="s">
        <v>2119</v>
      </c>
      <c r="C103" s="2809">
        <f ca="1">C20</f>
        <v>12570</v>
      </c>
      <c r="D103" s="2810">
        <f ca="1">D20</f>
        <v>12501</v>
      </c>
      <c r="E103" s="3268" t="s">
        <v>2120</v>
      </c>
      <c r="F103" s="3269"/>
      <c r="G103" s="2014" t="s">
        <v>2121</v>
      </c>
      <c r="H103" s="2817">
        <f>IF(D36="正常操作",H104+H105+H106,H105+H106)</f>
        <v>0</v>
      </c>
      <c r="I103" s="134"/>
    </row>
    <row r="104" spans="1:35" ht="18.75" customHeight="1">
      <c r="A104" s="3230" t="s">
        <v>2122</v>
      </c>
      <c r="B104" s="2811" t="s">
        <v>2117</v>
      </c>
      <c r="C104" s="2812">
        <f ca="1">H118</f>
        <v>652</v>
      </c>
      <c r="D104" s="2813"/>
      <c r="E104" s="1860" t="s">
        <v>2123</v>
      </c>
      <c r="F104" s="1851"/>
      <c r="G104" s="2014" t="s">
        <v>2121</v>
      </c>
      <c r="H104" s="2818">
        <f>IF(D36="同一抵押权人同一抵押物续贷",C36&amp;"（续贷，未扣减，详见特别提示）",C36)</f>
        <v>0</v>
      </c>
      <c r="I104" s="134"/>
    </row>
    <row r="105" spans="1:35" ht="18.75" customHeight="1" thickBot="1">
      <c r="A105" s="3231"/>
      <c r="B105" s="2814" t="s">
        <v>2119</v>
      </c>
      <c r="C105" s="2815">
        <f ca="1">I118</f>
        <v>12539</v>
      </c>
      <c r="D105" s="2816"/>
      <c r="E105" s="1860" t="s">
        <v>2124</v>
      </c>
      <c r="F105" s="1851"/>
      <c r="G105" s="2014" t="s">
        <v>2121</v>
      </c>
      <c r="H105" s="2819">
        <f>C37</f>
        <v>0</v>
      </c>
      <c r="I105" s="134"/>
    </row>
    <row r="106" spans="1:35" ht="18.75" customHeight="1">
      <c r="A106" s="1933" t="s">
        <v>2125</v>
      </c>
      <c r="B106" s="1933"/>
      <c r="C106" s="1933"/>
      <c r="D106" s="1933"/>
      <c r="E106" s="2015" t="s">
        <v>2126</v>
      </c>
      <c r="F106" s="1851"/>
      <c r="G106" s="2014" t="s">
        <v>2121</v>
      </c>
      <c r="H106" s="2819">
        <f>C38</f>
        <v>0</v>
      </c>
      <c r="I106" s="134"/>
    </row>
    <row r="107" spans="1:35" ht="18.75" customHeight="1">
      <c r="A107" s="134"/>
      <c r="B107" s="134"/>
      <c r="C107" s="134"/>
      <c r="D107" s="134"/>
      <c r="E107" s="3227" t="str">
        <f>IF(项目基本情况!E8="已注销","——","3.房地产抵押价值")</f>
        <v>3.房地产抵押价值</v>
      </c>
      <c r="F107" s="3228"/>
      <c r="G107" s="2013" t="s">
        <v>2117</v>
      </c>
      <c r="H107" s="2817">
        <f ca="1">IF(E107="——","——",H101-H103)</f>
        <v>652</v>
      </c>
      <c r="I107" s="134"/>
    </row>
    <row r="108" spans="1:35" ht="18.75" customHeight="1">
      <c r="A108" s="134"/>
      <c r="B108" s="134"/>
      <c r="C108" s="134"/>
      <c r="D108" s="134"/>
      <c r="E108" s="3227"/>
      <c r="F108" s="3228"/>
      <c r="G108" s="2013" t="s">
        <v>2119</v>
      </c>
      <c r="H108" s="2777">
        <f ca="1">ROUND(H107*10000/'数据-汇总表'!E3,0)</f>
        <v>12539</v>
      </c>
      <c r="I108" s="134"/>
    </row>
    <row r="109" spans="1:35" ht="18.75" customHeight="1">
      <c r="A109" s="134"/>
      <c r="B109" s="134"/>
      <c r="C109" s="134"/>
      <c r="D109" s="134"/>
      <c r="E109" s="3227" t="str">
        <f>IF(项目基本情况!E8="已注销及未注销","4.抵押担保权已注销时的房地产抵押价值",IF(项目基本情况!E8="已注销","3.抵押担保权已注销时的房地产抵押价值","——"))</f>
        <v>——</v>
      </c>
      <c r="F109" s="3228"/>
      <c r="G109" s="2013" t="s">
        <v>2117</v>
      </c>
      <c r="H109" s="2820" t="str">
        <f>IF(E109="——","——",H101-H105-H106)</f>
        <v>——</v>
      </c>
      <c r="I109" s="134"/>
    </row>
    <row r="110" spans="1:35" ht="18.75" customHeight="1">
      <c r="A110" s="134"/>
      <c r="B110" s="134"/>
      <c r="C110" s="134"/>
      <c r="D110" s="134"/>
      <c r="E110" s="3227"/>
      <c r="F110" s="3228"/>
      <c r="G110" s="2013" t="s">
        <v>2119</v>
      </c>
      <c r="H110" s="2777" t="str">
        <f>IF(H109="——","——",ROUND(H109*10000/'数据-汇总表'!E3,0))</f>
        <v>——</v>
      </c>
      <c r="I110" s="134"/>
    </row>
    <row r="111" spans="1:35" ht="18.75" customHeight="1">
      <c r="A111" s="134"/>
      <c r="B111" s="134"/>
      <c r="C111" s="134"/>
      <c r="D111" s="134"/>
      <c r="E111" s="3262" t="str">
        <f>IF(项目基本情况!E9="抵押净值",IF(OR(项目基本情况!E8="已注销",项目基本情况!E8="房地产抵押价值"),"4.抵押净值","5.抵押净值"),"——")</f>
        <v>——</v>
      </c>
      <c r="F111" s="3229"/>
      <c r="G111" s="2013" t="s">
        <v>2117</v>
      </c>
      <c r="H111" s="2817" t="str">
        <f>IF(E111="——","——",N59)</f>
        <v>——</v>
      </c>
      <c r="I111" s="134"/>
    </row>
    <row r="112" spans="1:35" ht="18.75" customHeight="1" thickBot="1">
      <c r="A112" s="134"/>
      <c r="B112" s="134"/>
      <c r="C112" s="134"/>
      <c r="D112" s="134"/>
      <c r="E112" s="3263"/>
      <c r="F112" s="3264"/>
      <c r="G112" s="2016" t="s">
        <v>2119</v>
      </c>
      <c r="H112" s="2821" t="str">
        <f>IF(E111="——","——",N61)</f>
        <v>——</v>
      </c>
      <c r="I112" s="134"/>
    </row>
    <row r="113" spans="1:27" ht="18.75" customHeight="1">
      <c r="A113" s="134"/>
      <c r="B113" s="134"/>
      <c r="C113" s="134"/>
      <c r="D113" s="134"/>
      <c r="E113" s="3232" t="s">
        <v>2125</v>
      </c>
      <c r="F113" s="3232"/>
      <c r="G113" s="3232"/>
      <c r="H113" s="3232"/>
      <c r="I113" s="134"/>
    </row>
    <row r="114" spans="1:27" ht="3.75" customHeight="1">
      <c r="A114" s="1933"/>
      <c r="B114" s="1933"/>
      <c r="C114" s="1933"/>
      <c r="D114" s="1933"/>
      <c r="E114" s="1995"/>
      <c r="F114" s="1995"/>
      <c r="G114" s="1995"/>
      <c r="H114" s="1995"/>
      <c r="I114" s="1933"/>
    </row>
    <row r="115" spans="1:27" ht="18.75" customHeight="1">
      <c r="A115" s="3245" t="s">
        <v>2127</v>
      </c>
      <c r="B115" s="3246"/>
      <c r="C115" s="3246"/>
      <c r="D115" s="3246"/>
      <c r="E115" s="3246"/>
      <c r="F115" s="3246"/>
      <c r="G115" s="3246"/>
      <c r="H115" s="3246"/>
      <c r="I115" s="3247"/>
    </row>
    <row r="116" spans="1:27" ht="27" customHeight="1">
      <c r="A116" s="3198" t="s">
        <v>2128</v>
      </c>
      <c r="B116" s="3233" t="s">
        <v>2129</v>
      </c>
      <c r="C116" s="3233" t="s">
        <v>2130</v>
      </c>
      <c r="D116" s="3249" t="s">
        <v>2131</v>
      </c>
      <c r="E116" s="3250"/>
      <c r="F116" s="3241" t="s">
        <v>2132</v>
      </c>
      <c r="G116" s="3241"/>
      <c r="H116" s="3198" t="s">
        <v>2133</v>
      </c>
      <c r="I116" s="3198"/>
    </row>
    <row r="117" spans="1:27" ht="18.75" customHeight="1">
      <c r="A117" s="3198"/>
      <c r="B117" s="3234"/>
      <c r="C117" s="3234"/>
      <c r="D117" s="2551" t="s">
        <v>2134</v>
      </c>
      <c r="E117" s="2551" t="s">
        <v>2135</v>
      </c>
      <c r="F117" s="2551" t="s">
        <v>2134</v>
      </c>
      <c r="G117" s="2551" t="s">
        <v>2136</v>
      </c>
      <c r="H117" s="2551" t="s">
        <v>2134</v>
      </c>
      <c r="I117" s="2551" t="s">
        <v>2136</v>
      </c>
    </row>
    <row r="118" spans="1:27" ht="24.75" customHeight="1">
      <c r="A118" s="2822" t="str">
        <f>项目基本情况!S2</f>
        <v>江苏省扬州市广陵区沙湾南路东侧、许庄路西侧（不动产单元号：321002006003GB00058W00000000）5套住宅用房房地产</v>
      </c>
      <c r="B118" s="2551">
        <f>M18</f>
        <v>519.96</v>
      </c>
      <c r="C118" s="2551">
        <f>M19</f>
        <v>202.06</v>
      </c>
      <c r="D118" s="2551">
        <f ca="1">ROUND(IF(D32="总价",C34,E118*B118/10000),0)</f>
        <v>-552</v>
      </c>
      <c r="E118" s="2551">
        <f ca="1">ROUND(IF(C33="自定义",IF(D32="楼面单价",C34,D118*10000/B118),I118-G118),0)</f>
        <v>-10617</v>
      </c>
      <c r="F118" s="2551">
        <f ca="1">ROUND(IF(D32="总价",C35,G118*B118/10000),0)</f>
        <v>1204</v>
      </c>
      <c r="G118" s="2551">
        <f ca="1">ROUND(IF(D32="楼面单价",C35,F118*10000/B118),0)</f>
        <v>23156</v>
      </c>
      <c r="H118" s="2551">
        <f ca="1">ROUND(IF(D32="总价",C32,I118*B118/10000),0)</f>
        <v>652</v>
      </c>
      <c r="I118" s="2551">
        <f ca="1">ROUND(IF(D32="楼面单价",C32,H118*10000/B118),0)</f>
        <v>12539</v>
      </c>
    </row>
    <row r="119" spans="1:27" ht="18.75" customHeight="1">
      <c r="A119" s="3198" t="s">
        <v>2137</v>
      </c>
      <c r="B119" s="3198"/>
      <c r="C119" s="3198"/>
      <c r="D119" s="3238" t="e">
        <f ca="1">NUMBERSTRING(INT(D118*10000),2)&amp;"元整"</f>
        <v>#NUM!</v>
      </c>
      <c r="E119" s="3240"/>
      <c r="F119" s="3238" t="str">
        <f ca="1">NUMBERSTRING(INT(F118*10000),2)&amp;"元整"</f>
        <v>壹仟贰佰零肆万元整</v>
      </c>
      <c r="G119" s="3240"/>
      <c r="H119" s="3238" t="str">
        <f ca="1">NUMBERSTRING(INT(H118*10000),2)&amp;"元整"</f>
        <v>陆佰伍拾贰万元整</v>
      </c>
      <c r="I119" s="3240"/>
    </row>
    <row r="120" spans="1:27" ht="18.75" customHeight="1">
      <c r="A120" s="3265" t="str">
        <f>IF(项目基本情况!B9="房地产市场价值","",MID(E103,3,LEN(E103)-2))</f>
        <v/>
      </c>
      <c r="B120" s="3266"/>
      <c r="C120" s="3267"/>
      <c r="D120" s="3265">
        <f>H103</f>
        <v>0</v>
      </c>
      <c r="E120" s="3266"/>
      <c r="F120" s="3266"/>
      <c r="G120" s="3266"/>
      <c r="H120" s="3266"/>
      <c r="I120" s="3267"/>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242" t="s">
        <v>2137</v>
      </c>
      <c r="B121" s="3243"/>
      <c r="C121" s="3244"/>
      <c r="D121" s="3238" t="str">
        <f>IF(D120=0,"零元整",NUMBERSTRING(INT(D120*10000),2)&amp;"元整")</f>
        <v>零元整</v>
      </c>
      <c r="E121" s="3239"/>
      <c r="F121" s="3239"/>
      <c r="G121" s="3239"/>
      <c r="H121" s="3239"/>
      <c r="I121" s="3240"/>
      <c r="AA121" s="734"/>
    </row>
    <row r="122" spans="1:27" ht="18.75" customHeight="1">
      <c r="A122" s="3229" t="str">
        <f>IF(项目基本情况!B9="房地产市场价值","",MID(E107,3,LEN(E107)-2))</f>
        <v/>
      </c>
      <c r="B122" s="3229"/>
      <c r="C122" s="3229"/>
      <c r="D122" s="3265">
        <f ca="1">H107</f>
        <v>652</v>
      </c>
      <c r="E122" s="3266"/>
      <c r="F122" s="3266"/>
      <c r="G122" s="3266"/>
      <c r="H122" s="3266"/>
      <c r="I122" s="3267"/>
      <c r="AA122" s="734"/>
    </row>
    <row r="123" spans="1:27" ht="18.75" customHeight="1">
      <c r="A123" s="3198" t="s">
        <v>2137</v>
      </c>
      <c r="B123" s="3198"/>
      <c r="C123" s="3198"/>
      <c r="D123" s="3238" t="str">
        <f ca="1">NUMBERSTRING(INT(D122*10000),2)&amp;"元整"</f>
        <v>陆佰伍拾贰万元整</v>
      </c>
      <c r="E123" s="3239"/>
      <c r="F123" s="3239"/>
      <c r="G123" s="3239"/>
      <c r="H123" s="3239"/>
      <c r="I123" s="3240"/>
      <c r="AA123" s="734"/>
    </row>
    <row r="124" spans="1:27" ht="18.75" customHeight="1">
      <c r="A124" s="3229" t="str">
        <f>IF(项目基本情况!B9="房地产市场价值","",MID(E109,3,LEN(E109)-2))</f>
        <v/>
      </c>
      <c r="B124" s="3229"/>
      <c r="C124" s="3229"/>
      <c r="D124" s="3265" t="str">
        <f>H109</f>
        <v>——</v>
      </c>
      <c r="E124" s="3266"/>
      <c r="F124" s="3266"/>
      <c r="G124" s="3266"/>
      <c r="H124" s="3266"/>
      <c r="I124" s="3267"/>
      <c r="AA124" s="734"/>
    </row>
    <row r="125" spans="1:27" ht="18.75" customHeight="1">
      <c r="A125" s="3198" t="s">
        <v>2137</v>
      </c>
      <c r="B125" s="3198"/>
      <c r="C125" s="3198"/>
      <c r="D125" s="3238" t="e">
        <f>NUMBERSTRING(INT(D124*10000),2)&amp;"元整"</f>
        <v>#VALUE!</v>
      </c>
      <c r="E125" s="3239"/>
      <c r="F125" s="3239"/>
      <c r="G125" s="3239"/>
      <c r="H125" s="3239"/>
      <c r="I125" s="3240"/>
      <c r="AA125" s="734"/>
    </row>
    <row r="126" spans="1:27" ht="18.75" customHeight="1">
      <c r="A126" s="3229" t="str">
        <f>IF(项目基本情况!B9="房地产市场价值","",MID(E111,3,LEN(E111)-2))</f>
        <v/>
      </c>
      <c r="B126" s="3229"/>
      <c r="C126" s="3229"/>
      <c r="D126" s="3265" t="str">
        <f>H111</f>
        <v>——</v>
      </c>
      <c r="E126" s="3266"/>
      <c r="F126" s="3266"/>
      <c r="G126" s="3266"/>
      <c r="H126" s="3266"/>
      <c r="I126" s="3267"/>
      <c r="AA126" s="734"/>
    </row>
    <row r="127" spans="1:27" ht="18.75" customHeight="1">
      <c r="A127" s="3198" t="s">
        <v>2137</v>
      </c>
      <c r="B127" s="3198"/>
      <c r="C127" s="3198"/>
      <c r="D127" s="3238" t="e">
        <f>NUMBERSTRING(INT(D126*10000),2)&amp;"元整"</f>
        <v>#VALUE!</v>
      </c>
      <c r="E127" s="3239"/>
      <c r="F127" s="3239"/>
      <c r="G127" s="3239"/>
      <c r="H127" s="3239"/>
      <c r="I127" s="3240"/>
      <c r="AA127" s="734"/>
    </row>
    <row r="128" spans="1:27" ht="21.75" customHeight="1">
      <c r="A128" s="3248" t="s">
        <v>2138</v>
      </c>
      <c r="B128" s="3248"/>
      <c r="C128" s="3248"/>
      <c r="D128" s="3248"/>
      <c r="E128" s="3248"/>
      <c r="F128" s="3248"/>
      <c r="G128" s="3248"/>
      <c r="H128" s="3248"/>
      <c r="I128" s="3248"/>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8" t="str">
        <f>项目基本情况!B1</f>
        <v>江苏省扬州市广陵区沙湾南路东侧、许庄路西侧（不动产单元号：321002006003GB00058W00000000）5套住宅用房房地产市场价值预评估</v>
      </c>
      <c r="C37" s="3088"/>
      <c r="D37" s="3088"/>
      <c r="E37" s="3088"/>
      <c r="F37" s="3088"/>
      <c r="G37" s="3088"/>
      <c r="H37" s="3088"/>
      <c r="I37" s="3088"/>
    </row>
    <row r="38" spans="1:9">
      <c r="A38" s="953"/>
      <c r="B38" s="953"/>
    </row>
    <row r="39" spans="1:9">
      <c r="A39" s="951" t="s">
        <v>818</v>
      </c>
      <c r="B39" s="951" t="s">
        <v>820</v>
      </c>
    </row>
    <row r="40" spans="1:9">
      <c r="A40" s="951"/>
      <c r="B40" s="1659" t="str">
        <f>项目基本情况!B5</f>
        <v>中粮信托有限责任公司</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王鹏（注册号：0)、郑燚（注册号：1120070131)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A5" sqref="A5:XFD3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7</v>
      </c>
    </row>
    <row r="2" spans="1:9" s="206" customFormat="1" ht="18" customHeight="1">
      <c r="A2" s="207" t="s">
        <v>2147</v>
      </c>
      <c r="B2" s="208">
        <f ca="1">IF(D2="——",C52,C52-E2)</f>
        <v>650</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12501</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251.38120000000001</v>
      </c>
      <c r="D5" s="217" t="s">
        <v>2154</v>
      </c>
      <c r="E5" s="218" t="s">
        <v>2155</v>
      </c>
      <c r="F5" s="218" t="s">
        <v>2156</v>
      </c>
      <c r="G5" s="219"/>
    </row>
    <row r="6" spans="1:9" s="220" customFormat="1" ht="13.5" customHeight="1">
      <c r="A6" s="886" t="s">
        <v>2157</v>
      </c>
      <c r="B6" s="221" t="s">
        <v>2158</v>
      </c>
      <c r="C6" s="222">
        <f ca="1">4700*D9/10000</f>
        <v>244.38120000000001</v>
      </c>
      <c r="D6" s="223"/>
      <c r="E6" s="224"/>
      <c r="F6" s="224"/>
      <c r="G6" s="225"/>
    </row>
    <row r="7" spans="1:9" s="220" customFormat="1" ht="13.5" customHeight="1">
      <c r="A7" s="886" t="s">
        <v>2159</v>
      </c>
      <c r="B7" s="221" t="s">
        <v>2160</v>
      </c>
      <c r="C7" s="226">
        <f ca="1">ROUND(C6*F7,0)</f>
        <v>7</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0</v>
      </c>
      <c r="D8" s="228"/>
      <c r="E8" s="226"/>
      <c r="F8" s="227"/>
      <c r="G8" s="2042" t="s">
        <v>10295</v>
      </c>
    </row>
    <row r="9" spans="1:9" s="220" customFormat="1" ht="13.5" customHeight="1">
      <c r="A9" s="887" t="s">
        <v>800</v>
      </c>
      <c r="B9" s="230" t="s">
        <v>2163</v>
      </c>
      <c r="C9" s="231">
        <f ca="1">ROUND(D9*E9/10000,0)</f>
        <v>5</v>
      </c>
      <c r="D9" s="954">
        <f ca="1">IF(B1="",'数据-汇总表'!E5,IF(INDIRECT("'数据-取费表'!c"&amp;$G$1)="住宅",INDIRECT("'数据-取费表'!k"&amp;$G$1),0))</f>
        <v>519.96</v>
      </c>
      <c r="E9" s="231">
        <f>'数据-取费表'!B27</f>
        <v>105</v>
      </c>
      <c r="F9" s="227"/>
      <c r="G9" s="2043"/>
      <c r="H9" s="1299"/>
      <c r="I9" s="2044" t="s">
        <v>2164</v>
      </c>
    </row>
    <row r="10" spans="1:9" s="220" customFormat="1" ht="13.5" customHeight="1">
      <c r="A10" s="887" t="s">
        <v>801</v>
      </c>
      <c r="B10" s="230" t="s">
        <v>2165</v>
      </c>
      <c r="C10" s="231">
        <f ca="1">ROUND(D10*E10/10000,0)</f>
        <v>0</v>
      </c>
      <c r="D10" s="954">
        <f ca="1">IF(B1="",'数据-汇总表'!E6,IF(INDIRECT("'数据-取费表'!c"&amp;$G$1)="住宅",INDIRECT("'数据-取费表'!s"&amp;$G$1),INDIRECT("'数据-取费表'!k"&amp;$G$1)+INDIRECT("'数据-取费表'!s"&amp;$G$1)))</f>
        <v>0</v>
      </c>
      <c r="E10" s="231">
        <f>'数据-取费表'!B28</f>
        <v>105</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519.96</v>
      </c>
      <c r="E19" s="217">
        <f>'数据-取费表'!B31</f>
        <v>200</v>
      </c>
      <c r="F19" s="237"/>
      <c r="G19" s="2042" t="s">
        <v>10296</v>
      </c>
    </row>
    <row r="20" spans="1:7" s="220" customFormat="1" ht="13.5" customHeight="1">
      <c r="A20" s="261" t="s">
        <v>2178</v>
      </c>
      <c r="B20" s="216" t="s">
        <v>2179</v>
      </c>
      <c r="C20" s="238">
        <f ca="1">ROUND((C5+C19)*F20,0)</f>
        <v>5</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28</v>
      </c>
      <c r="D22" s="241">
        <f ca="1">C26</f>
        <v>1.1000000000000001E-3</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28</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0</v>
      </c>
      <c r="D25" s="244"/>
      <c r="E25" s="247"/>
      <c r="F25" s="245"/>
      <c r="G25" s="248" t="s">
        <v>2195</v>
      </c>
    </row>
    <row r="26" spans="1:7" s="220" customFormat="1">
      <c r="A26" s="888" t="s">
        <v>795</v>
      </c>
      <c r="B26" s="221" t="s">
        <v>2196</v>
      </c>
      <c r="C26" s="244">
        <f ca="1">ROUND(IF('数据-取费表'!B22&lt;=1,F21*F22*'数据-取费表'!B23/2,F21*(POWER((1+F22),'数据-取费表'!B23/2)-1)),4)</f>
        <v>1.1000000000000001E-3</v>
      </c>
      <c r="D26" s="244"/>
      <c r="E26" s="247"/>
      <c r="F26" s="245"/>
      <c r="G26" s="249"/>
    </row>
    <row r="27" spans="1:7" s="220" customFormat="1" ht="24.75">
      <c r="A27" s="261" t="s">
        <v>2197</v>
      </c>
      <c r="B27" s="250" t="s">
        <v>2198</v>
      </c>
      <c r="C27" s="251">
        <f ca="1">C28</f>
        <v>51</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ROUND((C5+C19+C20)*F27*'数据-取费表'!B21/'数据-取费表'!B20,0)</f>
        <v>51</v>
      </c>
      <c r="D28" s="241"/>
      <c r="E28" s="242"/>
      <c r="F28" s="252"/>
      <c r="G28" s="253"/>
    </row>
    <row r="29" spans="1:7" s="220" customFormat="1" ht="13.5" customHeight="1">
      <c r="A29" s="888" t="s">
        <v>792</v>
      </c>
      <c r="B29" s="254" t="s">
        <v>2202</v>
      </c>
      <c r="C29" s="244">
        <f ca="1">ROUND(C21*F27*'数据-取费表'!B21/'数据-取费表'!B20,4)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364</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207</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172</v>
      </c>
      <c r="D34" s="223"/>
      <c r="E34" s="226"/>
      <c r="F34" s="263">
        <f ca="1">IF('数据-取费表'!B24=0,1,IF(B1="",'数据-取费表'!N16,INDIRECT("'数据-取费表'!n"&amp;$G$1)))</f>
        <v>1</v>
      </c>
      <c r="G34" s="225" t="s">
        <v>2211</v>
      </c>
    </row>
    <row r="35" spans="1:7" ht="13.5" customHeight="1">
      <c r="A35" s="888" t="s">
        <v>796</v>
      </c>
      <c r="B35" s="221" t="s">
        <v>2212</v>
      </c>
      <c r="C35" s="226">
        <f ca="1">ROUND(C34*F35,0)</f>
        <v>5</v>
      </c>
      <c r="D35" s="226"/>
      <c r="E35" s="226"/>
      <c r="F35" s="265">
        <f>'数据-取费表'!B33</f>
        <v>0.03</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17</v>
      </c>
      <c r="D36" s="226"/>
      <c r="E36" s="226"/>
      <c r="F36" s="265">
        <f>'数据-取费表'!B34</f>
        <v>0.1</v>
      </c>
      <c r="G36" s="266" t="s">
        <v>2215</v>
      </c>
    </row>
    <row r="37" spans="1:7" s="264" customFormat="1" ht="13.5" customHeight="1">
      <c r="A37" s="888" t="s">
        <v>798</v>
      </c>
      <c r="B37" s="221" t="s">
        <v>2216</v>
      </c>
      <c r="C37" s="255">
        <f ca="1">ROUND(E37*D37*F34/10000,0)</f>
        <v>10</v>
      </c>
      <c r="D37" s="223">
        <f ca="1">D19</f>
        <v>519.96</v>
      </c>
      <c r="E37" s="255">
        <f>'数据-取费表'!B35</f>
        <v>200</v>
      </c>
      <c r="F37" s="265"/>
      <c r="G37" s="267" t="s">
        <v>2217</v>
      </c>
    </row>
    <row r="38" spans="1:7" ht="13.5" customHeight="1">
      <c r="A38" s="888" t="s">
        <v>799</v>
      </c>
      <c r="B38" s="221" t="s">
        <v>2218</v>
      </c>
      <c r="C38" s="226">
        <f ca="1">ROUND(C34*F38,0)</f>
        <v>3</v>
      </c>
      <c r="D38" s="226"/>
      <c r="E38" s="226"/>
      <c r="F38" s="265">
        <f>'数据-取费表'!B36</f>
        <v>1.4999999999999999E-2</v>
      </c>
      <c r="G38" s="225" t="s">
        <v>2213</v>
      </c>
    </row>
    <row r="39" spans="1:7" s="220" customFormat="1" ht="13.5" customHeight="1">
      <c r="A39" s="261" t="s">
        <v>2219</v>
      </c>
      <c r="B39" s="216" t="s">
        <v>2220</v>
      </c>
      <c r="C39" s="238">
        <f ca="1">ROUND(C33*F20,0)</f>
        <v>4</v>
      </c>
      <c r="D39" s="238"/>
      <c r="E39" s="238"/>
      <c r="F39" s="2534">
        <f>F20</f>
        <v>0.02</v>
      </c>
      <c r="G39" s="240" t="s">
        <v>2221</v>
      </c>
    </row>
    <row r="40" spans="1:7" s="220" customFormat="1" ht="13.5" customHeight="1">
      <c r="A40" s="261" t="s">
        <v>2222</v>
      </c>
      <c r="B40" s="216" t="s">
        <v>2223</v>
      </c>
      <c r="C40" s="1495">
        <f>F21</f>
        <v>0.02</v>
      </c>
      <c r="D40" s="242" t="s">
        <v>2224</v>
      </c>
      <c r="E40" s="238"/>
      <c r="F40" s="2534">
        <f>F21</f>
        <v>0.02</v>
      </c>
      <c r="G40" s="240" t="s">
        <v>2225</v>
      </c>
    </row>
    <row r="41" spans="1:7" s="220" customFormat="1" ht="13.5" customHeight="1">
      <c r="A41" s="261" t="s">
        <v>2226</v>
      </c>
      <c r="B41" s="216" t="s">
        <v>2227</v>
      </c>
      <c r="C41" s="238">
        <f ca="1">ROUND(SUM(C42:C43),0)</f>
        <v>11</v>
      </c>
      <c r="D41" s="241">
        <f ca="1">C44</f>
        <v>1.1000000000000001E-3</v>
      </c>
      <c r="E41" s="242" t="s">
        <v>2224</v>
      </c>
      <c r="F41" s="2535">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11</v>
      </c>
      <c r="D42" s="244"/>
      <c r="E42" s="244"/>
      <c r="F42" s="245"/>
      <c r="G42" s="3281" t="s">
        <v>2229</v>
      </c>
    </row>
    <row r="43" spans="1:7" ht="13.5" customHeight="1">
      <c r="A43" s="888" t="s">
        <v>792</v>
      </c>
      <c r="B43" s="221" t="s">
        <v>2230</v>
      </c>
      <c r="C43" s="244">
        <f ca="1">ROUND(IF('数据-取费表'!B22&lt;=1,C39*F22*'数据-取费表'!B21/2,C39*(POWER((1+F22),'数据-取费表'!B21/2)-1)),0)</f>
        <v>0</v>
      </c>
      <c r="D43" s="244"/>
      <c r="E43" s="244"/>
      <c r="F43" s="245"/>
      <c r="G43" s="3282"/>
    </row>
    <row r="44" spans="1:7" ht="13.5" customHeight="1">
      <c r="A44" s="888" t="s">
        <v>793</v>
      </c>
      <c r="B44" s="221" t="s">
        <v>2231</v>
      </c>
      <c r="C44" s="244">
        <f ca="1">ROUND(IF('数据-取费表'!B22&lt;=1,C40*F22*'数据-取费表'!B21/2,C40*(POWER((1+F22),'数据-取费表'!B21/2)-1)),4)</f>
        <v>1.1000000000000001E-3</v>
      </c>
      <c r="D44" s="244"/>
      <c r="E44" s="244"/>
      <c r="F44" s="245"/>
      <c r="G44" s="3283"/>
    </row>
    <row r="45" spans="1:7" s="220" customFormat="1" ht="13.5" customHeight="1">
      <c r="A45" s="261" t="s">
        <v>2232</v>
      </c>
      <c r="B45" s="250" t="s">
        <v>2198</v>
      </c>
      <c r="C45" s="251">
        <f ca="1">C46</f>
        <v>42</v>
      </c>
      <c r="D45" s="241">
        <f ca="1">C47</f>
        <v>4.0000000000000001E-3</v>
      </c>
      <c r="E45" s="242" t="s">
        <v>2224</v>
      </c>
      <c r="F45" s="2536">
        <f ca="1">F27</f>
        <v>0.2</v>
      </c>
      <c r="G45" s="253" t="s">
        <v>2233</v>
      </c>
    </row>
    <row r="46" spans="1:7" s="220" customFormat="1" ht="13.5" customHeight="1">
      <c r="A46" s="888" t="s">
        <v>791</v>
      </c>
      <c r="B46" s="254" t="s">
        <v>2234</v>
      </c>
      <c r="C46" s="255">
        <f ca="1">ROUND((C33+C39)*F27,0)</f>
        <v>42</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1495">
        <f>ROUND(F30/(1+'数据-取费表'!C42),4)</f>
        <v>5.33E-2</v>
      </c>
      <c r="D48" s="242" t="s">
        <v>2224</v>
      </c>
      <c r="E48" s="238"/>
      <c r="F48" s="2535">
        <f>F30</f>
        <v>5.6000000000000001E-2</v>
      </c>
      <c r="G48" s="240" t="s">
        <v>2237</v>
      </c>
    </row>
    <row r="49" spans="1:7" ht="16.5" customHeight="1">
      <c r="A49" s="261" t="s">
        <v>2203</v>
      </c>
      <c r="B49" s="216" t="s">
        <v>2238</v>
      </c>
      <c r="C49" s="238">
        <f ca="1">ROUND((C33+C39+C41+C45)/(1-C40-D41-D45-C48),0)</f>
        <v>286</v>
      </c>
      <c r="D49" s="238"/>
      <c r="E49" s="238"/>
      <c r="F49" s="270"/>
      <c r="G49" s="240" t="s">
        <v>2239</v>
      </c>
    </row>
    <row r="50" spans="1:7" s="264" customFormat="1" ht="24">
      <c r="A50" s="261" t="s">
        <v>2240</v>
      </c>
      <c r="B50" s="216" t="s">
        <v>2241</v>
      </c>
      <c r="C50" s="238"/>
      <c r="D50" s="238"/>
      <c r="E50" s="238"/>
      <c r="F50" s="270">
        <f>IF('数据-取费表'!B24=0,'数据-取费表'!N16,1)</f>
        <v>1</v>
      </c>
      <c r="G50" s="253" t="s">
        <v>2242</v>
      </c>
    </row>
    <row r="51" spans="1:7" ht="16.5" customHeight="1">
      <c r="A51" s="261" t="s">
        <v>2243</v>
      </c>
      <c r="B51" s="216" t="s">
        <v>2244</v>
      </c>
      <c r="C51" s="238">
        <f ca="1">ROUND(C49*F50,0)</f>
        <v>286</v>
      </c>
      <c r="D51" s="238"/>
      <c r="E51" s="238"/>
      <c r="F51" s="270"/>
      <c r="G51" s="240" t="s">
        <v>2245</v>
      </c>
    </row>
    <row r="52" spans="1:7" s="214" customFormat="1" ht="16.5" thickBot="1">
      <c r="A52" s="271" t="s">
        <v>2246</v>
      </c>
      <c r="B52" s="272"/>
      <c r="C52" s="273">
        <f ca="1">C31+C51</f>
        <v>650</v>
      </c>
      <c r="D52" s="272"/>
      <c r="E52" s="272"/>
      <c r="F52" s="272"/>
      <c r="G52" s="274"/>
    </row>
    <row r="55" spans="1:7" ht="15">
      <c r="B55" s="276" t="s">
        <v>2247</v>
      </c>
      <c r="C55" s="277"/>
    </row>
    <row r="56" spans="1:7">
      <c r="B56" s="279" t="s">
        <v>1478</v>
      </c>
      <c r="C56" s="281">
        <f ca="1">1-C57</f>
        <v>0.56000000000000005</v>
      </c>
    </row>
    <row r="57" spans="1:7">
      <c r="B57" s="279" t="s">
        <v>1479</v>
      </c>
      <c r="C57" s="280">
        <f ca="1">ROUND(C51/C52,3)</f>
        <v>0.44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310</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5962</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54596</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54596</v>
      </c>
      <c r="D8" s="228"/>
      <c r="E8" s="226"/>
      <c r="F8" s="227"/>
      <c r="G8" s="2042"/>
    </row>
    <row r="9" spans="1:8" s="220" customFormat="1" ht="13.5" customHeight="1">
      <c r="A9" s="887" t="s">
        <v>800</v>
      </c>
      <c r="B9" s="230" t="s">
        <v>2163</v>
      </c>
      <c r="C9" s="231">
        <f ca="1">ROUND(D9*E9,0)</f>
        <v>54596</v>
      </c>
      <c r="D9" s="954">
        <f ca="1">IF(B1="",'数据-汇总表'!E5,IF(INDIRECT("'数据-取费表'!c"&amp;$G$1)="住宅",INDIRECT("'数据-取费表'!k"&amp;$G$1),0))</f>
        <v>519.96</v>
      </c>
      <c r="E9" s="231">
        <f>'数据-取费表'!B27</f>
        <v>105</v>
      </c>
      <c r="F9" s="227"/>
      <c r="G9" s="232"/>
    </row>
    <row r="10" spans="1:8" s="220" customFormat="1" ht="13.5" customHeight="1">
      <c r="A10" s="887" t="s">
        <v>801</v>
      </c>
      <c r="B10" s="230" t="s">
        <v>2165</v>
      </c>
      <c r="C10" s="231">
        <f ca="1">ROUND(D10*E10,0)</f>
        <v>0</v>
      </c>
      <c r="D10" s="954">
        <f ca="1">IF(B1="",'数据-汇总表'!E6,IF(INDIRECT("'数据-取费表'!c"&amp;$G$1)="住宅",INDIRECT("'数据-取费表'!s"&amp;$G$1),INDIRECT("'数据-取费表'!k"&amp;$G$1)+INDIRECT("'数据-取费表'!s"&amp;$G$1)))</f>
        <v>0</v>
      </c>
      <c r="E10" s="231">
        <f>'数据-取费表'!B28</f>
        <v>105</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103992</v>
      </c>
      <c r="D19" s="958">
        <f ca="1">D9+D10</f>
        <v>519.96</v>
      </c>
      <c r="E19" s="217">
        <f>'数据-取费表'!B31</f>
        <v>200</v>
      </c>
      <c r="F19" s="237"/>
      <c r="G19" s="2042"/>
    </row>
    <row r="20" spans="1:7" s="220" customFormat="1" ht="13.5" customHeight="1">
      <c r="A20" s="261" t="s">
        <v>2259</v>
      </c>
      <c r="B20" s="216" t="s">
        <v>2260</v>
      </c>
      <c r="C20" s="238">
        <f ca="1">ROUND((C5+C19)*F20,0)</f>
        <v>3172</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17986</v>
      </c>
      <c r="D22" s="241">
        <f ca="1">C26</f>
        <v>1.1000000000000001E-3</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6132</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11681</v>
      </c>
      <c r="D24" s="244"/>
      <c r="E24" s="244"/>
      <c r="F24" s="245"/>
      <c r="G24" s="246" t="s">
        <v>2271</v>
      </c>
    </row>
    <row r="25" spans="1:7" s="220" customFormat="1" ht="24">
      <c r="A25" s="888" t="s">
        <v>2161</v>
      </c>
      <c r="B25" s="221" t="s">
        <v>2272</v>
      </c>
      <c r="C25" s="1290">
        <f ca="1">ROUND(IF('数据-取费表'!B22&lt;=1,C20*F22*'数据-取费表'!B22/2,C20*(POWER((1+F22),'数据-取费表'!B22/2)-1)),0)</f>
        <v>173</v>
      </c>
      <c r="D25" s="244"/>
      <c r="E25" s="247"/>
      <c r="F25" s="245"/>
      <c r="G25" s="248" t="s">
        <v>2273</v>
      </c>
    </row>
    <row r="26" spans="1:7" s="220" customFormat="1">
      <c r="A26" s="888" t="s">
        <v>795</v>
      </c>
      <c r="B26" s="221" t="s">
        <v>2196</v>
      </c>
      <c r="C26" s="244">
        <f ca="1">ROUND(IF('数据-取费表'!B22&lt;=1,F21*F22*'数据-取费表'!B22/2,F21*(POWER((1+F22),'数据-取费表'!B22/2)-1)),4)</f>
        <v>1.1000000000000001E-3</v>
      </c>
      <c r="D26" s="244"/>
      <c r="E26" s="247"/>
      <c r="F26" s="245"/>
      <c r="G26" s="249"/>
    </row>
    <row r="27" spans="1:7" s="220" customFormat="1" ht="24.75">
      <c r="A27" s="261" t="s">
        <v>2197</v>
      </c>
      <c r="B27" s="250" t="s">
        <v>2198</v>
      </c>
      <c r="C27" s="251">
        <f ca="1">C28</f>
        <v>32352</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ROUND((C5+C19+C20)*F27,0)</f>
        <v>32352</v>
      </c>
      <c r="D28" s="241"/>
      <c r="E28" s="242"/>
      <c r="F28" s="252"/>
      <c r="G28" s="253"/>
    </row>
    <row r="29" spans="1:7" s="220" customFormat="1" ht="13.5" customHeight="1">
      <c r="A29" s="888" t="s">
        <v>792</v>
      </c>
      <c r="B29" s="254" t="s">
        <v>2202</v>
      </c>
      <c r="C29" s="244">
        <f ca="1">ROUND(C21*F27,4)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230141</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2068661</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1715868</v>
      </c>
      <c r="D34" s="223"/>
      <c r="E34" s="226"/>
      <c r="F34" s="263"/>
      <c r="G34" s="225"/>
    </row>
    <row r="35" spans="1:7" ht="13.5" customHeight="1">
      <c r="A35" s="888" t="s">
        <v>796</v>
      </c>
      <c r="B35" s="221" t="s">
        <v>2212</v>
      </c>
      <c r="C35" s="226">
        <f ca="1">ROUND(C34*F35,0)</f>
        <v>51476</v>
      </c>
      <c r="D35" s="226"/>
      <c r="E35" s="226"/>
      <c r="F35" s="265">
        <f>'数据-取费表'!B33</f>
        <v>0.03</v>
      </c>
      <c r="G35" s="225" t="s">
        <v>2213</v>
      </c>
    </row>
    <row r="36" spans="1:7" ht="24">
      <c r="A36" s="888" t="s">
        <v>797</v>
      </c>
      <c r="B36" s="221" t="s">
        <v>2214</v>
      </c>
      <c r="C36" s="226">
        <f ca="1">ROUND(IF(B1="",SUM('数据-取费表'!AP6:AP13)*F36,IF(INDIRECT("'数据-取费表'!c"&amp;$G$1)="住宅",INDIRECT("'数据-取费表'!k"&amp;$G$1)*INDIRECT("'数据-取费表'!l"&amp;$G$1)*F36,0)),0)</f>
        <v>171587</v>
      </c>
      <c r="D36" s="226"/>
      <c r="E36" s="226"/>
      <c r="F36" s="265">
        <f>'数据-取费表'!B34</f>
        <v>0.1</v>
      </c>
      <c r="G36" s="266" t="s">
        <v>2215</v>
      </c>
    </row>
    <row r="37" spans="1:7" s="264" customFormat="1" ht="13.5" customHeight="1">
      <c r="A37" s="888" t="s">
        <v>798</v>
      </c>
      <c r="B37" s="221" t="s">
        <v>2216</v>
      </c>
      <c r="C37" s="255">
        <f ca="1">ROUND(E37*D37,0)</f>
        <v>103992</v>
      </c>
      <c r="D37" s="223">
        <f ca="1">D19</f>
        <v>519.96</v>
      </c>
      <c r="E37" s="255">
        <f>'数据-取费表'!B35</f>
        <v>200</v>
      </c>
      <c r="F37" s="265"/>
      <c r="G37" s="267"/>
    </row>
    <row r="38" spans="1:7" ht="13.5" customHeight="1">
      <c r="A38" s="888" t="s">
        <v>799</v>
      </c>
      <c r="B38" s="221" t="s">
        <v>2218</v>
      </c>
      <c r="C38" s="226">
        <f ca="1">ROUND(C34*F38,0)</f>
        <v>25738</v>
      </c>
      <c r="D38" s="226"/>
      <c r="E38" s="226"/>
      <c r="F38" s="265">
        <f>'数据-取费表'!B36</f>
        <v>1.4999999999999999E-2</v>
      </c>
      <c r="G38" s="225" t="s">
        <v>2213</v>
      </c>
    </row>
    <row r="39" spans="1:7" s="220" customFormat="1" ht="13.5" customHeight="1">
      <c r="A39" s="261" t="s">
        <v>2219</v>
      </c>
      <c r="B39" s="216" t="s">
        <v>2220</v>
      </c>
      <c r="C39" s="238">
        <f ca="1">ROUND(C33*F20,0)</f>
        <v>41373</v>
      </c>
      <c r="D39" s="238"/>
      <c r="E39" s="238"/>
      <c r="F39" s="2534">
        <f>F20</f>
        <v>0.02</v>
      </c>
      <c r="G39" s="240" t="s">
        <v>2221</v>
      </c>
    </row>
    <row r="40" spans="1:7" s="220" customFormat="1" ht="13.5" customHeight="1">
      <c r="A40" s="261" t="s">
        <v>2222</v>
      </c>
      <c r="B40" s="216" t="s">
        <v>2223</v>
      </c>
      <c r="C40" s="1495">
        <f>F21</f>
        <v>0.02</v>
      </c>
      <c r="D40" s="242" t="s">
        <v>2224</v>
      </c>
      <c r="E40" s="238"/>
      <c r="F40" s="2534">
        <f>F21</f>
        <v>0.02</v>
      </c>
      <c r="G40" s="240" t="s">
        <v>2225</v>
      </c>
    </row>
    <row r="41" spans="1:7" s="220" customFormat="1" ht="13.5" customHeight="1">
      <c r="A41" s="261" t="s">
        <v>2226</v>
      </c>
      <c r="B41" s="216" t="s">
        <v>2227</v>
      </c>
      <c r="C41" s="238">
        <f ca="1">ROUND(SUM(C42:C43),0)</f>
        <v>115351</v>
      </c>
      <c r="D41" s="241">
        <f ca="1">C44</f>
        <v>1.1000000000000001E-3</v>
      </c>
      <c r="E41" s="242" t="s">
        <v>2224</v>
      </c>
      <c r="F41" s="2535">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113089</v>
      </c>
      <c r="D42" s="244"/>
      <c r="E42" s="244"/>
      <c r="F42" s="245"/>
      <c r="G42" s="3281" t="s">
        <v>2276</v>
      </c>
    </row>
    <row r="43" spans="1:7" ht="13.5" customHeight="1">
      <c r="A43" s="888" t="s">
        <v>792</v>
      </c>
      <c r="B43" s="221" t="s">
        <v>2230</v>
      </c>
      <c r="C43" s="244">
        <f ca="1">ROUND(IF('数据-取费表'!B22&lt;=1,C39*F22*'数据-取费表'!B20/2,C39*(POWER((1+F22),'数据-取费表'!B20/2)-1)),0)</f>
        <v>2262</v>
      </c>
      <c r="D43" s="244"/>
      <c r="E43" s="244"/>
      <c r="F43" s="245"/>
      <c r="G43" s="3282"/>
    </row>
    <row r="44" spans="1:7" ht="13.5" customHeight="1">
      <c r="A44" s="888" t="s">
        <v>793</v>
      </c>
      <c r="B44" s="221" t="s">
        <v>2231</v>
      </c>
      <c r="C44" s="244">
        <f ca="1">ROUND(IF('数据-取费表'!B22&lt;=1,C40*F22*'数据-取费表'!B20/2,C40*(POWER((1+F22),'数据-取费表'!B20/2)-1)),4)</f>
        <v>1.1000000000000001E-3</v>
      </c>
      <c r="D44" s="244"/>
      <c r="E44" s="244"/>
      <c r="F44" s="245"/>
      <c r="G44" s="3283"/>
    </row>
    <row r="45" spans="1:7" s="220" customFormat="1" ht="13.5" customHeight="1">
      <c r="A45" s="261" t="s">
        <v>2232</v>
      </c>
      <c r="B45" s="250" t="s">
        <v>2198</v>
      </c>
      <c r="C45" s="251">
        <f ca="1">C46</f>
        <v>422007</v>
      </c>
      <c r="D45" s="241">
        <f ca="1">C47</f>
        <v>4.0000000000000001E-3</v>
      </c>
      <c r="E45" s="242" t="s">
        <v>2224</v>
      </c>
      <c r="F45" s="2536">
        <f ca="1">F27</f>
        <v>0.2</v>
      </c>
      <c r="G45" s="253" t="s">
        <v>2233</v>
      </c>
    </row>
    <row r="46" spans="1:7" s="220" customFormat="1" ht="13.5" customHeight="1">
      <c r="A46" s="888" t="s">
        <v>791</v>
      </c>
      <c r="B46" s="254" t="s">
        <v>2234</v>
      </c>
      <c r="C46" s="255">
        <f ca="1">ROUND((C33+C39)*F27,0)</f>
        <v>422007</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268">
        <f>ROUND(F30/(1+'数据-取费表'!C42),4)</f>
        <v>5.33E-2</v>
      </c>
      <c r="D48" s="242" t="s">
        <v>2224</v>
      </c>
      <c r="E48" s="238"/>
      <c r="F48" s="2535">
        <f>F30</f>
        <v>5.6000000000000001E-2</v>
      </c>
      <c r="G48" s="240" t="s">
        <v>2237</v>
      </c>
    </row>
    <row r="49" spans="1:7" ht="16.5" customHeight="1">
      <c r="A49" s="261" t="s">
        <v>2203</v>
      </c>
      <c r="B49" s="216" t="s">
        <v>2277</v>
      </c>
      <c r="C49" s="238">
        <f ca="1">ROUND((C33+C39+C41+C45)/(1-C40-D41-D45-C48),0)</f>
        <v>2872604</v>
      </c>
      <c r="D49" s="238"/>
      <c r="E49" s="238"/>
      <c r="F49" s="270"/>
      <c r="G49" s="240" t="s">
        <v>2239</v>
      </c>
    </row>
    <row r="50" spans="1:7" s="264" customFormat="1">
      <c r="A50" s="261" t="s">
        <v>2240</v>
      </c>
      <c r="B50" s="216" t="s">
        <v>2241</v>
      </c>
      <c r="C50" s="238"/>
      <c r="D50" s="238"/>
      <c r="E50" s="238"/>
      <c r="F50" s="270">
        <f>IF('数据-取费表'!B24=0,'数据-取费表'!N16,1)</f>
        <v>1</v>
      </c>
      <c r="G50" s="253"/>
    </row>
    <row r="51" spans="1:7" ht="16.5" customHeight="1">
      <c r="A51" s="261" t="s">
        <v>2243</v>
      </c>
      <c r="B51" s="216" t="s">
        <v>2278</v>
      </c>
      <c r="C51" s="238">
        <f ca="1">ROUND(C49*F50,0)</f>
        <v>2872604</v>
      </c>
      <c r="D51" s="238"/>
      <c r="E51" s="238"/>
      <c r="F51" s="270"/>
      <c r="G51" s="240" t="s">
        <v>2245</v>
      </c>
    </row>
    <row r="52" spans="1:7" s="214" customFormat="1" ht="16.5" thickBot="1">
      <c r="A52" s="271" t="s">
        <v>2246</v>
      </c>
      <c r="B52" s="272"/>
      <c r="C52" s="273">
        <f ca="1">C31+C51</f>
        <v>3102745</v>
      </c>
      <c r="D52" s="272"/>
      <c r="E52" s="272"/>
      <c r="F52" s="272"/>
      <c r="G52" s="274"/>
    </row>
    <row r="55" spans="1:7" ht="15">
      <c r="B55" s="276" t="s">
        <v>2247</v>
      </c>
      <c r="C55" s="277"/>
    </row>
    <row r="56" spans="1:7">
      <c r="B56" s="279" t="s">
        <v>1478</v>
      </c>
      <c r="C56" s="281">
        <f ca="1">1-C57</f>
        <v>7.3999999999999955E-2</v>
      </c>
    </row>
    <row r="57" spans="1:7">
      <c r="B57" s="279" t="s">
        <v>1479</v>
      </c>
      <c r="C57" s="280">
        <f ca="1">ROUND(C51/C52,3)</f>
        <v>0.92600000000000005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2"/>
      <c r="F1" s="3032"/>
      <c r="G1" s="2896"/>
      <c r="H1" s="3032"/>
      <c r="I1" s="3032"/>
      <c r="J1" s="3032"/>
      <c r="K1" s="3033">
        <f>MATCH(C1,'数据-取费表'!A6:A16,0)+5</f>
        <v>7</v>
      </c>
    </row>
    <row r="2" spans="1:33" ht="18" customHeight="1">
      <c r="A2" s="207" t="s">
        <v>2147</v>
      </c>
      <c r="B2" s="210">
        <f ca="1">C32</f>
        <v>-6</v>
      </c>
      <c r="C2" s="282" t="s">
        <v>2280</v>
      </c>
      <c r="D2" s="282"/>
      <c r="E2" s="3032"/>
      <c r="F2" s="3032"/>
      <c r="G2" s="3032"/>
      <c r="H2" s="3032"/>
      <c r="I2" s="3032"/>
      <c r="J2" s="3032"/>
      <c r="K2" s="3032"/>
    </row>
    <row r="3" spans="1:33" ht="18" customHeight="1" thickBot="1">
      <c r="A3" s="209" t="s">
        <v>2149</v>
      </c>
      <c r="B3" s="210">
        <f ca="1">ROUND(B2*10000/IF(C1="",'数据-汇总表'!E3,INDIRECT("'数据-取费表'!K"&amp;$K$1)),0)</f>
        <v>-115</v>
      </c>
      <c r="C3" s="282" t="s">
        <v>2281</v>
      </c>
      <c r="D3" s="282"/>
      <c r="E3" s="3032"/>
      <c r="F3" s="3032"/>
      <c r="G3" s="3032"/>
      <c r="H3" s="3032"/>
      <c r="I3" s="3032"/>
      <c r="J3" s="3032"/>
      <c r="K3" s="3032"/>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6" t="s">
        <v>2285</v>
      </c>
      <c r="D5" s="2046" t="s">
        <v>2286</v>
      </c>
      <c r="E5" s="2046" t="s">
        <v>2287</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0.1</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519.96</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519.96</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5</v>
      </c>
      <c r="D18" s="955"/>
      <c r="E18" s="24"/>
      <c r="F18" s="913"/>
      <c r="G18" s="2048"/>
      <c r="H18" s="1349"/>
      <c r="I18" s="2049" t="s">
        <v>2313</v>
      </c>
      <c r="J18" s="916"/>
      <c r="K18" s="917"/>
    </row>
    <row r="19" spans="1:33" s="912" customFormat="1" ht="13.5" customHeight="1">
      <c r="A19" s="908" t="s">
        <v>805</v>
      </c>
      <c r="B19" s="909" t="s">
        <v>2314</v>
      </c>
      <c r="C19" s="24">
        <f ca="1">ROUND(D19*E19/10000,0)</f>
        <v>5</v>
      </c>
      <c r="D19" s="955">
        <f ca="1">IF(C1="",'数据-汇总表'!E5,IF(INDIRECT("'数据-取费表'!c"&amp;$K$1)="住宅",INDIRECT("'数据-取费表'!k"&amp;$K$1),0))</f>
        <v>519.96</v>
      </c>
      <c r="E19" s="24">
        <f>'数据-取费表'!B27</f>
        <v>105</v>
      </c>
      <c r="F19" s="913"/>
      <c r="G19" s="15"/>
      <c r="H19" s="1351"/>
      <c r="I19" s="918"/>
      <c r="J19" s="918"/>
      <c r="K19" s="919"/>
    </row>
    <row r="20" spans="1:33" s="912" customFormat="1" ht="13.5" customHeight="1">
      <c r="A20" s="908" t="s">
        <v>806</v>
      </c>
      <c r="B20" s="909" t="s">
        <v>2315</v>
      </c>
      <c r="C20" s="24">
        <f ca="1">ROUND(D20*E20/10000,0)</f>
        <v>0</v>
      </c>
      <c r="D20" s="955">
        <f ca="1">IF(C1="",'数据-汇总表'!E6,IF(INDIRECT("'数据-取费表'!c"&amp;$K$1)="住宅",INDIRECT("'数据-取费表'!s"&amp;$K$1),INDIRECT("'数据-取费表'!k"&amp;$K$1)+INDIRECT("'数据-取费表'!s"&amp;$K$1)))</f>
        <v>0</v>
      </c>
      <c r="E20" s="24">
        <f>'数据-取费表'!B28</f>
        <v>105</v>
      </c>
      <c r="F20" s="913"/>
      <c r="G20" s="15"/>
      <c r="H20" s="918"/>
      <c r="I20" s="918"/>
      <c r="J20" s="918"/>
      <c r="K20" s="919"/>
    </row>
    <row r="21" spans="1:33" s="912" customFormat="1" ht="13.5" customHeight="1">
      <c r="A21" s="898" t="s">
        <v>802</v>
      </c>
      <c r="B21" s="922" t="s">
        <v>2316</v>
      </c>
      <c r="C21" s="923">
        <f ca="1">C16+C17+C18</f>
        <v>5</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2329</v>
      </c>
      <c r="B28" s="2051" t="s">
        <v>2330</v>
      </c>
      <c r="C28" s="293">
        <f ca="1">C30</f>
        <v>1</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1</v>
      </c>
      <c r="D30" s="290"/>
      <c r="E30" s="291"/>
      <c r="F30" s="296"/>
      <c r="G30" s="136"/>
      <c r="H30" s="916"/>
      <c r="I30" s="916"/>
      <c r="J30" s="916"/>
      <c r="K30" s="917"/>
    </row>
    <row r="31" spans="1:33" s="912" customFormat="1" ht="13.5" customHeight="1" thickBot="1">
      <c r="A31" s="2052"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-6</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80" zoomScaleNormal="60" zoomScaleSheetLayoutView="80" workbookViewId="0">
      <selection activeCell="G52" sqref="G5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6.625" style="363" customWidth="1"/>
    <col min="6" max="6" width="12.25" style="363" customWidth="1"/>
    <col min="7" max="7" width="16.875" style="363" customWidth="1"/>
    <col min="8" max="8" width="12.25" style="363" customWidth="1"/>
    <col min="9" max="9" width="17.37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2349</v>
      </c>
      <c r="C1" s="1406" t="s">
        <v>2350</v>
      </c>
      <c r="D1" s="1393" t="s">
        <v>3238</v>
      </c>
      <c r="E1" s="2543"/>
      <c r="F1" s="2065" t="s">
        <v>2351</v>
      </c>
      <c r="G1" s="1403" t="s">
        <v>2352</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654</v>
      </c>
      <c r="C2" s="2067" t="s">
        <v>70</v>
      </c>
      <c r="D2" s="1275" t="e">
        <f ca="1">SUMIF(INDIRECT("'"&amp;F2&amp;"'"&amp;"!A:A"),"承租人权益价值",INDIRECT("'"&amp;F2&amp;"'"&amp;"!c:c"))</f>
        <v>#REF!</v>
      </c>
      <c r="E2" s="2068" t="s">
        <v>2353</v>
      </c>
      <c r="F2" s="2069"/>
      <c r="G2" s="1038"/>
      <c r="H2" s="1038"/>
      <c r="I2" s="1038"/>
      <c r="J2" s="1038"/>
      <c r="K2" s="2070"/>
      <c r="L2" s="2937"/>
      <c r="M2" s="2938"/>
      <c r="N2" s="2938"/>
      <c r="O2" s="2938"/>
      <c r="P2" s="2071"/>
      <c r="Q2" s="2072"/>
      <c r="R2" s="2072"/>
      <c r="S2" s="2072"/>
      <c r="T2" s="2072"/>
      <c r="U2" s="2072"/>
      <c r="V2" s="2072"/>
      <c r="W2" s="2072"/>
      <c r="X2" s="2072"/>
      <c r="Y2" s="2072"/>
      <c r="Z2" s="2072"/>
      <c r="AA2" s="2072"/>
      <c r="AB2" s="2072"/>
      <c r="AC2" s="2073"/>
    </row>
    <row r="3" spans="1:29" s="353" customFormat="1" ht="28.5" customHeight="1" thickBot="1">
      <c r="A3" s="209" t="s">
        <v>1360</v>
      </c>
      <c r="B3" s="359">
        <f>IF(C2="——",C49,ROUND(B2*10000/D3,0))</f>
        <v>12570</v>
      </c>
      <c r="C3" s="360" t="s">
        <v>2354</v>
      </c>
      <c r="D3" s="359">
        <f>IF(D1="",'数据-汇总表'!E3,SUMIF('数据-汇总表'!$C19:$C33,D1,'数据-汇总表'!$E19:$E33))</f>
        <v>519.96</v>
      </c>
      <c r="E3" s="1038"/>
      <c r="F3" s="2074"/>
      <c r="G3" s="1038"/>
      <c r="H3" s="1038"/>
      <c r="I3" s="1038"/>
      <c r="J3" s="1038"/>
      <c r="K3" s="2070"/>
      <c r="L3" s="2937"/>
      <c r="M3" s="2938"/>
      <c r="N3" s="2938"/>
      <c r="O3" s="2938"/>
      <c r="P3" s="2071"/>
      <c r="Q3" s="2072"/>
      <c r="R3" s="2072"/>
      <c r="S3" s="2072"/>
      <c r="T3" s="2072"/>
      <c r="U3" s="2072"/>
      <c r="V3" s="2072"/>
      <c r="W3" s="2072"/>
      <c r="X3" s="2072"/>
      <c r="Y3" s="2072"/>
      <c r="Z3" s="2072"/>
      <c r="AA3" s="2072"/>
      <c r="AB3" s="2072"/>
      <c r="AC3" s="1192"/>
    </row>
    <row r="4" spans="1:29" ht="15">
      <c r="A4" s="361" t="s">
        <v>2355</v>
      </c>
      <c r="B4" s="362"/>
      <c r="C4" s="3302" t="s">
        <v>2356</v>
      </c>
      <c r="D4" s="3303"/>
      <c r="E4" s="3304" t="s">
        <v>2357</v>
      </c>
      <c r="F4" s="3305"/>
      <c r="G4" s="3302" t="s">
        <v>2358</v>
      </c>
      <c r="H4" s="3303"/>
      <c r="I4" s="3302" t="s">
        <v>2359</v>
      </c>
      <c r="J4" s="3303"/>
      <c r="K4" s="2075" t="s">
        <v>2360</v>
      </c>
      <c r="L4" s="2939"/>
      <c r="M4" s="2940"/>
      <c r="N4" s="2940"/>
      <c r="O4" s="2940"/>
      <c r="P4" s="3306" t="s">
        <v>2361</v>
      </c>
      <c r="Q4" s="3307"/>
      <c r="R4" s="3312" t="s">
        <v>2357</v>
      </c>
      <c r="S4" s="3313"/>
      <c r="T4" s="3312" t="s">
        <v>2358</v>
      </c>
      <c r="U4" s="3313"/>
      <c r="V4" s="3318" t="s">
        <v>2359</v>
      </c>
      <c r="W4" s="3318"/>
      <c r="X4" s="1539"/>
      <c r="Y4" s="3312" t="s">
        <v>2361</v>
      </c>
      <c r="Z4" s="3313"/>
      <c r="AA4" s="3299" t="s">
        <v>2357</v>
      </c>
      <c r="AB4" s="3299" t="s">
        <v>2358</v>
      </c>
      <c r="AC4" s="3299" t="s">
        <v>2359</v>
      </c>
    </row>
    <row r="5" spans="1:29" ht="25.5" customHeight="1">
      <c r="A5" s="364"/>
      <c r="B5" s="365"/>
      <c r="C5" s="3326" t="s">
        <v>10269</v>
      </c>
      <c r="D5" s="3327"/>
      <c r="E5" s="3332" t="s">
        <v>10291</v>
      </c>
      <c r="F5" s="3333"/>
      <c r="G5" s="3321" t="s">
        <v>10292</v>
      </c>
      <c r="H5" s="3322"/>
      <c r="I5" s="3321" t="s">
        <v>10293</v>
      </c>
      <c r="J5" s="3322"/>
      <c r="K5" s="2076"/>
      <c r="L5" s="2939"/>
      <c r="M5" s="2940"/>
      <c r="N5" s="2940"/>
      <c r="O5" s="2940"/>
      <c r="P5" s="3308"/>
      <c r="Q5" s="3309"/>
      <c r="R5" s="3314"/>
      <c r="S5" s="3315"/>
      <c r="T5" s="3314"/>
      <c r="U5" s="3315"/>
      <c r="V5" s="3318"/>
      <c r="W5" s="3318"/>
      <c r="X5" s="1539"/>
      <c r="Y5" s="3314"/>
      <c r="Z5" s="3315"/>
      <c r="AA5" s="3300"/>
      <c r="AB5" s="3300"/>
      <c r="AC5" s="3300"/>
    </row>
    <row r="6" spans="1:29" ht="39.75" customHeight="1" thickBot="1">
      <c r="A6" s="366"/>
      <c r="B6" s="367"/>
      <c r="C6" s="3328" t="s">
        <v>2366</v>
      </c>
      <c r="D6" s="3329"/>
      <c r="E6" s="3330" t="s">
        <v>10288</v>
      </c>
      <c r="F6" s="3331"/>
      <c r="G6" s="3319" t="s">
        <v>10289</v>
      </c>
      <c r="H6" s="3320"/>
      <c r="I6" s="3319" t="s">
        <v>10290</v>
      </c>
      <c r="J6" s="3320"/>
      <c r="K6" s="2076" t="s">
        <v>2367</v>
      </c>
      <c r="L6" s="2939"/>
      <c r="M6" s="2940"/>
      <c r="N6" s="2940"/>
      <c r="O6" s="2940"/>
      <c r="P6" s="3310"/>
      <c r="Q6" s="3311"/>
      <c r="R6" s="3314"/>
      <c r="S6" s="3315"/>
      <c r="T6" s="3316"/>
      <c r="U6" s="3317"/>
      <c r="V6" s="3318"/>
      <c r="W6" s="3318"/>
      <c r="X6" s="1539"/>
      <c r="Y6" s="3316"/>
      <c r="Z6" s="3317"/>
      <c r="AA6" s="3301"/>
      <c r="AB6" s="3301"/>
      <c r="AC6" s="3301"/>
    </row>
    <row r="7" spans="1:29" s="113" customFormat="1" ht="15.75" thickBot="1">
      <c r="A7" s="368" t="s">
        <v>2368</v>
      </c>
      <c r="B7" s="369"/>
      <c r="C7" s="370">
        <f>'数据-取费表'!B2</f>
        <v>44523</v>
      </c>
      <c r="D7" s="371">
        <v>100</v>
      </c>
      <c r="E7" s="372">
        <f>C7</f>
        <v>44523</v>
      </c>
      <c r="F7" s="373">
        <f>SUMIF(58:58,YEAR(E7)&amp;"-"&amp;MONTH(E7),59:59)</f>
        <v>100</v>
      </c>
      <c r="G7" s="372">
        <f>C7</f>
        <v>44523</v>
      </c>
      <c r="H7" s="371">
        <f>SUMIF(58:58,YEAR(G7)&amp;"-"&amp;MONTH(G7),59:59)</f>
        <v>100</v>
      </c>
      <c r="I7" s="372">
        <f>C7</f>
        <v>44523</v>
      </c>
      <c r="J7" s="371">
        <f>SUMIF(58:58,YEAR(I7)&amp;"-"&amp;MONTH(I7),59:59)</f>
        <v>100</v>
      </c>
      <c r="K7" s="2077"/>
      <c r="L7" s="2941"/>
      <c r="M7" s="2942"/>
      <c r="N7" s="2942"/>
      <c r="O7" s="2942"/>
      <c r="P7" s="3323" t="s">
        <v>2369</v>
      </c>
      <c r="Q7" s="3325"/>
      <c r="R7" s="710" t="s">
        <v>23</v>
      </c>
      <c r="S7" s="711">
        <f t="shared" ref="S7:S15" si="0">F7</f>
        <v>100</v>
      </c>
      <c r="T7" s="710" t="s">
        <v>23</v>
      </c>
      <c r="U7" s="711">
        <f t="shared" ref="U7:U15" si="1">H7</f>
        <v>100</v>
      </c>
      <c r="V7" s="710" t="s">
        <v>23</v>
      </c>
      <c r="W7" s="711">
        <f t="shared" ref="W7:W15" si="2">J7</f>
        <v>100</v>
      </c>
      <c r="X7" s="712"/>
      <c r="Y7" s="3323" t="s">
        <v>2369</v>
      </c>
      <c r="Z7" s="3324"/>
      <c r="AA7" s="713">
        <f>D7/F7</f>
        <v>1</v>
      </c>
      <c r="AB7" s="713">
        <f>D7/H7</f>
        <v>1</v>
      </c>
      <c r="AC7" s="713">
        <f>D7/J7</f>
        <v>1</v>
      </c>
    </row>
    <row r="8" spans="1:29" s="113" customFormat="1" ht="15.75" thickBot="1">
      <c r="A8" s="368" t="s">
        <v>2370</v>
      </c>
      <c r="B8" s="369"/>
      <c r="C8" s="374" t="s">
        <v>2371</v>
      </c>
      <c r="D8" s="371">
        <v>100</v>
      </c>
      <c r="E8" s="374" t="s">
        <v>2371</v>
      </c>
      <c r="F8" s="373">
        <f>SUMIF(61:61,E8,62:62)-SUMIF(61:61,C8,62:62)+100</f>
        <v>100</v>
      </c>
      <c r="G8" s="374" t="s">
        <v>2371</v>
      </c>
      <c r="H8" s="371">
        <f>SUMIF(61:61,G8,62:62)-SUMIF(61:61,C8,62:62)+100</f>
        <v>100</v>
      </c>
      <c r="I8" s="374" t="s">
        <v>2371</v>
      </c>
      <c r="J8" s="371">
        <f>SUMIF(61:61,I8,62:62)-SUMIF(61:61,C8,62:62)+100</f>
        <v>100</v>
      </c>
      <c r="K8" s="2077"/>
      <c r="L8" s="2941"/>
      <c r="M8" s="2942"/>
      <c r="N8" s="2942"/>
      <c r="O8" s="2942"/>
      <c r="P8" s="3323" t="s">
        <v>2372</v>
      </c>
      <c r="Q8" s="3324"/>
      <c r="R8" s="710" t="s">
        <v>23</v>
      </c>
      <c r="S8" s="711">
        <f t="shared" si="0"/>
        <v>100</v>
      </c>
      <c r="T8" s="710" t="s">
        <v>23</v>
      </c>
      <c r="U8" s="711">
        <f t="shared" si="1"/>
        <v>100</v>
      </c>
      <c r="V8" s="710" t="s">
        <v>23</v>
      </c>
      <c r="W8" s="711">
        <f t="shared" si="2"/>
        <v>100</v>
      </c>
      <c r="X8" s="712"/>
      <c r="Y8" s="3323" t="s">
        <v>2372</v>
      </c>
      <c r="Z8" s="3324"/>
      <c r="AA8" s="713">
        <f t="shared" ref="AA8:AA19" si="3">D8/F8</f>
        <v>1</v>
      </c>
      <c r="AB8" s="713">
        <f t="shared" ref="AB8:AB19" si="4">D8/H8</f>
        <v>1</v>
      </c>
      <c r="AC8" s="713">
        <f t="shared" ref="AC8:AC19" si="5">D8/J8</f>
        <v>1</v>
      </c>
    </row>
    <row r="9" spans="1:29" s="113" customFormat="1">
      <c r="A9" s="375" t="s">
        <v>2373</v>
      </c>
      <c r="B9" s="67" t="s">
        <v>2374</v>
      </c>
      <c r="C9" s="3082" t="s">
        <v>10267</v>
      </c>
      <c r="D9" s="131">
        <v>100</v>
      </c>
      <c r="E9" s="377" t="s">
        <v>3086</v>
      </c>
      <c r="F9" s="378">
        <f>SUMIF(63:63,E9,64:64)-SUMIF(63:63,C9,64:64)+100</f>
        <v>100</v>
      </c>
      <c r="G9" s="377" t="s">
        <v>3086</v>
      </c>
      <c r="H9" s="131">
        <f>SUMIF(63:63,G9,64:64)-SUMIF(63:63,C9,64:64)+100</f>
        <v>100</v>
      </c>
      <c r="I9" s="377" t="s">
        <v>3086</v>
      </c>
      <c r="J9" s="131">
        <f>SUMIF(63:63,I9,64:64)-SUMIF(63:63,C9,64:64)+100</f>
        <v>100</v>
      </c>
      <c r="K9" s="2077"/>
      <c r="L9" s="2941"/>
      <c r="M9" s="2942"/>
      <c r="N9" s="2942"/>
      <c r="O9" s="2942"/>
      <c r="P9" s="3298" t="s">
        <v>2375</v>
      </c>
      <c r="Q9" s="1527" t="str">
        <f t="shared" ref="Q9:Q15" si="6">B9</f>
        <v>用途</v>
      </c>
      <c r="R9" s="710" t="s">
        <v>17</v>
      </c>
      <c r="S9" s="711">
        <f t="shared" si="0"/>
        <v>100</v>
      </c>
      <c r="T9" s="710" t="s">
        <v>17</v>
      </c>
      <c r="U9" s="711">
        <f t="shared" si="1"/>
        <v>100</v>
      </c>
      <c r="V9" s="710" t="s">
        <v>17</v>
      </c>
      <c r="W9" s="711">
        <f t="shared" si="2"/>
        <v>100</v>
      </c>
      <c r="X9" s="712"/>
      <c r="Y9" s="3185" t="s">
        <v>2376</v>
      </c>
      <c r="Z9" s="55" t="str">
        <f t="shared" ref="Z9:Z15" si="7">Q9</f>
        <v>用途</v>
      </c>
      <c r="AA9" s="713">
        <f t="shared" si="3"/>
        <v>1</v>
      </c>
      <c r="AB9" s="713">
        <f t="shared" si="4"/>
        <v>1</v>
      </c>
      <c r="AC9" s="713">
        <f t="shared" si="5"/>
        <v>1</v>
      </c>
    </row>
    <row r="10" spans="1:29" s="386" customFormat="1" ht="27">
      <c r="A10" s="380"/>
      <c r="B10" s="381" t="s">
        <v>2377</v>
      </c>
      <c r="C10" s="382" t="s">
        <v>10268</v>
      </c>
      <c r="D10" s="132">
        <v>100</v>
      </c>
      <c r="E10" s="382" t="s">
        <v>10268</v>
      </c>
      <c r="F10" s="384">
        <f>SUMIF(65:65,E10,66:66)-SUMIF(65:65,C10,66:66)+100</f>
        <v>100</v>
      </c>
      <c r="G10" s="382" t="s">
        <v>10268</v>
      </c>
      <c r="H10" s="132">
        <f>SUMIF(65:65,G10,66:66)-SUMIF(65:65,C10,66:66)+100</f>
        <v>100</v>
      </c>
      <c r="I10" s="382" t="s">
        <v>10268</v>
      </c>
      <c r="J10" s="132">
        <f>SUMIF(65:65,I10,66:66)-SUMIF(65:65,C10,66:66)+100</f>
        <v>100</v>
      </c>
      <c r="K10" s="385">
        <v>1</v>
      </c>
      <c r="L10" s="2943"/>
      <c r="M10" s="2944"/>
      <c r="N10" s="2944"/>
      <c r="O10" s="2944"/>
      <c r="P10" s="3298"/>
      <c r="Q10" s="1527"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713">
        <f t="shared" si="5"/>
        <v>1</v>
      </c>
    </row>
    <row r="11" spans="1:29" ht="15">
      <c r="A11" s="387"/>
      <c r="B11" s="381" t="s">
        <v>2378</v>
      </c>
      <c r="C11" s="388">
        <f>'数据-汇总表'!I4</f>
        <v>2.57</v>
      </c>
      <c r="D11" s="132">
        <v>100</v>
      </c>
      <c r="E11" s="389">
        <v>3.6</v>
      </c>
      <c r="F11" s="384">
        <f>LOOKUP(E11,68:68,69:69)-LOOKUP(C11,68:68,69:69)+100</f>
        <v>100</v>
      </c>
      <c r="G11" s="388">
        <v>2</v>
      </c>
      <c r="H11" s="132">
        <f>LOOKUP(G11,68:68,69:69)-LOOKUP(C11,68:68,69:69)+100</f>
        <v>100</v>
      </c>
      <c r="I11" s="388">
        <v>1.83</v>
      </c>
      <c r="J11" s="132">
        <f>LOOKUP(I11,68:68,69:69)-LOOKUP(C11,68:68,69:69)+100</f>
        <v>100</v>
      </c>
      <c r="K11" s="385">
        <v>0</v>
      </c>
      <c r="L11" s="2945"/>
      <c r="M11" s="2940"/>
      <c r="N11" s="2940"/>
      <c r="O11" s="2940"/>
      <c r="P11" s="3298"/>
      <c r="Q11" s="1527" t="str">
        <f t="shared" si="6"/>
        <v>容积率</v>
      </c>
      <c r="R11" s="710" t="s">
        <v>21</v>
      </c>
      <c r="S11" s="711">
        <f t="shared" si="0"/>
        <v>100</v>
      </c>
      <c r="T11" s="710" t="s">
        <v>21</v>
      </c>
      <c r="U11" s="711">
        <f t="shared" si="1"/>
        <v>100</v>
      </c>
      <c r="V11" s="710" t="s">
        <v>21</v>
      </c>
      <c r="W11" s="711">
        <f t="shared" si="2"/>
        <v>100</v>
      </c>
      <c r="X11" s="712"/>
      <c r="Y11" s="3185"/>
      <c r="Z11" s="55" t="str">
        <f t="shared" si="7"/>
        <v>容积率</v>
      </c>
      <c r="AA11" s="713">
        <f t="shared" si="3"/>
        <v>1</v>
      </c>
      <c r="AB11" s="713">
        <f t="shared" si="4"/>
        <v>1</v>
      </c>
      <c r="AC11" s="713">
        <f t="shared" si="5"/>
        <v>1</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1"/>
      <c r="M12" s="2942"/>
      <c r="N12" s="2942"/>
      <c r="O12" s="2942"/>
      <c r="P12" s="3298"/>
      <c r="Q12" s="1527">
        <f t="shared" si="6"/>
        <v>111</v>
      </c>
      <c r="R12" s="710" t="s">
        <v>21</v>
      </c>
      <c r="S12" s="711">
        <f t="shared" si="0"/>
        <v>100</v>
      </c>
      <c r="T12" s="710" t="s">
        <v>21</v>
      </c>
      <c r="U12" s="711">
        <f t="shared" si="1"/>
        <v>100</v>
      </c>
      <c r="V12" s="710" t="s">
        <v>21</v>
      </c>
      <c r="W12" s="711">
        <f t="shared" si="2"/>
        <v>100</v>
      </c>
      <c r="X12" s="712"/>
      <c r="Y12" s="3185"/>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46"/>
      <c r="M13" s="2940"/>
      <c r="N13" s="2940"/>
      <c r="O13" s="2940"/>
      <c r="P13" s="3298"/>
      <c r="Q13" s="1527">
        <f t="shared" si="6"/>
        <v>111</v>
      </c>
      <c r="R13" s="710" t="s">
        <v>21</v>
      </c>
      <c r="S13" s="711">
        <f t="shared" si="0"/>
        <v>100</v>
      </c>
      <c r="T13" s="710" t="s">
        <v>21</v>
      </c>
      <c r="U13" s="711">
        <f t="shared" si="1"/>
        <v>100</v>
      </c>
      <c r="V13" s="710" t="s">
        <v>21</v>
      </c>
      <c r="W13" s="711">
        <f t="shared" si="2"/>
        <v>100</v>
      </c>
      <c r="X13" s="712"/>
      <c r="Y13" s="3185"/>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46"/>
      <c r="M14" s="2940"/>
      <c r="N14" s="2940"/>
      <c r="O14" s="2940"/>
      <c r="P14" s="3298"/>
      <c r="Q14" s="1527">
        <f t="shared" si="6"/>
        <v>111</v>
      </c>
      <c r="R14" s="710" t="s">
        <v>21</v>
      </c>
      <c r="S14" s="711">
        <f t="shared" si="0"/>
        <v>100</v>
      </c>
      <c r="T14" s="710" t="s">
        <v>21</v>
      </c>
      <c r="U14" s="711">
        <f t="shared" si="1"/>
        <v>100</v>
      </c>
      <c r="V14" s="710" t="s">
        <v>21</v>
      </c>
      <c r="W14" s="711">
        <f t="shared" si="2"/>
        <v>100</v>
      </c>
      <c r="X14" s="712"/>
      <c r="Y14" s="3185"/>
      <c r="Z14" s="55">
        <f t="shared" si="7"/>
        <v>111</v>
      </c>
      <c r="AA14" s="713">
        <f t="shared" si="3"/>
        <v>1</v>
      </c>
      <c r="AB14" s="713">
        <f t="shared" si="4"/>
        <v>1</v>
      </c>
      <c r="AC14" s="713">
        <f t="shared" si="5"/>
        <v>1</v>
      </c>
    </row>
    <row r="15" spans="1:29" ht="99.75">
      <c r="A15" s="399" t="s">
        <v>2379</v>
      </c>
      <c r="B15" s="65" t="s">
        <v>1942</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946"/>
      <c r="M15" s="2940"/>
      <c r="N15" s="2940"/>
      <c r="O15" s="2940"/>
      <c r="P15" s="3296" t="s">
        <v>2380</v>
      </c>
      <c r="Q15" s="1536" t="str">
        <f t="shared" si="6"/>
        <v>居住社区成熟度</v>
      </c>
      <c r="R15" s="714" t="s">
        <v>21</v>
      </c>
      <c r="S15" s="715">
        <f t="shared" si="0"/>
        <v>100</v>
      </c>
      <c r="T15" s="714" t="s">
        <v>21</v>
      </c>
      <c r="U15" s="715">
        <f t="shared" si="1"/>
        <v>100</v>
      </c>
      <c r="V15" s="714" t="s">
        <v>21</v>
      </c>
      <c r="W15" s="715">
        <f t="shared" si="2"/>
        <v>100</v>
      </c>
      <c r="X15" s="1539"/>
      <c r="Y15" s="3289" t="s">
        <v>2380</v>
      </c>
      <c r="Z15" s="1540" t="str">
        <f t="shared" si="7"/>
        <v>居住社区成熟度</v>
      </c>
      <c r="AA15" s="1537">
        <f t="shared" si="3"/>
        <v>1</v>
      </c>
      <c r="AB15" s="1537">
        <f t="shared" si="4"/>
        <v>1</v>
      </c>
      <c r="AC15" s="1537">
        <f t="shared" si="5"/>
        <v>1</v>
      </c>
    </row>
    <row r="16" spans="1:29" ht="15">
      <c r="A16" s="387"/>
      <c r="B16" s="405"/>
      <c r="C16" s="406" t="s">
        <v>10286</v>
      </c>
      <c r="D16" s="407"/>
      <c r="E16" s="406" t="s">
        <v>10286</v>
      </c>
      <c r="F16" s="407"/>
      <c r="G16" s="406" t="s">
        <v>10286</v>
      </c>
      <c r="H16" s="409"/>
      <c r="I16" s="406" t="s">
        <v>10286</v>
      </c>
      <c r="J16" s="407"/>
      <c r="K16" s="2084"/>
      <c r="L16" s="2946"/>
      <c r="M16" s="2940"/>
      <c r="N16" s="2940"/>
      <c r="O16" s="2940"/>
      <c r="P16" s="3297"/>
      <c r="Q16" s="1536"/>
      <c r="R16" s="714"/>
      <c r="S16" s="715"/>
      <c r="T16" s="714"/>
      <c r="U16" s="715"/>
      <c r="V16" s="714"/>
      <c r="W16" s="715"/>
      <c r="X16" s="1539"/>
      <c r="Y16" s="3290"/>
      <c r="Z16" s="1540"/>
      <c r="AA16" s="1537">
        <v>1</v>
      </c>
      <c r="AB16" s="1537">
        <v>1</v>
      </c>
      <c r="AC16" s="1537">
        <v>1</v>
      </c>
    </row>
    <row r="17" spans="1:29" ht="85.5">
      <c r="A17" s="387"/>
      <c r="B17" s="410" t="s">
        <v>1944</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98</v>
      </c>
      <c r="K17" s="404">
        <v>2</v>
      </c>
      <c r="L17" s="2946"/>
      <c r="M17" s="2940"/>
      <c r="N17" s="2940"/>
      <c r="O17" s="2940"/>
      <c r="P17" s="3297"/>
      <c r="Q17" s="1536" t="str">
        <f>B17</f>
        <v>交通便捷度</v>
      </c>
      <c r="R17" s="714" t="s">
        <v>21</v>
      </c>
      <c r="S17" s="715">
        <f>F17</f>
        <v>100</v>
      </c>
      <c r="T17" s="714" t="s">
        <v>21</v>
      </c>
      <c r="U17" s="715">
        <f>H17</f>
        <v>100</v>
      </c>
      <c r="V17" s="714" t="s">
        <v>21</v>
      </c>
      <c r="W17" s="715">
        <f>J17</f>
        <v>98</v>
      </c>
      <c r="X17" s="1539"/>
      <c r="Y17" s="3290"/>
      <c r="Z17" s="1540" t="str">
        <f>Q17</f>
        <v>交通便捷度</v>
      </c>
      <c r="AA17" s="1537">
        <f t="shared" si="3"/>
        <v>1</v>
      </c>
      <c r="AB17" s="1537">
        <f t="shared" si="4"/>
        <v>1</v>
      </c>
      <c r="AC17" s="1537">
        <f t="shared" si="5"/>
        <v>1.0204081632653061</v>
      </c>
    </row>
    <row r="18" spans="1:29" ht="15">
      <c r="A18" s="387"/>
      <c r="B18" s="415"/>
      <c r="C18" s="406" t="s">
        <v>10286</v>
      </c>
      <c r="D18" s="409"/>
      <c r="E18" s="406" t="s">
        <v>10286</v>
      </c>
      <c r="F18" s="409"/>
      <c r="G18" s="406" t="s">
        <v>10286</v>
      </c>
      <c r="H18" s="407"/>
      <c r="I18" s="406" t="s">
        <v>10287</v>
      </c>
      <c r="J18" s="407"/>
      <c r="K18" s="2084"/>
      <c r="L18" s="2946"/>
      <c r="M18" s="2940"/>
      <c r="N18" s="2940"/>
      <c r="O18" s="2940"/>
      <c r="P18" s="3297"/>
      <c r="Q18" s="1536"/>
      <c r="R18" s="714"/>
      <c r="S18" s="715"/>
      <c r="T18" s="714"/>
      <c r="U18" s="715"/>
      <c r="V18" s="714"/>
      <c r="W18" s="715"/>
      <c r="X18" s="1539"/>
      <c r="Y18" s="3290"/>
      <c r="Z18" s="1540"/>
      <c r="AA18" s="1537">
        <v>1</v>
      </c>
      <c r="AB18" s="1537">
        <v>1</v>
      </c>
      <c r="AC18" s="1537">
        <v>1</v>
      </c>
    </row>
    <row r="19" spans="1:29" ht="42.75">
      <c r="A19" s="387"/>
      <c r="B19" s="410" t="s">
        <v>1943</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2</v>
      </c>
      <c r="L19" s="2946"/>
      <c r="M19" s="2940"/>
      <c r="N19" s="2940"/>
      <c r="O19" s="2940"/>
      <c r="P19" s="3297"/>
      <c r="Q19" s="1536" t="str">
        <f>B19</f>
        <v>公共配套设施</v>
      </c>
      <c r="R19" s="714" t="s">
        <v>21</v>
      </c>
      <c r="S19" s="715">
        <f>F19</f>
        <v>100</v>
      </c>
      <c r="T19" s="714" t="s">
        <v>21</v>
      </c>
      <c r="U19" s="715">
        <f>H19</f>
        <v>100</v>
      </c>
      <c r="V19" s="714" t="s">
        <v>21</v>
      </c>
      <c r="W19" s="715">
        <f>J19</f>
        <v>100</v>
      </c>
      <c r="X19" s="1539"/>
      <c r="Y19" s="3290"/>
      <c r="Z19" s="1540" t="str">
        <f>Q19</f>
        <v>公共配套设施</v>
      </c>
      <c r="AA19" s="1537">
        <f t="shared" si="3"/>
        <v>1</v>
      </c>
      <c r="AB19" s="1537">
        <f t="shared" si="4"/>
        <v>1</v>
      </c>
      <c r="AC19" s="1537">
        <f t="shared" si="5"/>
        <v>1</v>
      </c>
    </row>
    <row r="20" spans="1:29" ht="15">
      <c r="A20" s="387"/>
      <c r="B20" s="415"/>
      <c r="C20" s="406" t="s">
        <v>10286</v>
      </c>
      <c r="D20" s="407"/>
      <c r="E20" s="406" t="s">
        <v>10286</v>
      </c>
      <c r="F20" s="407"/>
      <c r="G20" s="406" t="s">
        <v>10286</v>
      </c>
      <c r="H20" s="407"/>
      <c r="I20" s="406" t="s">
        <v>10286</v>
      </c>
      <c r="J20" s="407"/>
      <c r="K20" s="2084"/>
      <c r="L20" s="2946"/>
      <c r="M20" s="2940"/>
      <c r="N20" s="2940"/>
      <c r="O20" s="2940"/>
      <c r="P20" s="3297"/>
      <c r="Q20" s="1536"/>
      <c r="R20" s="714"/>
      <c r="S20" s="715"/>
      <c r="T20" s="714"/>
      <c r="U20" s="715"/>
      <c r="V20" s="714"/>
      <c r="W20" s="715"/>
      <c r="X20" s="1539"/>
      <c r="Y20" s="3290"/>
      <c r="Z20" s="1540"/>
      <c r="AA20" s="1537">
        <v>1</v>
      </c>
      <c r="AB20" s="1537">
        <v>1</v>
      </c>
      <c r="AC20" s="1537">
        <v>1</v>
      </c>
    </row>
    <row r="21" spans="1:29" ht="28.5">
      <c r="A21" s="387"/>
      <c r="B21" s="1293" t="s">
        <v>1945</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2</v>
      </c>
      <c r="L21" s="2946"/>
      <c r="M21" s="2940"/>
      <c r="N21" s="2940"/>
      <c r="O21" s="2940"/>
      <c r="P21" s="3297"/>
      <c r="Q21" s="1536" t="str">
        <f>B21</f>
        <v>基础设施水平</v>
      </c>
      <c r="R21" s="714" t="s">
        <v>17</v>
      </c>
      <c r="S21" s="715">
        <f>F21</f>
        <v>100</v>
      </c>
      <c r="T21" s="714" t="s">
        <v>17</v>
      </c>
      <c r="U21" s="715">
        <f>H21</f>
        <v>100</v>
      </c>
      <c r="V21" s="714" t="s">
        <v>17</v>
      </c>
      <c r="W21" s="715">
        <f>J21</f>
        <v>100</v>
      </c>
      <c r="X21" s="1539"/>
      <c r="Y21" s="3290"/>
      <c r="Z21" s="1540" t="str">
        <f>Q21</f>
        <v>基础设施水平</v>
      </c>
      <c r="AA21" s="1537">
        <f t="shared" ref="AA21" si="8">D21/F21</f>
        <v>1</v>
      </c>
      <c r="AB21" s="1537">
        <f t="shared" ref="AB21" si="9">D21/H21</f>
        <v>1</v>
      </c>
      <c r="AC21" s="1537">
        <f t="shared" ref="AC21" si="10">D21/J21</f>
        <v>1</v>
      </c>
    </row>
    <row r="22" spans="1:29" ht="15">
      <c r="A22" s="387"/>
      <c r="B22" s="1293"/>
      <c r="C22" s="2086" t="s">
        <v>10282</v>
      </c>
      <c r="D22" s="407"/>
      <c r="E22" s="2086" t="s">
        <v>10282</v>
      </c>
      <c r="F22" s="407"/>
      <c r="G22" s="2086" t="s">
        <v>10282</v>
      </c>
      <c r="H22" s="407"/>
      <c r="I22" s="2086" t="s">
        <v>10282</v>
      </c>
      <c r="J22" s="407"/>
      <c r="K22" s="2090"/>
      <c r="L22" s="2946"/>
      <c r="M22" s="2940"/>
      <c r="N22" s="2940"/>
      <c r="O22" s="2940"/>
      <c r="P22" s="3297"/>
      <c r="Q22" s="1536"/>
      <c r="R22" s="714"/>
      <c r="S22" s="715"/>
      <c r="T22" s="714"/>
      <c r="U22" s="715"/>
      <c r="V22" s="714"/>
      <c r="W22" s="715"/>
      <c r="X22" s="1539"/>
      <c r="Y22" s="3290"/>
      <c r="Z22" s="1540"/>
      <c r="AA22" s="1537">
        <v>1</v>
      </c>
      <c r="AB22" s="1537">
        <v>1</v>
      </c>
      <c r="AC22" s="1537">
        <v>1</v>
      </c>
    </row>
    <row r="23" spans="1:29" ht="57">
      <c r="A23" s="387"/>
      <c r="B23" s="410" t="s">
        <v>1946</v>
      </c>
      <c r="C23" s="2085" t="str">
        <f>估价对象房地状况!C9</f>
        <v>区域自然环境：；人文环境；综合评价环境状况一般</v>
      </c>
      <c r="D23" s="409">
        <v>100</v>
      </c>
      <c r="E23" s="413"/>
      <c r="F23" s="409">
        <f>SUMIF(84:84,E24,85:85)-SUMIF(84:84,C24,85:85)+100</f>
        <v>104</v>
      </c>
      <c r="G23" s="411"/>
      <c r="H23" s="409">
        <f>SUMIF(84:84,G24,85:85)-SUMIF(84:84,C24,85:85)+100</f>
        <v>104</v>
      </c>
      <c r="I23" s="411"/>
      <c r="J23" s="409">
        <f>SUMIF(84:84,I24,85:85)-SUMIF(84:84,C24,85:85)+100</f>
        <v>100</v>
      </c>
      <c r="K23" s="404">
        <v>4</v>
      </c>
      <c r="L23" s="2946"/>
      <c r="M23" s="2940"/>
      <c r="N23" s="2940"/>
      <c r="O23" s="2940"/>
      <c r="P23" s="3297"/>
      <c r="Q23" s="1536" t="str">
        <f>B23</f>
        <v>自然及人文环境</v>
      </c>
      <c r="R23" s="714" t="s">
        <v>21</v>
      </c>
      <c r="S23" s="715">
        <f>F23</f>
        <v>104</v>
      </c>
      <c r="T23" s="714" t="s">
        <v>21</v>
      </c>
      <c r="U23" s="715">
        <f>H23</f>
        <v>104</v>
      </c>
      <c r="V23" s="714" t="s">
        <v>21</v>
      </c>
      <c r="W23" s="715">
        <f>J23</f>
        <v>100</v>
      </c>
      <c r="X23" s="1539"/>
      <c r="Y23" s="3290"/>
      <c r="Z23" s="1540" t="str">
        <f>Q23</f>
        <v>自然及人文环境</v>
      </c>
      <c r="AA23" s="1537">
        <f>D23/F23</f>
        <v>0.96153846153846156</v>
      </c>
      <c r="AB23" s="1537">
        <f>D23/H23</f>
        <v>0.96153846153846156</v>
      </c>
      <c r="AC23" s="1537">
        <f>D23/J23</f>
        <v>1</v>
      </c>
    </row>
    <row r="24" spans="1:29" ht="15.75" thickBot="1">
      <c r="A24" s="387"/>
      <c r="B24" s="415"/>
      <c r="C24" s="406" t="s">
        <v>10287</v>
      </c>
      <c r="D24" s="407"/>
      <c r="E24" s="406" t="s">
        <v>10286</v>
      </c>
      <c r="F24" s="407"/>
      <c r="G24" s="406" t="s">
        <v>10286</v>
      </c>
      <c r="H24" s="407"/>
      <c r="I24" s="406" t="s">
        <v>10287</v>
      </c>
      <c r="J24" s="407"/>
      <c r="K24" s="2084"/>
      <c r="L24" s="2946"/>
      <c r="M24" s="2940"/>
      <c r="N24" s="2940"/>
      <c r="O24" s="2940"/>
      <c r="P24" s="3297"/>
      <c r="Q24" s="1536"/>
      <c r="R24" s="714"/>
      <c r="S24" s="715"/>
      <c r="T24" s="714"/>
      <c r="U24" s="715"/>
      <c r="V24" s="714"/>
      <c r="W24" s="715"/>
      <c r="X24" s="1539"/>
      <c r="Y24" s="3290"/>
      <c r="Z24" s="1540"/>
      <c r="AA24" s="1537">
        <v>1</v>
      </c>
      <c r="AB24" s="1537">
        <v>1</v>
      </c>
      <c r="AC24" s="1537">
        <v>1</v>
      </c>
    </row>
    <row r="25" spans="1:29" ht="15" hidden="1">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46"/>
      <c r="M25" s="2940"/>
      <c r="N25" s="2940"/>
      <c r="O25" s="2940"/>
      <c r="P25" s="3297"/>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90"/>
      <c r="Z25" s="1540" t="str">
        <f>Q25</f>
        <v>楼层-1</v>
      </c>
      <c r="AA25" s="1537">
        <f t="shared" ref="AA25:AA46" si="15">D25/F25</f>
        <v>1</v>
      </c>
      <c r="AB25" s="1537">
        <f t="shared" ref="AB25:AB46" si="16">D25/H25</f>
        <v>1</v>
      </c>
      <c r="AC25" s="1537">
        <f t="shared" ref="AC25:AC46" si="17">D25/J25</f>
        <v>1</v>
      </c>
    </row>
    <row r="26" spans="1:29" ht="15" hidden="1">
      <c r="A26" s="387"/>
      <c r="B26" s="381" t="s">
        <v>2382</v>
      </c>
      <c r="C26" s="419"/>
      <c r="D26" s="394">
        <v>100</v>
      </c>
      <c r="E26" s="2091"/>
      <c r="F26" s="394">
        <f>SUMIF(88:88,E26,89:89)-SUMIF(88:88,C26,89:89)+100</f>
        <v>100</v>
      </c>
      <c r="G26" s="2092"/>
      <c r="H26" s="394">
        <f>SUMIF(88:88,G26,89:89)-SUMIF(88:88,C26,89:89)+100</f>
        <v>100</v>
      </c>
      <c r="I26" s="2092"/>
      <c r="J26" s="394">
        <f>SUMIF(88:88,I26,89:89)-SUMIF(88:88,C26,89:89)+100</f>
        <v>100</v>
      </c>
      <c r="K26" s="385"/>
      <c r="L26" s="2946"/>
      <c r="M26" s="2940"/>
      <c r="N26" s="2940"/>
      <c r="O26" s="2940"/>
      <c r="P26" s="3297"/>
      <c r="Q26" s="1536" t="str">
        <f t="shared" si="11"/>
        <v>朝向</v>
      </c>
      <c r="R26" s="714" t="s">
        <v>21</v>
      </c>
      <c r="S26" s="715">
        <f t="shared" si="12"/>
        <v>100</v>
      </c>
      <c r="T26" s="714" t="s">
        <v>21</v>
      </c>
      <c r="U26" s="715">
        <f t="shared" si="13"/>
        <v>100</v>
      </c>
      <c r="V26" s="714" t="s">
        <v>21</v>
      </c>
      <c r="W26" s="715">
        <f t="shared" si="14"/>
        <v>100</v>
      </c>
      <c r="X26" s="1539"/>
      <c r="Y26" s="3290"/>
      <c r="Z26" s="1540" t="str">
        <f>Q26</f>
        <v>朝向</v>
      </c>
      <c r="AA26" s="1537">
        <f t="shared" si="15"/>
        <v>1</v>
      </c>
      <c r="AB26" s="1537">
        <f t="shared" si="16"/>
        <v>1</v>
      </c>
      <c r="AC26" s="1537">
        <f t="shared" si="17"/>
        <v>1</v>
      </c>
    </row>
    <row r="27" spans="1:29" s="113" customFormat="1" ht="15" hidden="1">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1"/>
      <c r="M27" s="2942"/>
      <c r="N27" s="2942"/>
      <c r="O27" s="2942"/>
      <c r="P27" s="3297"/>
      <c r="Q27" s="1527">
        <f t="shared" si="11"/>
        <v>111</v>
      </c>
      <c r="R27" s="710" t="s">
        <v>21</v>
      </c>
      <c r="S27" s="711">
        <f t="shared" si="12"/>
        <v>100</v>
      </c>
      <c r="T27" s="710" t="s">
        <v>21</v>
      </c>
      <c r="U27" s="711">
        <f t="shared" si="13"/>
        <v>100</v>
      </c>
      <c r="V27" s="710" t="s">
        <v>21</v>
      </c>
      <c r="W27" s="711">
        <f t="shared" si="14"/>
        <v>100</v>
      </c>
      <c r="X27" s="712"/>
      <c r="Y27" s="3290"/>
      <c r="Z27" s="55">
        <f>Q27</f>
        <v>111</v>
      </c>
      <c r="AA27" s="1537">
        <f t="shared" si="15"/>
        <v>1</v>
      </c>
      <c r="AB27" s="1537">
        <f t="shared" si="16"/>
        <v>1</v>
      </c>
      <c r="AC27" s="1537">
        <f t="shared" si="17"/>
        <v>1</v>
      </c>
    </row>
    <row r="28" spans="1:29" ht="15" hidden="1">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46"/>
      <c r="M28" s="2940"/>
      <c r="N28" s="2940"/>
      <c r="O28" s="2940"/>
      <c r="P28" s="3297"/>
      <c r="Q28" s="1536">
        <f t="shared" si="11"/>
        <v>111</v>
      </c>
      <c r="R28" s="714" t="s">
        <v>21</v>
      </c>
      <c r="S28" s="715">
        <f t="shared" si="12"/>
        <v>100</v>
      </c>
      <c r="T28" s="714" t="s">
        <v>21</v>
      </c>
      <c r="U28" s="715">
        <f t="shared" si="13"/>
        <v>100</v>
      </c>
      <c r="V28" s="714" t="s">
        <v>21</v>
      </c>
      <c r="W28" s="715">
        <f t="shared" si="14"/>
        <v>100</v>
      </c>
      <c r="X28" s="1539"/>
      <c r="Y28" s="3290"/>
      <c r="Z28" s="1540">
        <f t="shared" ref="Z28:Z46" si="18">Q28</f>
        <v>111</v>
      </c>
      <c r="AA28" s="1537">
        <f t="shared" si="15"/>
        <v>1</v>
      </c>
      <c r="AB28" s="1537">
        <f t="shared" si="16"/>
        <v>1</v>
      </c>
      <c r="AC28" s="1537">
        <f t="shared" si="17"/>
        <v>1</v>
      </c>
    </row>
    <row r="29" spans="1:29" ht="15" hidden="1">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46"/>
      <c r="M29" s="2940"/>
      <c r="N29" s="2940"/>
      <c r="O29" s="2940"/>
      <c r="P29" s="3297"/>
      <c r="Q29" s="1536">
        <f t="shared" si="11"/>
        <v>111</v>
      </c>
      <c r="R29" s="714" t="s">
        <v>21</v>
      </c>
      <c r="S29" s="715">
        <f t="shared" si="12"/>
        <v>100</v>
      </c>
      <c r="T29" s="714" t="s">
        <v>21</v>
      </c>
      <c r="U29" s="715">
        <f t="shared" si="13"/>
        <v>100</v>
      </c>
      <c r="V29" s="714" t="s">
        <v>21</v>
      </c>
      <c r="W29" s="715">
        <f t="shared" si="14"/>
        <v>100</v>
      </c>
      <c r="X29" s="1539"/>
      <c r="Y29" s="3290"/>
      <c r="Z29" s="1540">
        <f t="shared" si="18"/>
        <v>111</v>
      </c>
      <c r="AA29" s="1537">
        <f t="shared" si="15"/>
        <v>1</v>
      </c>
      <c r="AB29" s="1537">
        <f t="shared" si="16"/>
        <v>1</v>
      </c>
      <c r="AC29" s="1537">
        <f t="shared" si="17"/>
        <v>1</v>
      </c>
    </row>
    <row r="30" spans="1:29" ht="15" hidden="1">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46"/>
      <c r="M30" s="2940"/>
      <c r="N30" s="2940"/>
      <c r="O30" s="2940"/>
      <c r="P30" s="3297"/>
      <c r="Q30" s="1536">
        <f t="shared" si="11"/>
        <v>111</v>
      </c>
      <c r="R30" s="714" t="s">
        <v>21</v>
      </c>
      <c r="S30" s="715">
        <f t="shared" si="12"/>
        <v>100</v>
      </c>
      <c r="T30" s="714" t="s">
        <v>21</v>
      </c>
      <c r="U30" s="715">
        <f t="shared" si="13"/>
        <v>100</v>
      </c>
      <c r="V30" s="714" t="s">
        <v>21</v>
      </c>
      <c r="W30" s="715">
        <f t="shared" si="14"/>
        <v>100</v>
      </c>
      <c r="X30" s="1539"/>
      <c r="Y30" s="3290"/>
      <c r="Z30" s="1540">
        <f t="shared" si="18"/>
        <v>111</v>
      </c>
      <c r="AA30" s="1537">
        <f t="shared" si="15"/>
        <v>1</v>
      </c>
      <c r="AB30" s="1537">
        <f t="shared" si="16"/>
        <v>1</v>
      </c>
      <c r="AC30" s="1537">
        <f t="shared" si="17"/>
        <v>1</v>
      </c>
    </row>
    <row r="31" spans="1:29" ht="15.75" hidden="1"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46"/>
      <c r="M31" s="2940"/>
      <c r="N31" s="2940"/>
      <c r="O31" s="2940"/>
      <c r="P31" s="3297"/>
      <c r="Q31" s="1536">
        <f t="shared" si="11"/>
        <v>111</v>
      </c>
      <c r="R31" s="714" t="s">
        <v>21</v>
      </c>
      <c r="S31" s="715">
        <f t="shared" si="12"/>
        <v>100</v>
      </c>
      <c r="T31" s="714" t="s">
        <v>21</v>
      </c>
      <c r="U31" s="715">
        <f t="shared" si="13"/>
        <v>100</v>
      </c>
      <c r="V31" s="714" t="s">
        <v>21</v>
      </c>
      <c r="W31" s="715">
        <f t="shared" si="14"/>
        <v>100</v>
      </c>
      <c r="X31" s="1539"/>
      <c r="Y31" s="3290"/>
      <c r="Z31" s="1540">
        <f t="shared" si="18"/>
        <v>111</v>
      </c>
      <c r="AA31" s="1537">
        <f t="shared" si="15"/>
        <v>1</v>
      </c>
      <c r="AB31" s="1537">
        <f t="shared" si="16"/>
        <v>1</v>
      </c>
      <c r="AC31" s="1537">
        <f t="shared" si="17"/>
        <v>1</v>
      </c>
    </row>
    <row r="32" spans="1:29" ht="15">
      <c r="A32" s="399" t="s">
        <v>2383</v>
      </c>
      <c r="B32" s="67" t="s">
        <v>2384</v>
      </c>
      <c r="C32" s="2095" t="s">
        <v>3238</v>
      </c>
      <c r="D32" s="426">
        <v>100</v>
      </c>
      <c r="E32" s="2096" t="s">
        <v>3238</v>
      </c>
      <c r="F32" s="420">
        <f>SUMIF(100:100,E32,101:101)-SUMIF(100:100,C32,101:101)+100</f>
        <v>100</v>
      </c>
      <c r="G32" s="2095" t="s">
        <v>3238</v>
      </c>
      <c r="H32" s="426">
        <f>SUMIF(100:100,G32,101:101)-SUMIF(100:100,C32,101:101)+100</f>
        <v>100</v>
      </c>
      <c r="I32" s="2096" t="s">
        <v>3238</v>
      </c>
      <c r="J32" s="394">
        <f>SUMIF(100:100,I32,101:101)-SUMIF(100:100,C32,101:101)+100</f>
        <v>100</v>
      </c>
      <c r="K32" s="385">
        <v>5</v>
      </c>
      <c r="L32" s="2946"/>
      <c r="M32" s="2940"/>
      <c r="N32" s="2940"/>
      <c r="O32" s="2940"/>
      <c r="P32" s="3291" t="s">
        <v>2385</v>
      </c>
      <c r="Q32" s="1536" t="str">
        <f t="shared" si="11"/>
        <v>建筑类型</v>
      </c>
      <c r="R32" s="714" t="s">
        <v>21</v>
      </c>
      <c r="S32" s="715">
        <f t="shared" si="12"/>
        <v>100</v>
      </c>
      <c r="T32" s="714" t="s">
        <v>21</v>
      </c>
      <c r="U32" s="715">
        <f t="shared" si="13"/>
        <v>100</v>
      </c>
      <c r="V32" s="714" t="s">
        <v>21</v>
      </c>
      <c r="W32" s="715">
        <f t="shared" si="14"/>
        <v>100</v>
      </c>
      <c r="X32" s="1539"/>
      <c r="Y32" s="3294" t="s">
        <v>2385</v>
      </c>
      <c r="Z32" s="1540" t="str">
        <f t="shared" si="18"/>
        <v>建筑类型</v>
      </c>
      <c r="AA32" s="1537">
        <f t="shared" si="15"/>
        <v>1</v>
      </c>
      <c r="AB32" s="1537">
        <f t="shared" si="16"/>
        <v>1</v>
      </c>
      <c r="AC32" s="1537">
        <f t="shared" si="17"/>
        <v>1</v>
      </c>
    </row>
    <row r="33" spans="1:29" s="430" customFormat="1" ht="15">
      <c r="A33" s="427"/>
      <c r="B33" s="381" t="s">
        <v>2386</v>
      </c>
      <c r="C33" s="428">
        <v>136544.75</v>
      </c>
      <c r="D33" s="132">
        <v>100</v>
      </c>
      <c r="E33" s="389">
        <v>84002</v>
      </c>
      <c r="F33" s="384">
        <f>LOOKUP(E33,103:103,104:104)-LOOKUP(C33,103:103,104:104)+100</f>
        <v>99</v>
      </c>
      <c r="G33" s="388">
        <v>207038.2</v>
      </c>
      <c r="H33" s="132">
        <f>LOOKUP(G33,103:103,104:104)-LOOKUP(C33,103:103,104:104)+100</f>
        <v>102</v>
      </c>
      <c r="I33" s="389">
        <v>198742</v>
      </c>
      <c r="J33" s="132">
        <f>LOOKUP(I33,103:103,104:104)-LOOKUP(C33,103:103,104:104)+100</f>
        <v>101</v>
      </c>
      <c r="K33" s="2079"/>
      <c r="L33" s="2945"/>
      <c r="M33" s="2947"/>
      <c r="N33" s="2947"/>
      <c r="O33" s="2947"/>
      <c r="P33" s="3292"/>
      <c r="Q33" s="716" t="str">
        <f t="shared" si="11"/>
        <v>项目建筑规模</v>
      </c>
      <c r="R33" s="717" t="s">
        <v>21</v>
      </c>
      <c r="S33" s="718">
        <f t="shared" si="12"/>
        <v>99</v>
      </c>
      <c r="T33" s="717" t="s">
        <v>21</v>
      </c>
      <c r="U33" s="718">
        <f t="shared" si="13"/>
        <v>102</v>
      </c>
      <c r="V33" s="717" t="s">
        <v>21</v>
      </c>
      <c r="W33" s="718">
        <f t="shared" si="14"/>
        <v>101</v>
      </c>
      <c r="X33" s="719"/>
      <c r="Y33" s="3294"/>
      <c r="Z33" s="720" t="str">
        <f t="shared" si="18"/>
        <v>项目建筑规模</v>
      </c>
      <c r="AA33" s="1537">
        <f t="shared" si="15"/>
        <v>1.0101010101010102</v>
      </c>
      <c r="AB33" s="1537">
        <f t="shared" si="16"/>
        <v>0.98039215686274506</v>
      </c>
      <c r="AC33" s="1537">
        <f t="shared" si="17"/>
        <v>0.99009900990099009</v>
      </c>
    </row>
    <row r="34" spans="1:29" ht="15">
      <c r="A34" s="431"/>
      <c r="B34" s="381" t="s">
        <v>2387</v>
      </c>
      <c r="C34" s="2097" t="s">
        <v>10263</v>
      </c>
      <c r="D34" s="394">
        <v>100</v>
      </c>
      <c r="E34" s="2098" t="s">
        <v>10263</v>
      </c>
      <c r="F34" s="420">
        <f>SUMIF(105:105,E34,106:106)-SUMIF(105:105,C34,106:106)+100</f>
        <v>100</v>
      </c>
      <c r="G34" s="2097" t="s">
        <v>10263</v>
      </c>
      <c r="H34" s="394">
        <f>SUMIF(105:105,G34,106:106)-SUMIF(105:105,C34,106:106)+100</f>
        <v>100</v>
      </c>
      <c r="I34" s="2098" t="s">
        <v>10263</v>
      </c>
      <c r="J34" s="394">
        <f>SUMIF(105:105,I34,106:106)-SUMIF(105:105,C34,106:106)+100</f>
        <v>100</v>
      </c>
      <c r="K34" s="385">
        <v>1</v>
      </c>
      <c r="L34" s="2946"/>
      <c r="M34" s="2940"/>
      <c r="N34" s="2940"/>
      <c r="O34" s="2940"/>
      <c r="P34" s="3292"/>
      <c r="Q34" s="1536" t="str">
        <f t="shared" si="11"/>
        <v>建筑结构</v>
      </c>
      <c r="R34" s="714" t="s">
        <v>21</v>
      </c>
      <c r="S34" s="715">
        <f t="shared" si="12"/>
        <v>100</v>
      </c>
      <c r="T34" s="714" t="s">
        <v>21</v>
      </c>
      <c r="U34" s="715">
        <f t="shared" si="13"/>
        <v>100</v>
      </c>
      <c r="V34" s="714" t="s">
        <v>21</v>
      </c>
      <c r="W34" s="715">
        <f t="shared" si="14"/>
        <v>100</v>
      </c>
      <c r="X34" s="1539"/>
      <c r="Y34" s="3294"/>
      <c r="Z34" s="1540" t="str">
        <f t="shared" si="18"/>
        <v>建筑结构</v>
      </c>
      <c r="AA34" s="1537">
        <f t="shared" si="15"/>
        <v>1</v>
      </c>
      <c r="AB34" s="1537">
        <f t="shared" si="16"/>
        <v>1</v>
      </c>
      <c r="AC34" s="1537">
        <f t="shared" si="17"/>
        <v>1</v>
      </c>
    </row>
    <row r="35" spans="1:29" ht="15" hidden="1">
      <c r="A35" s="431"/>
      <c r="B35" s="381" t="s">
        <v>2388</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46"/>
      <c r="M35" s="2940"/>
      <c r="N35" s="2940"/>
      <c r="O35" s="2940"/>
      <c r="P35" s="3292"/>
      <c r="Q35" s="1536" t="str">
        <f t="shared" si="11"/>
        <v>建筑品质</v>
      </c>
      <c r="R35" s="714" t="s">
        <v>21</v>
      </c>
      <c r="S35" s="715">
        <f t="shared" si="12"/>
        <v>100</v>
      </c>
      <c r="T35" s="714" t="s">
        <v>21</v>
      </c>
      <c r="U35" s="715">
        <f t="shared" si="13"/>
        <v>100</v>
      </c>
      <c r="V35" s="714" t="s">
        <v>21</v>
      </c>
      <c r="W35" s="715">
        <f t="shared" si="14"/>
        <v>100</v>
      </c>
      <c r="X35" s="1539"/>
      <c r="Y35" s="3294"/>
      <c r="Z35" s="1540" t="str">
        <f t="shared" si="18"/>
        <v>建筑品质</v>
      </c>
      <c r="AA35" s="1537">
        <f t="shared" si="15"/>
        <v>1</v>
      </c>
      <c r="AB35" s="1537">
        <f t="shared" si="16"/>
        <v>1</v>
      </c>
      <c r="AC35" s="1537">
        <f t="shared" si="17"/>
        <v>1</v>
      </c>
    </row>
    <row r="36" spans="1:29" ht="15">
      <c r="A36" s="431"/>
      <c r="B36" s="381" t="s">
        <v>2389</v>
      </c>
      <c r="C36" s="2091" t="s">
        <v>10275</v>
      </c>
      <c r="D36" s="394">
        <v>100</v>
      </c>
      <c r="E36" s="2092" t="s">
        <v>10275</v>
      </c>
      <c r="F36" s="420">
        <f>SUMIF(109:109,E36,110:110)-SUMIF(109:109,C36,110:110)+100</f>
        <v>100</v>
      </c>
      <c r="G36" s="2091" t="s">
        <v>10275</v>
      </c>
      <c r="H36" s="394">
        <f>SUMIF(109:109,G36,110:110)-SUMIF(109:109,C36,110:110)+100</f>
        <v>100</v>
      </c>
      <c r="I36" s="2092" t="s">
        <v>10275</v>
      </c>
      <c r="J36" s="394">
        <f>SUMIF(109:109,I36,110:110)-SUMIF(109:109,C36,110:110)+100</f>
        <v>100</v>
      </c>
      <c r="K36" s="385">
        <v>1</v>
      </c>
      <c r="L36" s="2946"/>
      <c r="M36" s="2940"/>
      <c r="N36" s="2940"/>
      <c r="O36" s="2940"/>
      <c r="P36" s="3292"/>
      <c r="Q36" s="1536" t="str">
        <f t="shared" si="11"/>
        <v>公共部分装修</v>
      </c>
      <c r="R36" s="714" t="s">
        <v>21</v>
      </c>
      <c r="S36" s="715">
        <f t="shared" si="12"/>
        <v>100</v>
      </c>
      <c r="T36" s="714" t="s">
        <v>21</v>
      </c>
      <c r="U36" s="715">
        <f t="shared" si="13"/>
        <v>100</v>
      </c>
      <c r="V36" s="714" t="s">
        <v>21</v>
      </c>
      <c r="W36" s="715">
        <f t="shared" si="14"/>
        <v>100</v>
      </c>
      <c r="X36" s="1539"/>
      <c r="Y36" s="3294"/>
      <c r="Z36" s="1540" t="str">
        <f t="shared" si="18"/>
        <v>公共部分装修</v>
      </c>
      <c r="AA36" s="1537">
        <f t="shared" si="15"/>
        <v>1</v>
      </c>
      <c r="AB36" s="1537">
        <f t="shared" si="16"/>
        <v>1</v>
      </c>
      <c r="AC36" s="1537">
        <f t="shared" si="17"/>
        <v>1</v>
      </c>
    </row>
    <row r="37" spans="1:29" s="113" customFormat="1" ht="15">
      <c r="A37" s="432"/>
      <c r="B37" s="381" t="s">
        <v>2390</v>
      </c>
      <c r="C37" s="433">
        <v>1</v>
      </c>
      <c r="D37" s="132">
        <v>100</v>
      </c>
      <c r="E37" s="433">
        <v>1</v>
      </c>
      <c r="F37" s="384">
        <f>LOOKUP(E37,112:112,113:113)-LOOKUP(C37,112:112,113:113)+100</f>
        <v>100</v>
      </c>
      <c r="G37" s="435">
        <v>1</v>
      </c>
      <c r="H37" s="132">
        <f>LOOKUP(G37,112:112,113:113)-LOOKUP(C37,112:112,113:113)+100</f>
        <v>100</v>
      </c>
      <c r="I37" s="434">
        <v>1</v>
      </c>
      <c r="J37" s="132">
        <f>LOOKUP(I37,112:112,113:113)-LOOKUP(C37,112:112,113:113)+100</f>
        <v>100</v>
      </c>
      <c r="K37" s="385">
        <v>1</v>
      </c>
      <c r="L37" s="2941"/>
      <c r="M37" s="2942"/>
      <c r="N37" s="2942"/>
      <c r="O37" s="2942"/>
      <c r="P37" s="3292"/>
      <c r="Q37" s="1527" t="str">
        <f t="shared" si="11"/>
        <v>成新度</v>
      </c>
      <c r="R37" s="710" t="s">
        <v>21</v>
      </c>
      <c r="S37" s="711">
        <f t="shared" si="12"/>
        <v>100</v>
      </c>
      <c r="T37" s="710" t="s">
        <v>21</v>
      </c>
      <c r="U37" s="711">
        <f t="shared" si="13"/>
        <v>100</v>
      </c>
      <c r="V37" s="710" t="s">
        <v>21</v>
      </c>
      <c r="W37" s="711">
        <f t="shared" si="14"/>
        <v>100</v>
      </c>
      <c r="X37" s="712"/>
      <c r="Y37" s="3294"/>
      <c r="Z37" s="55" t="str">
        <f t="shared" si="18"/>
        <v>成新度</v>
      </c>
      <c r="AA37" s="713">
        <f t="shared" si="15"/>
        <v>1</v>
      </c>
      <c r="AB37" s="713">
        <f t="shared" si="16"/>
        <v>1</v>
      </c>
      <c r="AC37" s="713">
        <f t="shared" si="17"/>
        <v>1</v>
      </c>
    </row>
    <row r="38" spans="1:29" ht="15">
      <c r="A38" s="431"/>
      <c r="B38" s="381" t="s">
        <v>2391</v>
      </c>
      <c r="C38" s="2091" t="s">
        <v>10280</v>
      </c>
      <c r="D38" s="394">
        <v>100</v>
      </c>
      <c r="E38" s="2092" t="s">
        <v>10280</v>
      </c>
      <c r="F38" s="420">
        <f>SUMIF(114:114,E38,115:115)-SUMIF(114:114,C38,115:115)+100</f>
        <v>100</v>
      </c>
      <c r="G38" s="2091" t="s">
        <v>10280</v>
      </c>
      <c r="H38" s="394">
        <f>SUMIF(114:114,G38,115:115)-SUMIF(114:114,C38,115:115)+100</f>
        <v>100</v>
      </c>
      <c r="I38" s="2092" t="s">
        <v>10280</v>
      </c>
      <c r="J38" s="394">
        <f>SUMIF(114:114,I38,115:115)-SUMIF(114:114,C38,115:115)+100</f>
        <v>100</v>
      </c>
      <c r="K38" s="385">
        <v>1</v>
      </c>
      <c r="L38" s="2946"/>
      <c r="M38" s="2940"/>
      <c r="N38" s="2940"/>
      <c r="O38" s="2940"/>
      <c r="P38" s="3292" t="s">
        <v>2385</v>
      </c>
      <c r="Q38" s="1536" t="str">
        <f t="shared" si="11"/>
        <v>物业管理</v>
      </c>
      <c r="R38" s="714" t="s">
        <v>21</v>
      </c>
      <c r="S38" s="715">
        <f t="shared" si="12"/>
        <v>100</v>
      </c>
      <c r="T38" s="714" t="s">
        <v>21</v>
      </c>
      <c r="U38" s="715">
        <f t="shared" si="13"/>
        <v>100</v>
      </c>
      <c r="V38" s="714" t="s">
        <v>21</v>
      </c>
      <c r="W38" s="715">
        <f t="shared" si="14"/>
        <v>100</v>
      </c>
      <c r="X38" s="1539"/>
      <c r="Y38" s="3294" t="s">
        <v>2385</v>
      </c>
      <c r="Z38" s="1540" t="str">
        <f t="shared" si="18"/>
        <v>物业管理</v>
      </c>
      <c r="AA38" s="1537">
        <f t="shared" si="15"/>
        <v>1</v>
      </c>
      <c r="AB38" s="1537">
        <f t="shared" si="16"/>
        <v>1</v>
      </c>
      <c r="AC38" s="1537">
        <f t="shared" si="17"/>
        <v>1</v>
      </c>
    </row>
    <row r="39" spans="1:29" ht="15">
      <c r="A39" s="431"/>
      <c r="B39" s="381" t="s">
        <v>2392</v>
      </c>
      <c r="C39" s="2091" t="s">
        <v>10282</v>
      </c>
      <c r="D39" s="394">
        <v>100</v>
      </c>
      <c r="E39" s="2092" t="s">
        <v>10282</v>
      </c>
      <c r="F39" s="420">
        <f>SUMIF(116:116,E39,117:117)-SUMIF(116:116,C39,117:117)+100</f>
        <v>100</v>
      </c>
      <c r="G39" s="2091" t="s">
        <v>10282</v>
      </c>
      <c r="H39" s="394">
        <f>SUMIF(116:116,G39,117:117)-SUMIF(116:116,C39,117:117)+100</f>
        <v>100</v>
      </c>
      <c r="I39" s="2092" t="s">
        <v>10282</v>
      </c>
      <c r="J39" s="394">
        <f>SUMIF(116:116,I39,117:117)-SUMIF(116:116,C39,117:117)+100</f>
        <v>100</v>
      </c>
      <c r="K39" s="385">
        <v>1</v>
      </c>
      <c r="L39" s="2946"/>
      <c r="M39" s="2940"/>
      <c r="N39" s="2940"/>
      <c r="O39" s="2940"/>
      <c r="P39" s="3292"/>
      <c r="Q39" s="1536" t="str">
        <f t="shared" si="11"/>
        <v>市政基础设施</v>
      </c>
      <c r="R39" s="714" t="s">
        <v>21</v>
      </c>
      <c r="S39" s="715">
        <f t="shared" si="12"/>
        <v>100</v>
      </c>
      <c r="T39" s="714" t="s">
        <v>21</v>
      </c>
      <c r="U39" s="715">
        <f t="shared" si="13"/>
        <v>100</v>
      </c>
      <c r="V39" s="714" t="s">
        <v>21</v>
      </c>
      <c r="W39" s="715">
        <f t="shared" si="14"/>
        <v>100</v>
      </c>
      <c r="X39" s="1539"/>
      <c r="Y39" s="3294"/>
      <c r="Z39" s="1540" t="str">
        <f t="shared" si="18"/>
        <v>市政基础设施</v>
      </c>
      <c r="AA39" s="1537">
        <f t="shared" si="15"/>
        <v>1</v>
      </c>
      <c r="AB39" s="1537">
        <f t="shared" si="16"/>
        <v>1</v>
      </c>
      <c r="AC39" s="1537">
        <f t="shared" si="17"/>
        <v>1</v>
      </c>
    </row>
    <row r="40" spans="1:29" ht="15" hidden="1">
      <c r="A40" s="431"/>
      <c r="B40" s="381" t="s">
        <v>2393</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46"/>
      <c r="M40" s="2940"/>
      <c r="N40" s="2940"/>
      <c r="O40" s="2940"/>
      <c r="P40" s="3292"/>
      <c r="Q40" s="1536" t="str">
        <f t="shared" si="11"/>
        <v>房型</v>
      </c>
      <c r="R40" s="714" t="s">
        <v>21</v>
      </c>
      <c r="S40" s="715">
        <f t="shared" si="12"/>
        <v>100</v>
      </c>
      <c r="T40" s="714" t="s">
        <v>21</v>
      </c>
      <c r="U40" s="715">
        <f t="shared" si="13"/>
        <v>100</v>
      </c>
      <c r="V40" s="714" t="s">
        <v>21</v>
      </c>
      <c r="W40" s="715">
        <f t="shared" si="14"/>
        <v>100</v>
      </c>
      <c r="X40" s="1539"/>
      <c r="Y40" s="3294"/>
      <c r="Z40" s="1540" t="str">
        <f t="shared" si="18"/>
        <v>房型</v>
      </c>
      <c r="AA40" s="1537">
        <f t="shared" si="15"/>
        <v>1</v>
      </c>
      <c r="AB40" s="1537">
        <f t="shared" si="16"/>
        <v>1</v>
      </c>
      <c r="AC40" s="1537">
        <f t="shared" si="17"/>
        <v>1</v>
      </c>
    </row>
    <row r="41" spans="1:29" s="430" customFormat="1" ht="28.5" hidden="1">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5"/>
      <c r="M41" s="2947"/>
      <c r="N41" s="2947"/>
      <c r="O41" s="2947"/>
      <c r="P41" s="3292"/>
      <c r="Q41" s="716" t="str">
        <f t="shared" si="11"/>
        <v>单套/主力户型建筑面积</v>
      </c>
      <c r="R41" s="717" t="s">
        <v>21</v>
      </c>
      <c r="S41" s="718">
        <f t="shared" si="12"/>
        <v>100</v>
      </c>
      <c r="T41" s="717" t="s">
        <v>21</v>
      </c>
      <c r="U41" s="718">
        <f t="shared" si="13"/>
        <v>100</v>
      </c>
      <c r="V41" s="717" t="s">
        <v>21</v>
      </c>
      <c r="W41" s="718">
        <f t="shared" si="14"/>
        <v>100</v>
      </c>
      <c r="X41" s="719"/>
      <c r="Y41" s="3294"/>
      <c r="Z41" s="720" t="str">
        <f t="shared" si="18"/>
        <v>单套/主力户型建筑面积</v>
      </c>
      <c r="AA41" s="1537">
        <f t="shared" si="15"/>
        <v>1</v>
      </c>
      <c r="AB41" s="1537">
        <f t="shared" si="16"/>
        <v>1</v>
      </c>
      <c r="AC41" s="1537">
        <f t="shared" si="17"/>
        <v>1</v>
      </c>
    </row>
    <row r="42" spans="1:29" ht="15.75" thickBot="1">
      <c r="A42" s="431"/>
      <c r="B42" s="381" t="s">
        <v>2395</v>
      </c>
      <c r="C42" s="2091" t="s">
        <v>10275</v>
      </c>
      <c r="D42" s="394">
        <v>100</v>
      </c>
      <c r="E42" s="2092" t="s">
        <v>10275</v>
      </c>
      <c r="F42" s="420">
        <f>SUMIF(122:122,E42,123:123)-SUMIF(122:122,C42,123:123)+100</f>
        <v>100</v>
      </c>
      <c r="G42" s="2091" t="s">
        <v>10275</v>
      </c>
      <c r="H42" s="394">
        <f>SUMIF(122:122,G42,123:123)-SUMIF(122:122,C42,123:123)+100</f>
        <v>100</v>
      </c>
      <c r="I42" s="2092" t="s">
        <v>10278</v>
      </c>
      <c r="J42" s="394">
        <f>SUMIF(122:122,I42,123:123)-SUMIF(122:122,C42,123:123)+100</f>
        <v>94</v>
      </c>
      <c r="K42" s="385">
        <v>2</v>
      </c>
      <c r="L42" s="2946"/>
      <c r="M42" s="2940"/>
      <c r="N42" s="2940"/>
      <c r="O42" s="2940"/>
      <c r="P42" s="3292"/>
      <c r="Q42" s="1536" t="str">
        <f t="shared" si="11"/>
        <v>内部装修</v>
      </c>
      <c r="R42" s="714" t="s">
        <v>21</v>
      </c>
      <c r="S42" s="715">
        <f t="shared" si="12"/>
        <v>100</v>
      </c>
      <c r="T42" s="714" t="s">
        <v>21</v>
      </c>
      <c r="U42" s="715">
        <f t="shared" si="13"/>
        <v>100</v>
      </c>
      <c r="V42" s="714" t="s">
        <v>21</v>
      </c>
      <c r="W42" s="715">
        <f t="shared" si="14"/>
        <v>94</v>
      </c>
      <c r="X42" s="1539"/>
      <c r="Y42" s="3294"/>
      <c r="Z42" s="1540" t="str">
        <f t="shared" si="18"/>
        <v>内部装修</v>
      </c>
      <c r="AA42" s="1537">
        <f t="shared" si="15"/>
        <v>1</v>
      </c>
      <c r="AB42" s="1537">
        <f t="shared" si="16"/>
        <v>1</v>
      </c>
      <c r="AC42" s="1537">
        <f t="shared" si="17"/>
        <v>1.0638297872340425</v>
      </c>
    </row>
    <row r="43" spans="1:29" ht="15" hidden="1">
      <c r="A43" s="431"/>
      <c r="B43" s="381" t="s">
        <v>2396</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46"/>
      <c r="M43" s="2940"/>
      <c r="N43" s="2940"/>
      <c r="O43" s="2940"/>
      <c r="P43" s="3292"/>
      <c r="Q43" s="1536" t="str">
        <f t="shared" si="11"/>
        <v>内部装修维护情况</v>
      </c>
      <c r="R43" s="714" t="s">
        <v>21</v>
      </c>
      <c r="S43" s="715">
        <f t="shared" si="12"/>
        <v>100</v>
      </c>
      <c r="T43" s="714" t="s">
        <v>21</v>
      </c>
      <c r="U43" s="715">
        <f t="shared" si="13"/>
        <v>100</v>
      </c>
      <c r="V43" s="714" t="s">
        <v>21</v>
      </c>
      <c r="W43" s="715">
        <f t="shared" si="14"/>
        <v>100</v>
      </c>
      <c r="X43" s="1539"/>
      <c r="Y43" s="3294"/>
      <c r="Z43" s="1540" t="str">
        <f t="shared" si="18"/>
        <v>内部装修维护情况</v>
      </c>
      <c r="AA43" s="1537">
        <f t="shared" si="15"/>
        <v>1</v>
      </c>
      <c r="AB43" s="1537">
        <f t="shared" si="16"/>
        <v>1</v>
      </c>
      <c r="AC43" s="1537">
        <f t="shared" si="17"/>
        <v>1</v>
      </c>
    </row>
    <row r="44" spans="1:29" s="113" customFormat="1" ht="15" hidden="1">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1"/>
      <c r="M44" s="2942"/>
      <c r="N44" s="2942"/>
      <c r="O44" s="2942"/>
      <c r="P44" s="3292"/>
      <c r="Q44" s="1527">
        <f t="shared" si="11"/>
        <v>111</v>
      </c>
      <c r="R44" s="710" t="s">
        <v>21</v>
      </c>
      <c r="S44" s="711">
        <f t="shared" si="12"/>
        <v>100</v>
      </c>
      <c r="T44" s="710" t="s">
        <v>21</v>
      </c>
      <c r="U44" s="711">
        <f t="shared" si="13"/>
        <v>100</v>
      </c>
      <c r="V44" s="710" t="s">
        <v>21</v>
      </c>
      <c r="W44" s="711">
        <f t="shared" si="14"/>
        <v>100</v>
      </c>
      <c r="X44" s="712"/>
      <c r="Y44" s="3294"/>
      <c r="Z44" s="55">
        <f t="shared" si="18"/>
        <v>111</v>
      </c>
      <c r="AA44" s="713">
        <f t="shared" si="15"/>
        <v>1</v>
      </c>
      <c r="AB44" s="713">
        <f t="shared" si="16"/>
        <v>1</v>
      </c>
      <c r="AC44" s="713">
        <f t="shared" si="17"/>
        <v>1</v>
      </c>
    </row>
    <row r="45" spans="1:29" ht="15" hidden="1">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46"/>
      <c r="M45" s="2940"/>
      <c r="N45" s="2940"/>
      <c r="O45" s="2940"/>
      <c r="P45" s="3292"/>
      <c r="Q45" s="1536">
        <f t="shared" si="11"/>
        <v>111</v>
      </c>
      <c r="R45" s="714" t="s">
        <v>21</v>
      </c>
      <c r="S45" s="715">
        <f t="shared" si="12"/>
        <v>100</v>
      </c>
      <c r="T45" s="714" t="s">
        <v>21</v>
      </c>
      <c r="U45" s="715">
        <f t="shared" si="13"/>
        <v>100</v>
      </c>
      <c r="V45" s="714" t="s">
        <v>21</v>
      </c>
      <c r="W45" s="715">
        <f t="shared" si="14"/>
        <v>100</v>
      </c>
      <c r="X45" s="1539"/>
      <c r="Y45" s="3294"/>
      <c r="Z45" s="1540">
        <f t="shared" si="18"/>
        <v>111</v>
      </c>
      <c r="AA45" s="1537">
        <f t="shared" si="15"/>
        <v>1</v>
      </c>
      <c r="AB45" s="1537">
        <f t="shared" si="16"/>
        <v>1</v>
      </c>
      <c r="AC45" s="1537">
        <f t="shared" si="17"/>
        <v>1</v>
      </c>
    </row>
    <row r="46" spans="1:29" ht="15.75" hidden="1"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46"/>
      <c r="M46" s="2940"/>
      <c r="N46" s="2940"/>
      <c r="O46" s="2940"/>
      <c r="P46" s="3293"/>
      <c r="Q46" s="1536">
        <f t="shared" si="11"/>
        <v>111</v>
      </c>
      <c r="R46" s="714" t="s">
        <v>20</v>
      </c>
      <c r="S46" s="715">
        <f t="shared" si="12"/>
        <v>100</v>
      </c>
      <c r="T46" s="714" t="s">
        <v>20</v>
      </c>
      <c r="U46" s="715">
        <f t="shared" si="13"/>
        <v>100</v>
      </c>
      <c r="V46" s="714" t="s">
        <v>20</v>
      </c>
      <c r="W46" s="715">
        <f t="shared" si="14"/>
        <v>100</v>
      </c>
      <c r="X46" s="1539"/>
      <c r="Y46" s="3295"/>
      <c r="Z46" s="1540">
        <f t="shared" si="18"/>
        <v>111</v>
      </c>
      <c r="AA46" s="1537">
        <f t="shared" si="15"/>
        <v>1</v>
      </c>
      <c r="AB46" s="1537">
        <f t="shared" si="16"/>
        <v>1</v>
      </c>
      <c r="AC46" s="1537">
        <f t="shared" si="17"/>
        <v>1</v>
      </c>
    </row>
    <row r="47" spans="1:29" ht="15">
      <c r="A47" s="438" t="s">
        <v>2397</v>
      </c>
      <c r="B47" s="439"/>
      <c r="C47" s="1316" t="s">
        <v>19</v>
      </c>
      <c r="D47" s="1317"/>
      <c r="E47" s="1318">
        <f>ROUND(12988*E50,0)</f>
        <v>12598</v>
      </c>
      <c r="F47" s="1319"/>
      <c r="G47" s="1320">
        <f>ROUND(13380*E50,0)</f>
        <v>12979</v>
      </c>
      <c r="H47" s="1321"/>
      <c r="I47" s="1318">
        <f>ROUND(12700*E50,0)</f>
        <v>12319</v>
      </c>
      <c r="J47" s="1321"/>
      <c r="K47" s="2099"/>
      <c r="L47" s="2948"/>
      <c r="M47" s="2949"/>
      <c r="N47" s="2940"/>
      <c r="O47" s="2949"/>
      <c r="P47" s="3287" t="str">
        <f>A47</f>
        <v>成交单价（元/平方米）</v>
      </c>
      <c r="Q47" s="3287"/>
      <c r="R47" s="3288">
        <f>E47</f>
        <v>12598</v>
      </c>
      <c r="S47" s="3288"/>
      <c r="T47" s="3288">
        <f>G47</f>
        <v>12979</v>
      </c>
      <c r="U47" s="3288"/>
      <c r="V47" s="3288">
        <f>I47</f>
        <v>12319</v>
      </c>
      <c r="W47" s="3288"/>
      <c r="X47" s="699"/>
      <c r="Y47" s="721"/>
      <c r="Z47" s="699"/>
      <c r="AA47" s="699"/>
      <c r="AB47" s="699"/>
      <c r="AC47" s="699"/>
    </row>
    <row r="48" spans="1:29" ht="15.75" thickBot="1">
      <c r="A48" s="445" t="s">
        <v>2398</v>
      </c>
      <c r="B48" s="446"/>
      <c r="C48" s="1322">
        <f>R49</f>
        <v>12570</v>
      </c>
      <c r="D48" s="2537" t="s">
        <v>2880</v>
      </c>
      <c r="E48" s="1323">
        <f>R48</f>
        <v>12236</v>
      </c>
      <c r="F48" s="2538"/>
      <c r="G48" s="1322">
        <f>T48</f>
        <v>12235</v>
      </c>
      <c r="H48" s="2538"/>
      <c r="I48" s="1323">
        <f>V48</f>
        <v>13240</v>
      </c>
      <c r="J48" s="2538"/>
      <c r="K48" s="2539">
        <f>F48+H48+J48</f>
        <v>0</v>
      </c>
      <c r="L48" s="2948"/>
      <c r="M48" s="2949"/>
      <c r="N48" s="2949"/>
      <c r="O48" s="2949"/>
      <c r="P48" s="3287" t="str">
        <f>A48</f>
        <v>比较价值（元/平方米）</v>
      </c>
      <c r="Q48" s="3287"/>
      <c r="R48" s="3288">
        <f>IF(F1="售价",ROUND(PRODUCT(R47,AA7:AA46),0),ROUND(PRODUCT(R47,AA7:AA46),1))</f>
        <v>12236</v>
      </c>
      <c r="S48" s="3288"/>
      <c r="T48" s="3288">
        <f>IF(F1="售价",ROUND(PRODUCT(T47,AB7:AB46),0),ROUND(PRODUCT(T47,AB7:AB46),1))</f>
        <v>12235</v>
      </c>
      <c r="U48" s="3288"/>
      <c r="V48" s="3288">
        <f>IF(F1="售价",ROUND(PRODUCT(V47,AC7:AC46),0),ROUND(PRODUCT(V47,AC7:AC46),1))</f>
        <v>13240</v>
      </c>
      <c r="W48" s="3288"/>
      <c r="X48" s="699"/>
      <c r="Y48" s="699"/>
      <c r="Z48" s="699"/>
      <c r="AA48" s="699"/>
      <c r="AB48" s="699"/>
      <c r="AC48" s="699"/>
    </row>
    <row r="49" spans="1:29" ht="15.75" thickBot="1">
      <c r="A49" s="449" t="s">
        <v>2399</v>
      </c>
      <c r="B49" s="450"/>
      <c r="C49" s="1324">
        <f>R49</f>
        <v>12570</v>
      </c>
      <c r="D49" s="1325"/>
      <c r="E49" s="1325"/>
      <c r="F49" s="1325"/>
      <c r="G49" s="1325"/>
      <c r="H49" s="1325"/>
      <c r="I49" s="1325"/>
      <c r="J49" s="1325"/>
      <c r="K49" s="2100"/>
      <c r="L49" s="2948"/>
      <c r="M49" s="2949"/>
      <c r="N49" s="2949"/>
      <c r="O49" s="2949"/>
      <c r="P49" s="3284" t="str">
        <f>A49</f>
        <v>估价对象XX用房的比较价值（楼面单价，元/平方米）</v>
      </c>
      <c r="Q49" s="3285"/>
      <c r="R49" s="3286">
        <f>IF(F1="售价",ROUND(IF(D48="简单平均",AVERAGE(R48:V48),R48*F48+T48*H48+V48*J48),0),ROUND(IF(D48="简单平均",AVERAGE(R48:V48),R48*F48+T48*H48+V48*J48),1))</f>
        <v>12570</v>
      </c>
      <c r="S49" s="3286"/>
      <c r="T49" s="3286"/>
      <c r="U49" s="3286"/>
      <c r="V49" s="3286"/>
      <c r="W49" s="3286"/>
      <c r="X49" s="699"/>
      <c r="Y49" s="699"/>
      <c r="Z49" s="699"/>
      <c r="AA49" s="699"/>
      <c r="AB49" s="699"/>
      <c r="AC49" s="699"/>
    </row>
    <row r="50" spans="1:29">
      <c r="A50" s="2949"/>
      <c r="B50" s="2949"/>
      <c r="C50" s="2949"/>
      <c r="D50" s="2949"/>
      <c r="E50" s="2949">
        <v>0.97</v>
      </c>
      <c r="F50" s="2949"/>
      <c r="G50" s="2953"/>
      <c r="H50" s="2949"/>
      <c r="I50" s="2949"/>
      <c r="J50" s="2949"/>
      <c r="K50" s="2954"/>
      <c r="L50" s="2950"/>
      <c r="M50" s="2949"/>
      <c r="N50" s="2949"/>
      <c r="O50" s="2949"/>
    </row>
    <row r="51" spans="1:29">
      <c r="A51" s="2949"/>
      <c r="B51" s="2949"/>
      <c r="C51" s="2949"/>
      <c r="D51" s="2949"/>
      <c r="E51" s="2949"/>
      <c r="F51" s="2949"/>
      <c r="G51" s="2949"/>
      <c r="H51" s="2949"/>
      <c r="I51" s="2949"/>
      <c r="J51" s="2949"/>
      <c r="K51" s="2954"/>
      <c r="L51" s="2950"/>
      <c r="M51" s="2949"/>
      <c r="N51" s="2949"/>
      <c r="O51" s="2949"/>
    </row>
    <row r="52" spans="1:29" ht="13.5" customHeight="1">
      <c r="A52" s="2949"/>
      <c r="B52" s="2949"/>
      <c r="C52" s="454" t="s">
        <v>2400</v>
      </c>
      <c r="D52" s="455"/>
      <c r="E52" s="456">
        <f>IF(E47&lt;E48,E48/E47-1,E47/E48-1)</f>
        <v>2.9584831644328125E-2</v>
      </c>
      <c r="F52" s="457" t="str">
        <f>IF(OR(E52&gt;=0.3,E52&lt;=-0.3),"超过30%","")</f>
        <v/>
      </c>
      <c r="G52" s="456">
        <f>IF(G47&lt;G48,G48/G47-1,G47/G48-1)</f>
        <v>6.0809154066203464E-2</v>
      </c>
      <c r="H52" s="457" t="str">
        <f>IF(OR(G52&gt;=0.3,G52&lt;=-0.3),"超过30%","")</f>
        <v/>
      </c>
      <c r="I52" s="456">
        <f>IF(I47&lt;I48,I48/I47-1,I47/I48-1)</f>
        <v>7.476256189625774E-2</v>
      </c>
      <c r="J52" s="457" t="str">
        <f>IF(OR(I52&gt;=0.3,I52&lt;=-0.3),"超过30%","")</f>
        <v/>
      </c>
      <c r="K52" s="2954"/>
      <c r="L52" s="2950"/>
      <c r="M52" s="2949"/>
      <c r="N52" s="2949"/>
      <c r="O52" s="2949"/>
    </row>
    <row r="53" spans="1:29" ht="13.5" customHeight="1">
      <c r="A53" s="2949"/>
      <c r="B53" s="2949"/>
      <c r="C53" s="454" t="s">
        <v>2401</v>
      </c>
      <c r="D53" s="458"/>
      <c r="E53" s="456">
        <f>IF(E48&lt;G48,G48/E48-1,E48/G48-1)</f>
        <v>8.17327339599494E-5</v>
      </c>
      <c r="F53" s="457" t="str">
        <f>IF(OR(E53&gt;=0.2,E53&lt;=-0.2),"超过20%","")</f>
        <v/>
      </c>
      <c r="G53" s="456">
        <f>IF(G48&lt;I48,I48/G48-1,G48/I48-1)</f>
        <v>8.2141397629750701E-2</v>
      </c>
      <c r="H53" s="457" t="str">
        <f>IF(OR(G53&gt;=0.2,G53&lt;=-0.2),"超过20%","")</f>
        <v/>
      </c>
      <c r="I53" s="456">
        <f>IF(I48&lt;E48,E48/I48-1,I48/E48-1)</f>
        <v>8.2052958483164407E-2</v>
      </c>
      <c r="J53" s="457" t="str">
        <f>IF(OR(I53&gt;=0.2,I53&lt;=-0.2),"超过20%","")</f>
        <v/>
      </c>
      <c r="K53" s="2954"/>
      <c r="L53" s="2950"/>
      <c r="M53" s="2949"/>
      <c r="N53" s="2949"/>
      <c r="O53" s="2949"/>
    </row>
    <row r="54" spans="1:29" s="459" customFormat="1" ht="13.5" customHeight="1">
      <c r="A54" s="2952"/>
      <c r="B54" s="2952"/>
      <c r="C54" s="454" t="s">
        <v>2402</v>
      </c>
      <c r="D54" s="458"/>
      <c r="E54" s="456">
        <f>IF(E47&lt;G47,G47/E47-1,E47/G47-1)</f>
        <v>3.0242895697729866E-2</v>
      </c>
      <c r="F54" s="457" t="str">
        <f>IF(OR(E54&gt;=0.3,E54&lt;=-0.3),"超过30%","")</f>
        <v/>
      </c>
      <c r="G54" s="456">
        <f>IF(G47&lt;I47,I47/G47-1,G47/I47-1)</f>
        <v>5.3575777254647239E-2</v>
      </c>
      <c r="H54" s="457" t="str">
        <f>IF(OR(G54&gt;=0.3,G54&lt;=-0.3),"超过30%","")</f>
        <v/>
      </c>
      <c r="I54" s="456">
        <f>IF(I47&lt;E47,E47/I47-1,I47/E47-1)</f>
        <v>2.2647942203100957E-2</v>
      </c>
      <c r="J54" s="457" t="str">
        <f>IF(OR(I54&gt;=0.3,I54&lt;=-0.3),"超过30%","")</f>
        <v/>
      </c>
      <c r="K54" s="2957"/>
      <c r="L54" s="2951"/>
      <c r="M54" s="2952"/>
      <c r="N54" s="2952"/>
      <c r="O54" s="2952"/>
      <c r="P54" s="2102"/>
    </row>
    <row r="55" spans="1:29" s="459" customFormat="1">
      <c r="A55" s="2952"/>
      <c r="B55" s="2955"/>
      <c r="C55" s="2956"/>
      <c r="D55" s="2952"/>
      <c r="E55" s="2952"/>
      <c r="F55" s="2952"/>
      <c r="G55" s="2952"/>
      <c r="H55" s="2952"/>
      <c r="I55" s="2952"/>
      <c r="J55" s="2952"/>
      <c r="K55" s="2957"/>
      <c r="L55" s="2951"/>
      <c r="M55" s="2952"/>
      <c r="N55" s="2952"/>
      <c r="O55" s="2952"/>
      <c r="P55" s="2102"/>
    </row>
    <row r="56" spans="1:29">
      <c r="A56" s="2949"/>
      <c r="B56" s="2955"/>
      <c r="C56" s="2956"/>
      <c r="D56" s="2949"/>
      <c r="E56" s="2949"/>
      <c r="F56" s="2949"/>
      <c r="G56" s="2949"/>
      <c r="H56" s="2949"/>
      <c r="I56" s="2949"/>
      <c r="J56" s="2949"/>
      <c r="K56" s="2954"/>
      <c r="L56" s="2950"/>
      <c r="M56" s="2949"/>
      <c r="N56" s="2949"/>
      <c r="O56" s="2949"/>
    </row>
    <row r="57" spans="1:29" ht="21.75" thickBot="1">
      <c r="A57" s="703" t="s">
        <v>2403</v>
      </c>
      <c r="B57" s="699"/>
      <c r="C57" s="704"/>
      <c r="D57" s="704"/>
      <c r="E57" s="704"/>
      <c r="F57" s="705"/>
      <c r="G57" s="705"/>
      <c r="H57" s="704"/>
      <c r="I57" s="704"/>
      <c r="J57" s="704"/>
      <c r="K57" s="1072"/>
      <c r="L57" s="1073"/>
      <c r="M57" s="1071"/>
      <c r="N57" s="1071"/>
      <c r="O57" s="1071"/>
      <c r="P57" s="2103"/>
      <c r="Q57" s="461"/>
    </row>
    <row r="58" spans="1:29" s="465" customFormat="1" ht="15">
      <c r="A58" s="462" t="s">
        <v>2404</v>
      </c>
      <c r="B58" s="463"/>
      <c r="C58" s="1348" t="str">
        <f>YEAR(C7)&amp;"-"&amp;MONTH(C7)</f>
        <v>2021-11</v>
      </c>
      <c r="D58" s="1347">
        <f>EDATE(C58,-1)</f>
        <v>44470</v>
      </c>
      <c r="E58" s="1347">
        <f>EDATE(D58,-1)</f>
        <v>44440</v>
      </c>
      <c r="F58" s="1347">
        <f t="shared" ref="F58:O58" si="19">EDATE(E58,-1)</f>
        <v>44409</v>
      </c>
      <c r="G58" s="1347">
        <f t="shared" si="19"/>
        <v>44378</v>
      </c>
      <c r="H58" s="1347">
        <f t="shared" si="19"/>
        <v>44348</v>
      </c>
      <c r="I58" s="1347">
        <f t="shared" si="19"/>
        <v>44317</v>
      </c>
      <c r="J58" s="1347">
        <f t="shared" si="19"/>
        <v>44287</v>
      </c>
      <c r="K58" s="1347">
        <f t="shared" si="19"/>
        <v>44256</v>
      </c>
      <c r="L58" s="1347">
        <f t="shared" si="19"/>
        <v>44228</v>
      </c>
      <c r="M58" s="1347">
        <f t="shared" si="19"/>
        <v>44197</v>
      </c>
      <c r="N58" s="1347">
        <f t="shared" si="19"/>
        <v>44166</v>
      </c>
      <c r="O58" s="1347">
        <f t="shared" si="19"/>
        <v>44136</v>
      </c>
      <c r="P58" s="1343"/>
    </row>
    <row r="59" spans="1:29" s="113" customFormat="1" ht="15">
      <c r="A59" s="466"/>
      <c r="B59" s="2104"/>
      <c r="C59" s="1345">
        <v>100</v>
      </c>
      <c r="D59" s="468">
        <f>C59-$C$60</f>
        <v>99.5</v>
      </c>
      <c r="E59" s="468">
        <f t="shared" ref="E59:M59" si="20">D59-$C$60</f>
        <v>99</v>
      </c>
      <c r="F59" s="468">
        <f t="shared" si="20"/>
        <v>98.5</v>
      </c>
      <c r="G59" s="468">
        <f t="shared" si="20"/>
        <v>98</v>
      </c>
      <c r="H59" s="468">
        <f t="shared" si="20"/>
        <v>97.5</v>
      </c>
      <c r="I59" s="468">
        <f t="shared" si="20"/>
        <v>97</v>
      </c>
      <c r="J59" s="468">
        <f t="shared" si="20"/>
        <v>96.5</v>
      </c>
      <c r="K59" s="468">
        <f t="shared" si="20"/>
        <v>96</v>
      </c>
      <c r="L59" s="468">
        <f t="shared" si="20"/>
        <v>95.5</v>
      </c>
      <c r="M59" s="468">
        <f t="shared" si="20"/>
        <v>95</v>
      </c>
      <c r="N59" s="469"/>
      <c r="O59" s="470"/>
      <c r="P59" s="2105"/>
    </row>
    <row r="60" spans="1:29" s="113" customFormat="1" ht="15.75" thickBot="1">
      <c r="A60" s="472" t="s">
        <v>2405</v>
      </c>
      <c r="B60" s="473"/>
      <c r="C60" s="474">
        <v>0.5</v>
      </c>
      <c r="D60" s="475"/>
      <c r="E60" s="475"/>
      <c r="F60" s="475"/>
      <c r="G60" s="475"/>
      <c r="H60" s="475"/>
      <c r="I60" s="475"/>
      <c r="J60" s="475"/>
      <c r="K60" s="475"/>
      <c r="L60" s="475"/>
      <c r="M60" s="476"/>
      <c r="N60" s="475"/>
      <c r="O60" s="476"/>
      <c r="P60" s="2105"/>
      <c r="Q60" s="461"/>
    </row>
    <row r="61" spans="1:29" s="113" customFormat="1" ht="15">
      <c r="A61" s="478" t="s">
        <v>2406</v>
      </c>
      <c r="B61" s="467"/>
      <c r="C61" s="479" t="s">
        <v>2407</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2408</v>
      </c>
      <c r="B63" s="485" t="s">
        <v>2374</v>
      </c>
      <c r="C63" s="486" t="str">
        <f>C9</f>
        <v>住宅</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7"/>
      <c r="Q65" s="461"/>
    </row>
    <row r="66" spans="1:17" ht="15.75" thickBot="1">
      <c r="A66" s="491"/>
      <c r="B66" s="500"/>
      <c r="C66" s="501">
        <v>100</v>
      </c>
      <c r="D66" s="501">
        <f t="shared" ref="D66:I66" si="21">C66-$K10</f>
        <v>99</v>
      </c>
      <c r="E66" s="501">
        <f t="shared" si="21"/>
        <v>98</v>
      </c>
      <c r="F66" s="501">
        <f t="shared" si="21"/>
        <v>97</v>
      </c>
      <c r="G66" s="501">
        <f t="shared" si="21"/>
        <v>96</v>
      </c>
      <c r="H66" s="501">
        <f t="shared" si="21"/>
        <v>95</v>
      </c>
      <c r="I66" s="501">
        <f t="shared" si="21"/>
        <v>94</v>
      </c>
      <c r="J66" s="501"/>
      <c r="K66" s="501"/>
      <c r="L66" s="501"/>
      <c r="M66" s="502"/>
      <c r="N66" s="1065"/>
      <c r="O66" s="1065"/>
      <c r="P66" s="2107"/>
      <c r="Q66" s="461"/>
    </row>
    <row r="67" spans="1:17" ht="15.75" thickTop="1">
      <c r="A67" s="491"/>
      <c r="B67" s="503" t="s">
        <v>2378</v>
      </c>
      <c r="C67" s="504" t="str">
        <f>C68&amp;"（含）"&amp;"-"&amp;D68</f>
        <v>0（含）-1</v>
      </c>
      <c r="D67" s="504" t="str">
        <f t="shared" ref="D67:L67" si="22">D68&amp;"（含）"&amp;"-"&amp;E68</f>
        <v>1（含）-2</v>
      </c>
      <c r="E67" s="504" t="str">
        <f t="shared" si="22"/>
        <v>2（含）-3</v>
      </c>
      <c r="F67" s="504" t="str">
        <f t="shared" si="22"/>
        <v>3（含）-4</v>
      </c>
      <c r="G67" s="504" t="str">
        <f t="shared" si="22"/>
        <v>4（含）-</v>
      </c>
      <c r="H67" s="504" t="str">
        <f t="shared" si="22"/>
        <v>（含）-</v>
      </c>
      <c r="I67" s="504" t="str">
        <f t="shared" si="22"/>
        <v>（含）-</v>
      </c>
      <c r="J67" s="504" t="str">
        <f t="shared" si="22"/>
        <v>（含）-</v>
      </c>
      <c r="K67" s="504" t="str">
        <f>K68&amp;"（含）"&amp;"-"&amp;L68</f>
        <v>（含）-</v>
      </c>
      <c r="L67" s="504" t="str">
        <f t="shared" si="22"/>
        <v>（含）-</v>
      </c>
      <c r="M67" s="407" t="str">
        <f>M68&amp;"（含）"&amp;"-"&amp;P68</f>
        <v>（含）-</v>
      </c>
      <c r="N67" s="1065"/>
      <c r="O67" s="1065"/>
      <c r="P67" s="2107"/>
      <c r="Q67" s="461"/>
    </row>
    <row r="68" spans="1:17" ht="15">
      <c r="A68" s="491"/>
      <c r="B68" s="505"/>
      <c r="C68" s="506">
        <v>0</v>
      </c>
      <c r="D68" s="506">
        <v>1</v>
      </c>
      <c r="E68" s="506">
        <v>2</v>
      </c>
      <c r="F68" s="506">
        <v>3</v>
      </c>
      <c r="G68" s="506">
        <v>4</v>
      </c>
      <c r="H68" s="506"/>
      <c r="I68" s="506"/>
      <c r="J68" s="506"/>
      <c r="K68" s="507"/>
      <c r="L68" s="508"/>
      <c r="M68" s="509"/>
      <c r="N68" s="1064"/>
      <c r="O68" s="1064"/>
      <c r="P68" s="2107"/>
      <c r="Q68" s="461"/>
    </row>
    <row r="69" spans="1:17" ht="15.75" thickBot="1">
      <c r="A69" s="491"/>
      <c r="B69" s="492"/>
      <c r="C69" s="501">
        <v>100</v>
      </c>
      <c r="D69" s="501">
        <f t="shared" ref="D69:M69" si="23">C69-$K11</f>
        <v>100</v>
      </c>
      <c r="E69" s="501">
        <f t="shared" si="23"/>
        <v>100</v>
      </c>
      <c r="F69" s="501">
        <f t="shared" si="23"/>
        <v>100</v>
      </c>
      <c r="G69" s="501">
        <f t="shared" si="23"/>
        <v>100</v>
      </c>
      <c r="H69" s="501">
        <f t="shared" si="23"/>
        <v>100</v>
      </c>
      <c r="I69" s="501">
        <f t="shared" si="23"/>
        <v>100</v>
      </c>
      <c r="J69" s="501">
        <f t="shared" si="23"/>
        <v>100</v>
      </c>
      <c r="K69" s="501">
        <f t="shared" si="23"/>
        <v>100</v>
      </c>
      <c r="L69" s="501">
        <f t="shared" si="23"/>
        <v>100</v>
      </c>
      <c r="M69" s="502">
        <f t="shared" si="23"/>
        <v>100</v>
      </c>
      <c r="N69" s="1065"/>
      <c r="O69" s="1065"/>
      <c r="P69" s="2107"/>
      <c r="Q69" s="461"/>
    </row>
    <row r="70" spans="1:17" s="430" customFormat="1" ht="15.75" hidden="1" thickTop="1">
      <c r="A70" s="510"/>
      <c r="B70" s="495">
        <f>B12</f>
        <v>111</v>
      </c>
      <c r="C70" s="511"/>
      <c r="D70" s="511"/>
      <c r="E70" s="511"/>
      <c r="F70" s="511"/>
      <c r="G70" s="511"/>
      <c r="H70" s="512"/>
      <c r="I70" s="512"/>
      <c r="J70" s="512"/>
      <c r="K70" s="512"/>
      <c r="L70" s="513"/>
      <c r="M70" s="514"/>
      <c r="N70" s="1066"/>
      <c r="O70" s="1066"/>
      <c r="P70" s="2108"/>
      <c r="Q70" s="516"/>
    </row>
    <row r="71" spans="1:17" s="430" customFormat="1" ht="15.75" hidden="1" thickBot="1">
      <c r="A71" s="510"/>
      <c r="B71" s="500"/>
      <c r="C71" s="517"/>
      <c r="D71" s="493"/>
      <c r="E71" s="493"/>
      <c r="F71" s="493"/>
      <c r="G71" s="493"/>
      <c r="H71" s="493"/>
      <c r="I71" s="493"/>
      <c r="J71" s="493"/>
      <c r="K71" s="493"/>
      <c r="L71" s="493"/>
      <c r="M71" s="494"/>
      <c r="N71" s="1065"/>
      <c r="O71" s="1065"/>
      <c r="P71" s="2108"/>
      <c r="Q71" s="516"/>
    </row>
    <row r="72" spans="1:17" s="430" customFormat="1" ht="15.75" hidden="1" thickTop="1">
      <c r="A72" s="510"/>
      <c r="B72" s="495">
        <f>B13</f>
        <v>111</v>
      </c>
      <c r="C72" s="511"/>
      <c r="D72" s="511"/>
      <c r="E72" s="511"/>
      <c r="F72" s="511"/>
      <c r="G72" s="511"/>
      <c r="H72" s="512"/>
      <c r="I72" s="512"/>
      <c r="J72" s="512"/>
      <c r="K72" s="512"/>
      <c r="L72" s="513"/>
      <c r="M72" s="514"/>
      <c r="N72" s="1066"/>
      <c r="O72" s="1066"/>
      <c r="P72" s="2109"/>
      <c r="Q72" s="518"/>
    </row>
    <row r="73" spans="1:17" s="430" customFormat="1" ht="15.75" hidden="1" thickBot="1">
      <c r="A73" s="510"/>
      <c r="B73" s="500"/>
      <c r="C73" s="517"/>
      <c r="D73" s="517"/>
      <c r="E73" s="517"/>
      <c r="F73" s="517"/>
      <c r="G73" s="517"/>
      <c r="H73" s="519"/>
      <c r="I73" s="519"/>
      <c r="J73" s="519"/>
      <c r="K73" s="519"/>
      <c r="L73" s="519"/>
      <c r="M73" s="520"/>
      <c r="N73" s="1066"/>
      <c r="O73" s="1066"/>
      <c r="P73" s="2108"/>
      <c r="Q73" s="516"/>
    </row>
    <row r="74" spans="1:17" s="430" customFormat="1" ht="15.75" hidden="1" thickTop="1">
      <c r="A74" s="510"/>
      <c r="B74" s="503">
        <f>B14</f>
        <v>111</v>
      </c>
      <c r="C74" s="511"/>
      <c r="D74" s="511"/>
      <c r="E74" s="511"/>
      <c r="F74" s="511"/>
      <c r="G74" s="480"/>
      <c r="H74" s="521"/>
      <c r="I74" s="521"/>
      <c r="J74" s="521"/>
      <c r="K74" s="521"/>
      <c r="L74" s="522"/>
      <c r="M74" s="523"/>
      <c r="N74" s="1066"/>
      <c r="O74" s="1066"/>
      <c r="P74" s="2110"/>
      <c r="Q74" s="516"/>
    </row>
    <row r="75" spans="1:17" s="430" customFormat="1" ht="15.75" hidden="1" thickBot="1">
      <c r="A75" s="525"/>
      <c r="B75" s="526"/>
      <c r="C75" s="527"/>
      <c r="D75" s="527"/>
      <c r="E75" s="527"/>
      <c r="F75" s="527"/>
      <c r="G75" s="527"/>
      <c r="H75" s="528"/>
      <c r="I75" s="528"/>
      <c r="J75" s="528"/>
      <c r="K75" s="528"/>
      <c r="L75" s="528"/>
      <c r="M75" s="529"/>
      <c r="N75" s="1066"/>
      <c r="O75" s="1066"/>
      <c r="P75" s="2108"/>
      <c r="Q75" s="516"/>
    </row>
    <row r="76" spans="1:17" ht="15" thickTop="1">
      <c r="A76" s="484" t="s">
        <v>2379</v>
      </c>
      <c r="B76" s="485" t="s">
        <v>2416</v>
      </c>
      <c r="C76" s="530" t="s">
        <v>2417</v>
      </c>
      <c r="D76" s="530" t="s">
        <v>2418</v>
      </c>
      <c r="E76" s="530" t="s">
        <v>2419</v>
      </c>
      <c r="F76" s="530" t="s">
        <v>2420</v>
      </c>
      <c r="G76" s="530" t="s">
        <v>2421</v>
      </c>
      <c r="H76" s="486"/>
      <c r="I76" s="486"/>
      <c r="J76" s="486"/>
      <c r="K76" s="531"/>
      <c r="L76" s="532"/>
      <c r="M76" s="533"/>
      <c r="N76" s="1064"/>
      <c r="O76" s="1064"/>
      <c r="P76" s="2111"/>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5"/>
      <c r="O77" s="1065"/>
      <c r="P77" s="2107"/>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7"/>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5"/>
      <c r="O79" s="1065"/>
      <c r="P79" s="2107"/>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7"/>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5"/>
      <c r="O81" s="1065"/>
      <c r="P81" s="2107"/>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7"/>
      <c r="Q82" s="461"/>
    </row>
    <row r="83" spans="1:17" ht="15.75" thickBot="1">
      <c r="A83" s="491"/>
      <c r="B83" s="503"/>
      <c r="C83" s="616">
        <v>100</v>
      </c>
      <c r="D83" s="616">
        <f>C83-$K21</f>
        <v>98</v>
      </c>
      <c r="E83" s="616">
        <f t="shared" ref="E83:G83" si="24">D83-$K21</f>
        <v>96</v>
      </c>
      <c r="F83" s="616">
        <f t="shared" si="24"/>
        <v>94</v>
      </c>
      <c r="G83" s="616">
        <f t="shared" si="24"/>
        <v>92</v>
      </c>
      <c r="H83" s="616"/>
      <c r="I83" s="616"/>
      <c r="J83" s="616"/>
      <c r="K83" s="616"/>
      <c r="L83" s="616"/>
      <c r="M83" s="409"/>
      <c r="N83" s="1065"/>
      <c r="O83" s="1065"/>
      <c r="P83" s="2107"/>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7"/>
      <c r="Q84" s="461"/>
    </row>
    <row r="85" spans="1:17" ht="15.75" thickBot="1">
      <c r="A85" s="491"/>
      <c r="B85" s="500"/>
      <c r="C85" s="501">
        <v>100</v>
      </c>
      <c r="D85" s="501">
        <f>C85-$K23</f>
        <v>96</v>
      </c>
      <c r="E85" s="501">
        <f>D85-$K23</f>
        <v>92</v>
      </c>
      <c r="F85" s="501">
        <f>E85-$K23</f>
        <v>88</v>
      </c>
      <c r="G85" s="501">
        <f>F85-$K23</f>
        <v>84</v>
      </c>
      <c r="H85" s="501"/>
      <c r="I85" s="501"/>
      <c r="J85" s="501"/>
      <c r="K85" s="501"/>
      <c r="L85" s="501"/>
      <c r="M85" s="502"/>
      <c r="N85" s="1065"/>
      <c r="O85" s="1065"/>
      <c r="P85" s="2107"/>
      <c r="Q85" s="461"/>
    </row>
    <row r="86" spans="1:17" s="113" customFormat="1" ht="15.75" hidden="1" thickTop="1">
      <c r="A86" s="536"/>
      <c r="B86" s="495" t="s">
        <v>2430</v>
      </c>
      <c r="C86" s="511"/>
      <c r="D86" s="511"/>
      <c r="E86" s="511"/>
      <c r="F86" s="511"/>
      <c r="G86" s="511"/>
      <c r="H86" s="511"/>
      <c r="I86" s="511"/>
      <c r="J86" s="511"/>
      <c r="K86" s="511"/>
      <c r="L86" s="537"/>
      <c r="M86" s="538"/>
      <c r="N86" s="1063"/>
      <c r="O86" s="1063"/>
      <c r="P86" s="2107"/>
      <c r="Q86" s="461"/>
    </row>
    <row r="87" spans="1:17" s="113" customFormat="1" ht="15.75" hidden="1" thickBot="1">
      <c r="A87" s="536"/>
      <c r="B87" s="500"/>
      <c r="C87" s="539">
        <v>100</v>
      </c>
      <c r="D87" s="501">
        <f t="shared" ref="D87:M87" si="25">$C$87-($C$86-D86)*$K$25</f>
        <v>100</v>
      </c>
      <c r="E87" s="501">
        <f t="shared" si="25"/>
        <v>100</v>
      </c>
      <c r="F87" s="501">
        <f t="shared" si="25"/>
        <v>100</v>
      </c>
      <c r="G87" s="501">
        <f t="shared" si="25"/>
        <v>100</v>
      </c>
      <c r="H87" s="501">
        <f t="shared" si="25"/>
        <v>100</v>
      </c>
      <c r="I87" s="501">
        <f t="shared" si="25"/>
        <v>100</v>
      </c>
      <c r="J87" s="501">
        <f t="shared" si="25"/>
        <v>100</v>
      </c>
      <c r="K87" s="501">
        <f t="shared" si="25"/>
        <v>100</v>
      </c>
      <c r="L87" s="501">
        <f t="shared" si="25"/>
        <v>100</v>
      </c>
      <c r="M87" s="501">
        <f t="shared" si="25"/>
        <v>100</v>
      </c>
      <c r="N87" s="1065"/>
      <c r="O87" s="1065"/>
      <c r="P87" s="2107"/>
      <c r="Q87" s="461"/>
    </row>
    <row r="88" spans="1:17" s="113" customFormat="1" ht="15.75" hidden="1" thickTop="1">
      <c r="A88" s="536"/>
      <c r="B88" s="495" t="s">
        <v>2431</v>
      </c>
      <c r="C88" s="511"/>
      <c r="D88" s="511"/>
      <c r="E88" s="511"/>
      <c r="F88" s="2112"/>
      <c r="G88" s="511"/>
      <c r="H88" s="511"/>
      <c r="I88" s="511"/>
      <c r="J88" s="511"/>
      <c r="K88" s="511"/>
      <c r="L88" s="511"/>
      <c r="M88" s="538"/>
      <c r="N88" s="1063"/>
      <c r="O88" s="1063"/>
      <c r="P88" s="2107"/>
      <c r="Q88" s="461"/>
    </row>
    <row r="89" spans="1:17" s="113" customFormat="1" ht="15.75" hidden="1" thickBot="1">
      <c r="A89" s="536"/>
      <c r="B89" s="500"/>
      <c r="C89" s="539">
        <v>100</v>
      </c>
      <c r="D89" s="501">
        <f t="shared" ref="D89:M89" si="26">C89-$K26</f>
        <v>100</v>
      </c>
      <c r="E89" s="501">
        <f t="shared" si="26"/>
        <v>100</v>
      </c>
      <c r="F89" s="501">
        <f t="shared" si="26"/>
        <v>100</v>
      </c>
      <c r="G89" s="501">
        <f t="shared" si="26"/>
        <v>100</v>
      </c>
      <c r="H89" s="501">
        <f t="shared" si="26"/>
        <v>100</v>
      </c>
      <c r="I89" s="501">
        <f t="shared" si="26"/>
        <v>100</v>
      </c>
      <c r="J89" s="501">
        <f t="shared" si="26"/>
        <v>100</v>
      </c>
      <c r="K89" s="501">
        <f t="shared" si="26"/>
        <v>100</v>
      </c>
      <c r="L89" s="501">
        <f t="shared" si="26"/>
        <v>100</v>
      </c>
      <c r="M89" s="501">
        <f t="shared" si="26"/>
        <v>100</v>
      </c>
      <c r="N89" s="1065"/>
      <c r="O89" s="1065"/>
      <c r="P89" s="2107"/>
      <c r="Q89" s="461"/>
    </row>
    <row r="90" spans="1:17" s="430" customFormat="1" ht="15.75" hidden="1" thickTop="1">
      <c r="A90" s="510"/>
      <c r="B90" s="495">
        <f>B27</f>
        <v>111</v>
      </c>
      <c r="C90" s="511"/>
      <c r="D90" s="511"/>
      <c r="E90" s="511"/>
      <c r="F90" s="511"/>
      <c r="G90" s="511"/>
      <c r="H90" s="512"/>
      <c r="I90" s="512"/>
      <c r="J90" s="512"/>
      <c r="K90" s="512"/>
      <c r="L90" s="513"/>
      <c r="M90" s="514"/>
      <c r="N90" s="1066"/>
      <c r="O90" s="1066"/>
      <c r="P90" s="2108"/>
      <c r="Q90" s="516"/>
    </row>
    <row r="91" spans="1:17" s="430" customFormat="1" ht="15.75" hidden="1" thickBot="1">
      <c r="A91" s="510"/>
      <c r="B91" s="500"/>
      <c r="C91" s="517"/>
      <c r="D91" s="517"/>
      <c r="E91" s="517"/>
      <c r="F91" s="517"/>
      <c r="G91" s="517"/>
      <c r="H91" s="519"/>
      <c r="I91" s="519"/>
      <c r="J91" s="519"/>
      <c r="K91" s="519"/>
      <c r="L91" s="519"/>
      <c r="M91" s="520"/>
      <c r="N91" s="1066"/>
      <c r="O91" s="1066"/>
      <c r="P91" s="2108"/>
      <c r="Q91" s="516"/>
    </row>
    <row r="92" spans="1:17" ht="15.75" hidden="1" thickTop="1">
      <c r="A92" s="491"/>
      <c r="B92" s="495">
        <f>B28</f>
        <v>111</v>
      </c>
      <c r="C92" s="511"/>
      <c r="D92" s="511"/>
      <c r="E92" s="511"/>
      <c r="F92" s="511"/>
      <c r="G92" s="540"/>
      <c r="H92" s="540"/>
      <c r="I92" s="540"/>
      <c r="J92" s="540"/>
      <c r="K92" s="541"/>
      <c r="L92" s="542"/>
      <c r="M92" s="543"/>
      <c r="N92" s="1064"/>
      <c r="O92" s="1064"/>
      <c r="P92" s="2107"/>
      <c r="Q92" s="461"/>
    </row>
    <row r="93" spans="1:17" ht="15.75" hidden="1" thickBot="1">
      <c r="A93" s="491"/>
      <c r="B93" s="500"/>
      <c r="C93" s="517"/>
      <c r="D93" s="493"/>
      <c r="E93" s="493"/>
      <c r="F93" s="493"/>
      <c r="G93" s="493"/>
      <c r="H93" s="493"/>
      <c r="I93" s="493"/>
      <c r="J93" s="493"/>
      <c r="K93" s="493"/>
      <c r="L93" s="493"/>
      <c r="M93" s="494"/>
      <c r="N93" s="1065"/>
      <c r="O93" s="1065"/>
      <c r="P93" s="2107"/>
      <c r="Q93" s="461"/>
    </row>
    <row r="94" spans="1:17" ht="15.75" hidden="1" thickTop="1">
      <c r="A94" s="491"/>
      <c r="B94" s="495">
        <f>B29</f>
        <v>111</v>
      </c>
      <c r="C94" s="511"/>
      <c r="D94" s="511"/>
      <c r="E94" s="511"/>
      <c r="F94" s="511"/>
      <c r="G94" s="540"/>
      <c r="H94" s="540"/>
      <c r="I94" s="540"/>
      <c r="J94" s="540"/>
      <c r="K94" s="541"/>
      <c r="L94" s="542"/>
      <c r="M94" s="543"/>
      <c r="N94" s="1064"/>
      <c r="O94" s="1064"/>
      <c r="P94" s="2107"/>
      <c r="Q94" s="461"/>
    </row>
    <row r="95" spans="1:17" ht="15.75" hidden="1" thickBot="1">
      <c r="A95" s="491"/>
      <c r="B95" s="500"/>
      <c r="C95" s="517"/>
      <c r="D95" s="517"/>
      <c r="E95" s="517"/>
      <c r="F95" s="517"/>
      <c r="G95" s="493"/>
      <c r="H95" s="493"/>
      <c r="I95" s="493"/>
      <c r="J95" s="493"/>
      <c r="K95" s="493"/>
      <c r="L95" s="493"/>
      <c r="M95" s="494"/>
      <c r="N95" s="1065"/>
      <c r="O95" s="1065"/>
      <c r="P95" s="2107"/>
      <c r="Q95" s="461"/>
    </row>
    <row r="96" spans="1:17" ht="15.75" hidden="1" thickTop="1">
      <c r="A96" s="491"/>
      <c r="B96" s="495">
        <f>B30</f>
        <v>111</v>
      </c>
      <c r="C96" s="511"/>
      <c r="D96" s="511"/>
      <c r="E96" s="511"/>
      <c r="F96" s="511"/>
      <c r="G96" s="540"/>
      <c r="H96" s="540"/>
      <c r="I96" s="540"/>
      <c r="J96" s="540"/>
      <c r="K96" s="541"/>
      <c r="L96" s="542"/>
      <c r="M96" s="543"/>
      <c r="N96" s="1064"/>
      <c r="O96" s="1064"/>
      <c r="P96" s="2107"/>
      <c r="Q96" s="461"/>
    </row>
    <row r="97" spans="1:17" ht="15.75" hidden="1" thickBot="1">
      <c r="A97" s="491"/>
      <c r="B97" s="500"/>
      <c r="C97" s="527"/>
      <c r="D97" s="527"/>
      <c r="E97" s="527"/>
      <c r="F97" s="527"/>
      <c r="G97" s="493"/>
      <c r="H97" s="493"/>
      <c r="I97" s="493"/>
      <c r="J97" s="493"/>
      <c r="K97" s="493"/>
      <c r="L97" s="493"/>
      <c r="M97" s="494"/>
      <c r="N97" s="1065"/>
      <c r="O97" s="1065"/>
      <c r="P97" s="2107"/>
      <c r="Q97" s="461"/>
    </row>
    <row r="98" spans="1:17" ht="15.75" hidden="1" thickTop="1">
      <c r="A98" s="491"/>
      <c r="B98" s="503">
        <f>B31</f>
        <v>111</v>
      </c>
      <c r="C98" s="544"/>
      <c r="D98" s="544"/>
      <c r="E98" s="544"/>
      <c r="F98" s="544"/>
      <c r="G98" s="544"/>
      <c r="H98" s="544"/>
      <c r="I98" s="544"/>
      <c r="J98" s="544"/>
      <c r="K98" s="545"/>
      <c r="L98" s="546"/>
      <c r="M98" s="547"/>
      <c r="N98" s="1064"/>
      <c r="O98" s="1064"/>
      <c r="P98" s="2107"/>
      <c r="Q98" s="461"/>
    </row>
    <row r="99" spans="1:17" ht="15.75" hidden="1" thickBot="1">
      <c r="A99" s="2113"/>
      <c r="B99" s="526"/>
      <c r="C99" s="548"/>
      <c r="D99" s="548"/>
      <c r="E99" s="548"/>
      <c r="F99" s="548"/>
      <c r="G99" s="548"/>
      <c r="H99" s="548"/>
      <c r="I99" s="548"/>
      <c r="J99" s="548"/>
      <c r="K99" s="548"/>
      <c r="L99" s="548"/>
      <c r="M99" s="549"/>
      <c r="N99" s="1065"/>
      <c r="O99" s="1065"/>
      <c r="P99" s="2107"/>
      <c r="Q99" s="461"/>
    </row>
    <row r="100" spans="1:17" ht="15" thickTop="1">
      <c r="A100" s="484" t="s">
        <v>2383</v>
      </c>
      <c r="B100" s="485" t="s">
        <v>2432</v>
      </c>
      <c r="C100" s="3083" t="s">
        <v>10270</v>
      </c>
      <c r="D100" s="3083" t="s">
        <v>3238</v>
      </c>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7">C101-$K32</f>
        <v>95</v>
      </c>
      <c r="E101" s="501">
        <f t="shared" si="27"/>
        <v>90</v>
      </c>
      <c r="F101" s="501">
        <f t="shared" si="27"/>
        <v>85</v>
      </c>
      <c r="G101" s="501">
        <f t="shared" si="27"/>
        <v>80</v>
      </c>
      <c r="H101" s="501">
        <f t="shared" si="27"/>
        <v>75</v>
      </c>
      <c r="I101" s="501">
        <f t="shared" si="27"/>
        <v>70</v>
      </c>
      <c r="J101" s="501">
        <f t="shared" si="27"/>
        <v>65</v>
      </c>
      <c r="K101" s="501">
        <f t="shared" si="27"/>
        <v>60</v>
      </c>
      <c r="L101" s="501">
        <f t="shared" si="27"/>
        <v>55</v>
      </c>
      <c r="M101" s="501">
        <f t="shared" si="27"/>
        <v>50</v>
      </c>
      <c r="N101" s="1065"/>
      <c r="O101" s="1065"/>
      <c r="P101" s="2107"/>
      <c r="Q101" s="461"/>
    </row>
    <row r="102" spans="1:17" ht="29.25" customHeight="1" thickTop="1">
      <c r="A102" s="491"/>
      <c r="B102" s="495" t="s">
        <v>2433</v>
      </c>
      <c r="C102" s="535" t="str">
        <f>C103&amp;"(含)"&amp;"-"&amp;D103</f>
        <v>0(含)-50000</v>
      </c>
      <c r="D102" s="535" t="str">
        <f t="shared" ref="D102:L102" si="28">D103&amp;"(含)"&amp;"-"&amp;E103</f>
        <v>50000(含)-100000</v>
      </c>
      <c r="E102" s="535" t="str">
        <f t="shared" si="28"/>
        <v>100000(含)-150000</v>
      </c>
      <c r="F102" s="535" t="str">
        <f t="shared" si="28"/>
        <v>150000(含)-200000</v>
      </c>
      <c r="G102" s="535" t="str">
        <f t="shared" si="28"/>
        <v>200000(含)-</v>
      </c>
      <c r="H102" s="535" t="str">
        <f t="shared" si="28"/>
        <v>(含)-</v>
      </c>
      <c r="I102" s="535" t="str">
        <f t="shared" si="28"/>
        <v>(含)-</v>
      </c>
      <c r="J102" s="535" t="str">
        <f t="shared" si="28"/>
        <v>(含)-</v>
      </c>
      <c r="K102" s="535" t="str">
        <f>K103&amp;"(含)"&amp;"-"&amp;L103</f>
        <v>(含)-</v>
      </c>
      <c r="L102" s="535" t="str">
        <f t="shared" si="28"/>
        <v>(含)-</v>
      </c>
      <c r="M102" s="535" t="str">
        <f>M103&amp;"(含)"&amp;"-"&amp;P103</f>
        <v>(含)-</v>
      </c>
      <c r="N102" s="1063"/>
      <c r="O102" s="1063"/>
      <c r="P102" s="2107"/>
      <c r="Q102" s="461"/>
    </row>
    <row r="103" spans="1:17" s="430" customFormat="1">
      <c r="A103" s="550"/>
      <c r="B103" s="551"/>
      <c r="C103" s="552">
        <v>0</v>
      </c>
      <c r="D103" s="552">
        <v>50000</v>
      </c>
      <c r="E103" s="552">
        <v>100000</v>
      </c>
      <c r="F103" s="552">
        <v>150000</v>
      </c>
      <c r="G103" s="552">
        <v>200000</v>
      </c>
      <c r="H103" s="552"/>
      <c r="I103" s="552"/>
      <c r="J103" s="553"/>
      <c r="K103" s="553"/>
      <c r="L103" s="554"/>
      <c r="M103" s="555"/>
      <c r="N103" s="1066"/>
      <c r="O103" s="1066"/>
      <c r="P103" s="2108"/>
      <c r="Q103" s="516"/>
    </row>
    <row r="104" spans="1:17" s="430" customFormat="1" ht="15.75" thickBot="1">
      <c r="A104" s="510"/>
      <c r="B104" s="500"/>
      <c r="C104" s="517">
        <v>100</v>
      </c>
      <c r="D104" s="493">
        <v>101</v>
      </c>
      <c r="E104" s="493">
        <v>102</v>
      </c>
      <c r="F104" s="493">
        <v>103</v>
      </c>
      <c r="G104" s="493">
        <v>104</v>
      </c>
      <c r="H104" s="493"/>
      <c r="I104" s="493"/>
      <c r="J104" s="493"/>
      <c r="K104" s="493"/>
      <c r="L104" s="493"/>
      <c r="M104" s="493"/>
      <c r="N104" s="1065"/>
      <c r="O104" s="1065"/>
      <c r="P104" s="2108"/>
      <c r="Q104" s="516"/>
    </row>
    <row r="105" spans="1:17" ht="15" thickTop="1">
      <c r="A105" s="556"/>
      <c r="B105" s="495" t="s">
        <v>2434</v>
      </c>
      <c r="C105" s="3084" t="s">
        <v>10263</v>
      </c>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9">C106-$K34</f>
        <v>99</v>
      </c>
      <c r="E106" s="501">
        <f t="shared" si="29"/>
        <v>98</v>
      </c>
      <c r="F106" s="501">
        <f t="shared" si="29"/>
        <v>97</v>
      </c>
      <c r="G106" s="501">
        <f t="shared" si="29"/>
        <v>96</v>
      </c>
      <c r="H106" s="501">
        <f t="shared" si="29"/>
        <v>95</v>
      </c>
      <c r="I106" s="501">
        <f t="shared" si="29"/>
        <v>94</v>
      </c>
      <c r="J106" s="501">
        <f t="shared" si="29"/>
        <v>93</v>
      </c>
      <c r="K106" s="501">
        <f t="shared" si="29"/>
        <v>92</v>
      </c>
      <c r="L106" s="501">
        <f t="shared" si="29"/>
        <v>91</v>
      </c>
      <c r="M106" s="501">
        <f t="shared" si="29"/>
        <v>90</v>
      </c>
      <c r="N106" s="1065"/>
      <c r="O106" s="1065"/>
      <c r="P106" s="2107"/>
      <c r="Q106" s="461"/>
    </row>
    <row r="107" spans="1:17" ht="15" thickTop="1">
      <c r="A107" s="556"/>
      <c r="B107" s="495" t="s">
        <v>2435</v>
      </c>
      <c r="C107" s="3085" t="s">
        <v>10271</v>
      </c>
      <c r="D107" s="3085" t="s">
        <v>10272</v>
      </c>
      <c r="E107" s="3085" t="s">
        <v>10273</v>
      </c>
      <c r="F107" s="3085" t="s">
        <v>10274</v>
      </c>
      <c r="G107" s="540"/>
      <c r="H107" s="540"/>
      <c r="I107" s="540"/>
      <c r="J107" s="540"/>
      <c r="K107" s="541"/>
      <c r="L107" s="542"/>
      <c r="M107" s="543"/>
      <c r="N107" s="1064"/>
      <c r="O107" s="1064"/>
      <c r="P107" s="2107"/>
      <c r="Q107" s="461"/>
    </row>
    <row r="108" spans="1:17" ht="15.75" thickBot="1">
      <c r="A108" s="491"/>
      <c r="B108" s="500"/>
      <c r="C108" s="501">
        <v>100</v>
      </c>
      <c r="D108" s="501">
        <f t="shared" ref="D108:M108" si="30">C108-$K35</f>
        <v>100</v>
      </c>
      <c r="E108" s="501">
        <f t="shared" si="30"/>
        <v>100</v>
      </c>
      <c r="F108" s="501">
        <f t="shared" si="30"/>
        <v>100</v>
      </c>
      <c r="G108" s="501">
        <f t="shared" si="30"/>
        <v>100</v>
      </c>
      <c r="H108" s="501">
        <f t="shared" si="30"/>
        <v>100</v>
      </c>
      <c r="I108" s="501">
        <f t="shared" si="30"/>
        <v>100</v>
      </c>
      <c r="J108" s="501">
        <f t="shared" si="30"/>
        <v>100</v>
      </c>
      <c r="K108" s="501">
        <f t="shared" si="30"/>
        <v>100</v>
      </c>
      <c r="L108" s="501">
        <f t="shared" si="30"/>
        <v>100</v>
      </c>
      <c r="M108" s="501">
        <f t="shared" si="30"/>
        <v>100</v>
      </c>
      <c r="N108" s="1065"/>
      <c r="O108" s="1065"/>
      <c r="P108" s="2107"/>
      <c r="Q108" s="461"/>
    </row>
    <row r="109" spans="1:17" ht="15" thickTop="1">
      <c r="A109" s="556"/>
      <c r="B109" s="495" t="s">
        <v>2436</v>
      </c>
      <c r="C109" s="3086" t="s">
        <v>10275</v>
      </c>
      <c r="D109" s="3086" t="s">
        <v>10276</v>
      </c>
      <c r="E109" s="3086" t="s">
        <v>10277</v>
      </c>
      <c r="F109" s="3086" t="s">
        <v>10278</v>
      </c>
      <c r="G109" s="540"/>
      <c r="H109" s="540"/>
      <c r="I109" s="540"/>
      <c r="J109" s="540"/>
      <c r="K109" s="541"/>
      <c r="L109" s="542"/>
      <c r="M109" s="543"/>
      <c r="N109" s="1064"/>
      <c r="O109" s="1064"/>
      <c r="P109" s="2107"/>
      <c r="Q109" s="461"/>
    </row>
    <row r="110" spans="1:17" ht="15.75" thickBot="1">
      <c r="A110" s="491"/>
      <c r="B110" s="500"/>
      <c r="C110" s="501">
        <v>100</v>
      </c>
      <c r="D110" s="501">
        <f t="shared" ref="D110:M110" si="31">C110-$K36</f>
        <v>99</v>
      </c>
      <c r="E110" s="501">
        <f t="shared" si="31"/>
        <v>98</v>
      </c>
      <c r="F110" s="501">
        <f t="shared" si="31"/>
        <v>97</v>
      </c>
      <c r="G110" s="501">
        <f t="shared" si="31"/>
        <v>96</v>
      </c>
      <c r="H110" s="501">
        <f t="shared" si="31"/>
        <v>95</v>
      </c>
      <c r="I110" s="501">
        <f t="shared" si="31"/>
        <v>94</v>
      </c>
      <c r="J110" s="501">
        <f t="shared" si="31"/>
        <v>93</v>
      </c>
      <c r="K110" s="501">
        <f t="shared" si="31"/>
        <v>92</v>
      </c>
      <c r="L110" s="501">
        <f t="shared" si="31"/>
        <v>91</v>
      </c>
      <c r="M110" s="501">
        <f t="shared" si="31"/>
        <v>90</v>
      </c>
      <c r="N110" s="1065"/>
      <c r="O110" s="1065"/>
      <c r="P110" s="210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6"/>
      <c r="O113" s="1066"/>
      <c r="P113" s="2108"/>
      <c r="Q113" s="516"/>
    </row>
    <row r="114" spans="1:17" ht="15" thickTop="1">
      <c r="A114" s="556"/>
      <c r="B114" s="495" t="s">
        <v>2437</v>
      </c>
      <c r="C114" s="3086" t="s">
        <v>10279</v>
      </c>
      <c r="D114" s="3086" t="s">
        <v>10280</v>
      </c>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2">C115-$K38</f>
        <v>99</v>
      </c>
      <c r="E115" s="501">
        <f t="shared" si="32"/>
        <v>98</v>
      </c>
      <c r="F115" s="501">
        <f t="shared" si="32"/>
        <v>97</v>
      </c>
      <c r="G115" s="501">
        <f t="shared" si="32"/>
        <v>96</v>
      </c>
      <c r="H115" s="501">
        <f t="shared" si="32"/>
        <v>95</v>
      </c>
      <c r="I115" s="501">
        <f t="shared" si="32"/>
        <v>94</v>
      </c>
      <c r="J115" s="501">
        <f t="shared" si="32"/>
        <v>93</v>
      </c>
      <c r="K115" s="501">
        <f t="shared" si="32"/>
        <v>92</v>
      </c>
      <c r="L115" s="501">
        <f t="shared" si="32"/>
        <v>91</v>
      </c>
      <c r="M115" s="501">
        <f t="shared" si="32"/>
        <v>90</v>
      </c>
      <c r="N115" s="1065"/>
      <c r="O115" s="1065"/>
      <c r="P115" s="2107"/>
      <c r="Q115" s="461"/>
    </row>
    <row r="116" spans="1:17" ht="15" thickTop="1">
      <c r="A116" s="556"/>
      <c r="B116" s="495" t="s">
        <v>2438</v>
      </c>
      <c r="C116" s="3087" t="s">
        <v>10281</v>
      </c>
      <c r="D116" s="3087" t="s">
        <v>10282</v>
      </c>
      <c r="E116" s="3087" t="s">
        <v>10283</v>
      </c>
      <c r="F116" s="3087" t="s">
        <v>10284</v>
      </c>
      <c r="G116" s="3087" t="s">
        <v>10285</v>
      </c>
      <c r="H116" s="540"/>
      <c r="I116" s="540"/>
      <c r="J116" s="540"/>
      <c r="K116" s="541"/>
      <c r="L116" s="542"/>
      <c r="M116" s="543"/>
      <c r="N116" s="1064"/>
      <c r="O116" s="1064"/>
      <c r="P116" s="2107"/>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5"/>
      <c r="O117" s="1065"/>
      <c r="P117" s="2107"/>
      <c r="Q117" s="461"/>
    </row>
    <row r="118" spans="1:17" ht="15" hidden="1" thickTop="1">
      <c r="A118" s="556"/>
      <c r="B118" s="495" t="s">
        <v>2439</v>
      </c>
      <c r="C118" s="540"/>
      <c r="D118" s="540"/>
      <c r="E118" s="540"/>
      <c r="F118" s="540"/>
      <c r="G118" s="540"/>
      <c r="H118" s="540"/>
      <c r="I118" s="540"/>
      <c r="J118" s="540"/>
      <c r="K118" s="541"/>
      <c r="L118" s="542"/>
      <c r="M118" s="543"/>
      <c r="N118" s="1064"/>
      <c r="O118" s="1064"/>
      <c r="P118" s="2107"/>
      <c r="Q118" s="461"/>
    </row>
    <row r="119" spans="1:17" ht="15.75" hidden="1" thickBot="1">
      <c r="A119" s="491"/>
      <c r="B119" s="500"/>
      <c r="C119" s="501">
        <v>100</v>
      </c>
      <c r="D119" s="501">
        <f t="shared" ref="D119:M119" si="33">C119-$K40</f>
        <v>100</v>
      </c>
      <c r="E119" s="501">
        <f t="shared" si="33"/>
        <v>100</v>
      </c>
      <c r="F119" s="501">
        <f t="shared" si="33"/>
        <v>100</v>
      </c>
      <c r="G119" s="501">
        <f t="shared" si="33"/>
        <v>100</v>
      </c>
      <c r="H119" s="501">
        <f t="shared" si="33"/>
        <v>100</v>
      </c>
      <c r="I119" s="501">
        <f t="shared" si="33"/>
        <v>100</v>
      </c>
      <c r="J119" s="501">
        <f t="shared" si="33"/>
        <v>100</v>
      </c>
      <c r="K119" s="501">
        <f t="shared" si="33"/>
        <v>100</v>
      </c>
      <c r="L119" s="501">
        <f t="shared" si="33"/>
        <v>100</v>
      </c>
      <c r="M119" s="501">
        <f t="shared" si="33"/>
        <v>100</v>
      </c>
      <c r="N119" s="1065"/>
      <c r="O119" s="1065"/>
      <c r="P119" s="2107"/>
      <c r="Q119" s="461"/>
    </row>
    <row r="120" spans="1:17" s="430" customFormat="1" ht="28.5" hidden="1" thickTop="1">
      <c r="A120" s="550"/>
      <c r="B120" s="495" t="s">
        <v>2394</v>
      </c>
      <c r="C120" s="511"/>
      <c r="D120" s="511"/>
      <c r="E120" s="511"/>
      <c r="F120" s="511"/>
      <c r="G120" s="511"/>
      <c r="H120" s="511"/>
      <c r="I120" s="511"/>
      <c r="J120" s="511"/>
      <c r="K120" s="511"/>
      <c r="L120" s="537"/>
      <c r="M120" s="538"/>
      <c r="N120" s="1066"/>
      <c r="O120" s="1066"/>
      <c r="P120" s="2108"/>
      <c r="Q120" s="516"/>
    </row>
    <row r="121" spans="1:17" s="430" customFormat="1" ht="15.75" hidden="1"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2440</v>
      </c>
      <c r="C122" s="3086" t="s">
        <v>10275</v>
      </c>
      <c r="D122" s="3086" t="s">
        <v>10276</v>
      </c>
      <c r="E122" s="3086" t="s">
        <v>10277</v>
      </c>
      <c r="F122" s="3086" t="s">
        <v>10278</v>
      </c>
      <c r="G122" s="540"/>
      <c r="H122" s="540"/>
      <c r="I122" s="540"/>
      <c r="J122" s="540"/>
      <c r="K122" s="541"/>
      <c r="L122" s="542"/>
      <c r="M122" s="543"/>
      <c r="N122" s="1064"/>
      <c r="O122" s="1064"/>
      <c r="P122" s="2107"/>
      <c r="Q122" s="461"/>
    </row>
    <row r="123" spans="1:17" ht="15.75" thickBot="1">
      <c r="A123" s="491"/>
      <c r="B123" s="500"/>
      <c r="C123" s="501">
        <v>100</v>
      </c>
      <c r="D123" s="501">
        <f t="shared" ref="D123:M123" si="34">C123-$K42</f>
        <v>98</v>
      </c>
      <c r="E123" s="501">
        <f t="shared" si="34"/>
        <v>96</v>
      </c>
      <c r="F123" s="501">
        <f t="shared" si="34"/>
        <v>94</v>
      </c>
      <c r="G123" s="501">
        <f t="shared" si="34"/>
        <v>92</v>
      </c>
      <c r="H123" s="501">
        <f t="shared" si="34"/>
        <v>90</v>
      </c>
      <c r="I123" s="501">
        <f t="shared" si="34"/>
        <v>88</v>
      </c>
      <c r="J123" s="501">
        <f t="shared" si="34"/>
        <v>86</v>
      </c>
      <c r="K123" s="501">
        <f t="shared" si="34"/>
        <v>84</v>
      </c>
      <c r="L123" s="501">
        <f t="shared" si="34"/>
        <v>82</v>
      </c>
      <c r="M123" s="501">
        <f t="shared" si="34"/>
        <v>80</v>
      </c>
      <c r="N123" s="1065"/>
      <c r="O123" s="1065"/>
      <c r="P123" s="2107"/>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2442</v>
      </c>
    </row>
    <row r="137" spans="1:17" ht="15">
      <c r="B137" s="2115" t="s">
        <v>2443</v>
      </c>
      <c r="C137" s="2116"/>
      <c r="D137" s="2116"/>
      <c r="E137" s="2116"/>
      <c r="F137" s="2116"/>
      <c r="G137" s="2117"/>
      <c r="H137" s="2118"/>
      <c r="I137" s="2119" t="s">
        <v>2444</v>
      </c>
      <c r="J137" s="2116"/>
      <c r="K137" s="2120"/>
    </row>
    <row r="138" spans="1:17" ht="15">
      <c r="B138" s="2121"/>
      <c r="C138" s="142" t="s">
        <v>2445</v>
      </c>
      <c r="D138" s="142" t="s">
        <v>2446</v>
      </c>
      <c r="E138" s="2122" t="s">
        <v>2447</v>
      </c>
      <c r="F138" s="2123" t="s">
        <v>2448</v>
      </c>
      <c r="G138" s="142" t="s">
        <v>2446</v>
      </c>
      <c r="H138" s="143" t="s">
        <v>2447</v>
      </c>
      <c r="I138" s="2124"/>
      <c r="J138" s="142" t="s">
        <v>2449</v>
      </c>
      <c r="K138" s="143" t="s">
        <v>2450</v>
      </c>
    </row>
    <row r="139" spans="1:17" ht="15">
      <c r="B139" s="998">
        <v>6</v>
      </c>
      <c r="C139" s="999">
        <v>96</v>
      </c>
      <c r="D139" s="2125" t="s">
        <v>2451</v>
      </c>
      <c r="E139" s="1000">
        <v>100</v>
      </c>
      <c r="F139" s="1001">
        <v>102.5</v>
      </c>
      <c r="G139" s="2125" t="s">
        <v>2451</v>
      </c>
      <c r="H139" s="1002">
        <v>105</v>
      </c>
      <c r="I139" s="2126" t="s">
        <v>2452</v>
      </c>
      <c r="J139" s="999">
        <v>20</v>
      </c>
      <c r="K139" s="1003">
        <f>C145/(J139-2)</f>
        <v>4.0555555555555553E-3</v>
      </c>
    </row>
    <row r="140" spans="1:17" ht="15">
      <c r="B140" s="1004">
        <v>5</v>
      </c>
      <c r="C140" s="1005">
        <v>100</v>
      </c>
      <c r="D140" s="1005"/>
      <c r="E140" s="1006"/>
      <c r="F140" s="1007">
        <v>102</v>
      </c>
      <c r="G140" s="1005"/>
      <c r="H140" s="1008"/>
      <c r="I140" s="2127" t="s">
        <v>2453</v>
      </c>
      <c r="J140" s="277">
        <f>ROUNDUP((J139-1)/2,0)</f>
        <v>10</v>
      </c>
      <c r="K140" s="1009">
        <v>100</v>
      </c>
    </row>
    <row r="141" spans="1:17" ht="15">
      <c r="B141" s="1004">
        <v>4</v>
      </c>
      <c r="C141" s="1005">
        <v>102</v>
      </c>
      <c r="D141" s="1005"/>
      <c r="E141" s="1006"/>
      <c r="F141" s="1007">
        <v>101.5</v>
      </c>
      <c r="G141" s="1005"/>
      <c r="H141" s="1008"/>
      <c r="I141" s="2127" t="s">
        <v>2454</v>
      </c>
      <c r="J141" s="277">
        <v>1</v>
      </c>
      <c r="K141" s="1010">
        <f>ROUND(100+(J141-J140)*K139*100,1)</f>
        <v>96.4</v>
      </c>
    </row>
    <row r="142" spans="1:17" ht="15">
      <c r="B142" s="1004">
        <v>3</v>
      </c>
      <c r="C142" s="1005">
        <v>103</v>
      </c>
      <c r="D142" s="1005"/>
      <c r="E142" s="1006"/>
      <c r="F142" s="1007">
        <v>101</v>
      </c>
      <c r="G142" s="1005"/>
      <c r="H142" s="1008"/>
      <c r="I142" s="2127" t="s">
        <v>2455</v>
      </c>
      <c r="J142" s="277">
        <f>J139</f>
        <v>20</v>
      </c>
      <c r="K142" s="1011">
        <v>95</v>
      </c>
    </row>
    <row r="143" spans="1:17" ht="15">
      <c r="B143" s="1004">
        <v>2</v>
      </c>
      <c r="C143" s="1005">
        <v>100</v>
      </c>
      <c r="D143" s="1005"/>
      <c r="E143" s="1006"/>
      <c r="F143" s="1007">
        <v>100.5</v>
      </c>
      <c r="G143" s="1005"/>
      <c r="H143" s="1008"/>
      <c r="I143" s="2127" t="s">
        <v>2456</v>
      </c>
      <c r="J143" s="1005">
        <v>15</v>
      </c>
      <c r="K143" s="1010">
        <f>ROUND(100+(J143-J140)*K139*100,1)</f>
        <v>102</v>
      </c>
    </row>
    <row r="144" spans="1:17" ht="15">
      <c r="B144" s="1004">
        <v>1</v>
      </c>
      <c r="C144" s="1005">
        <v>98</v>
      </c>
      <c r="D144" s="2128" t="s">
        <v>2457</v>
      </c>
      <c r="E144" s="1006">
        <v>102</v>
      </c>
      <c r="F144" s="1012">
        <v>100</v>
      </c>
      <c r="G144" s="2128" t="s">
        <v>2457</v>
      </c>
      <c r="H144" s="1008">
        <v>105</v>
      </c>
      <c r="I144" s="2127" t="s">
        <v>2456</v>
      </c>
      <c r="J144" s="1005">
        <v>18</v>
      </c>
      <c r="K144" s="1010">
        <f>ROUND(100+(J144-J140)*K139*100,1)</f>
        <v>103.2</v>
      </c>
    </row>
    <row r="145" spans="2:11" ht="15.75" thickBot="1">
      <c r="B145" s="2129" t="s">
        <v>2458</v>
      </c>
      <c r="C145" s="1013">
        <f>ROUND(MAX(C139:C144)/MIN(C139:C144)-1,3)</f>
        <v>7.2999999999999995E-2</v>
      </c>
      <c r="D145" s="1014"/>
      <c r="E145" s="1014"/>
      <c r="F145" s="2130" t="s">
        <v>2459</v>
      </c>
      <c r="G145" s="2131"/>
      <c r="H145" s="2132"/>
      <c r="I145" s="2133" t="s">
        <v>2456</v>
      </c>
      <c r="J145" s="1015">
        <v>8</v>
      </c>
      <c r="K145" s="1016">
        <f>ROUND(100+(J145-J140)*K139*100,1)</f>
        <v>99.2</v>
      </c>
    </row>
    <row r="147" spans="2:11">
      <c r="B147" s="2114" t="s">
        <v>2460</v>
      </c>
    </row>
    <row r="148" spans="2:11">
      <c r="B148" s="2114"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D41" sqref="D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3238</v>
      </c>
      <c r="D1" s="1546" t="s">
        <v>70</v>
      </c>
      <c r="E1" s="1547" t="s">
        <v>1352</v>
      </c>
      <c r="F1" s="1193">
        <f ca="1">J53</f>
        <v>60</v>
      </c>
      <c r="G1" s="1562">
        <f>MATCH(C1,'数据-取费表'!A6:A16,0)+5</f>
        <v>6</v>
      </c>
      <c r="H1" s="2916"/>
      <c r="I1" s="2917"/>
      <c r="J1" s="2917"/>
      <c r="K1" s="2918"/>
      <c r="L1" s="2917"/>
      <c r="M1" s="291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398</v>
      </c>
      <c r="C2" s="1571" t="s">
        <v>1481</v>
      </c>
      <c r="D2" s="1571"/>
      <c r="E2" s="1572"/>
      <c r="F2" s="1573"/>
      <c r="G2" s="2930"/>
      <c r="H2" s="2919"/>
      <c r="I2" s="2919"/>
      <c r="J2" s="2919"/>
      <c r="K2" s="2920"/>
      <c r="L2" s="2919"/>
      <c r="M2" s="2919"/>
    </row>
    <row r="3" spans="1:37" ht="18" customHeight="1" thickBot="1">
      <c r="A3" s="1574" t="s">
        <v>1482</v>
      </c>
      <c r="B3" s="1575">
        <f ca="1">IF(ISERROR(B2*10000/F43),0,ROUND(B2*10000/F43,0))</f>
        <v>7654</v>
      </c>
      <c r="C3" s="1571" t="s">
        <v>1483</v>
      </c>
      <c r="D3" s="1571"/>
      <c r="E3" s="1572"/>
      <c r="F3" s="1573"/>
      <c r="G3" s="2930"/>
      <c r="H3" s="692" t="s">
        <v>1552</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22</v>
      </c>
      <c r="D5" s="1548" t="s">
        <v>1367</v>
      </c>
      <c r="E5" s="1203"/>
      <c r="F5" s="1204"/>
      <c r="G5" s="1568"/>
      <c r="H5" s="305">
        <v>1</v>
      </c>
      <c r="I5" s="306" t="s">
        <v>1366</v>
      </c>
      <c r="J5" s="1202">
        <f ca="1">J6+J10+J12</f>
        <v>0</v>
      </c>
      <c r="K5" s="1548" t="s">
        <v>1367</v>
      </c>
      <c r="L5" s="1203"/>
      <c r="M5" s="1204"/>
    </row>
    <row r="6" spans="1:37" ht="18" customHeight="1">
      <c r="A6" s="1201" t="s">
        <v>1003</v>
      </c>
      <c r="B6" s="3336" t="s">
        <v>1368</v>
      </c>
      <c r="C6" s="1206">
        <f ca="1">ROUND(F6*F8*F7*(1-F9)/10000,0)</f>
        <v>22</v>
      </c>
      <c r="D6" s="160" t="s">
        <v>2850</v>
      </c>
      <c r="E6" s="308" t="s">
        <v>1370</v>
      </c>
      <c r="F6" s="309">
        <f ca="1">INDIRECT("'数据-取费表'!u"&amp;$G$1)</f>
        <v>4000</v>
      </c>
      <c r="G6" s="1568"/>
      <c r="H6" s="1201" t="s">
        <v>1003</v>
      </c>
      <c r="I6" s="3336" t="s">
        <v>1368</v>
      </c>
      <c r="J6" s="307">
        <f ca="1">ROUND(M6*M8*M7*(1-M9)/10000,0)</f>
        <v>0</v>
      </c>
      <c r="K6" s="160" t="s">
        <v>2849</v>
      </c>
      <c r="L6" s="308" t="s">
        <v>1370</v>
      </c>
      <c r="M6" s="309">
        <f ca="1">INDIRECT("'数据-取费表'!z"&amp;$G$1)</f>
        <v>0</v>
      </c>
    </row>
    <row r="7" spans="1:37" ht="18" customHeight="1">
      <c r="A7" s="1205"/>
      <c r="B7" s="3337"/>
      <c r="C7" s="1207"/>
      <c r="D7" s="313"/>
      <c r="E7" s="1208" t="s">
        <v>1371</v>
      </c>
      <c r="F7" s="309">
        <f ca="1">IF(INDIRECT("'数据-取费表'!ah"&amp;$G$1)="",INDIRECT("'数据-取费表'!k"&amp;$G$1),INDIRECT("'数据-取费表'!ah"&amp;$G$1))</f>
        <v>5</v>
      </c>
      <c r="G7" s="1568"/>
      <c r="H7" s="310"/>
      <c r="I7" s="3337"/>
      <c r="J7" s="312"/>
      <c r="K7" s="313"/>
      <c r="L7" s="308" t="s">
        <v>1371</v>
      </c>
      <c r="M7" s="309">
        <f ca="1">F7</f>
        <v>5</v>
      </c>
    </row>
    <row r="8" spans="1:37" ht="18" customHeight="1">
      <c r="A8" s="310"/>
      <c r="B8" s="3337"/>
      <c r="C8" s="312"/>
      <c r="D8" s="313"/>
      <c r="E8" s="308" t="s">
        <v>1372</v>
      </c>
      <c r="F8" s="309">
        <f ca="1">INDIRECT("'数据-取费表'!ai"&amp;$G$1)</f>
        <v>12</v>
      </c>
      <c r="G8" s="1568"/>
      <c r="H8" s="310"/>
      <c r="I8" s="3337"/>
      <c r="J8" s="312"/>
      <c r="K8" s="313"/>
      <c r="L8" s="308" t="s">
        <v>1372</v>
      </c>
      <c r="M8" s="309">
        <f ca="1">INDIRECT("'数据-取费表'!ai"&amp;$G$1)</f>
        <v>12</v>
      </c>
    </row>
    <row r="9" spans="1:37" ht="18" customHeight="1">
      <c r="A9" s="310"/>
      <c r="B9" s="3338"/>
      <c r="C9" s="312"/>
      <c r="D9" s="313"/>
      <c r="E9" s="308" t="s">
        <v>1373</v>
      </c>
      <c r="F9" s="318">
        <f ca="1">INDIRECT("'数据-取费表'!w"&amp;$G$1)</f>
        <v>0.1</v>
      </c>
      <c r="G9" s="1568"/>
      <c r="H9" s="310"/>
      <c r="I9" s="3338"/>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t="s">
        <v>10266</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286</v>
      </c>
      <c r="D13" s="1241" t="s">
        <v>1380</v>
      </c>
      <c r="E13" s="124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172</v>
      </c>
      <c r="D14" s="1529" t="s">
        <v>1383</v>
      </c>
      <c r="E14" s="1526"/>
      <c r="F14" s="325"/>
      <c r="G14" s="1568"/>
      <c r="H14" s="1113" t="s">
        <v>1003</v>
      </c>
      <c r="I14" s="308" t="s">
        <v>1384</v>
      </c>
      <c r="J14" s="24">
        <f ca="1">C29</f>
        <v>286</v>
      </c>
      <c r="K14" s="15"/>
      <c r="L14" s="916"/>
      <c r="M14" s="917"/>
    </row>
    <row r="15" spans="1:37" s="1581" customFormat="1" ht="18" customHeight="1" thickBot="1">
      <c r="A15" s="1113" t="s">
        <v>1004</v>
      </c>
      <c r="B15" s="308" t="s">
        <v>1385</v>
      </c>
      <c r="C15" s="24">
        <f ca="1">ROUND(C14*F15,0)</f>
        <v>5</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17</v>
      </c>
      <c r="D16" s="308" t="s">
        <v>1386</v>
      </c>
      <c r="E16" s="308" t="s">
        <v>1387</v>
      </c>
      <c r="F16" s="328">
        <f ca="1">IF(INDIRECT("'数据-取费表'!c"&amp;$G$1)="住宅",'数据-取费表'!B34,0)</f>
        <v>0.1</v>
      </c>
      <c r="G16" s="1568"/>
      <c r="H16" s="1239" t="s">
        <v>998</v>
      </c>
      <c r="I16" s="1240" t="s">
        <v>1389</v>
      </c>
      <c r="J16" s="316">
        <f ca="1">ROUND(J17+J22+J23+J24,0)</f>
        <v>7</v>
      </c>
      <c r="K16" s="1247" t="s">
        <v>1390</v>
      </c>
      <c r="L16" s="1248"/>
      <c r="M16" s="1204"/>
    </row>
    <row r="17" spans="1:37" s="1581" customFormat="1" ht="18" customHeight="1">
      <c r="A17" s="1113" t="s">
        <v>1355</v>
      </c>
      <c r="B17" s="308" t="s">
        <v>1391</v>
      </c>
      <c r="C17" s="24">
        <f ca="1">ROUND(F17*(F43+INDIRECT("'数据-取费表'!S"&amp;$G$1))/10000,0)</f>
        <v>10</v>
      </c>
      <c r="D17" s="308" t="s">
        <v>1392</v>
      </c>
      <c r="E17" s="308" t="s">
        <v>1393</v>
      </c>
      <c r="F17" s="26">
        <f>'数据-取费表'!B35</f>
        <v>200</v>
      </c>
      <c r="G17" s="1580"/>
      <c r="H17" s="1113" t="s">
        <v>1003</v>
      </c>
      <c r="I17" s="308" t="s">
        <v>1394</v>
      </c>
      <c r="J17" s="2533">
        <f ca="1">ROUND(IF(AND(项目基本情况!B11="自然人",项目基本情况!B10="北京市"),J6*M17/(1+'数据-取费表'!C42),J18+J19+J20),0)</f>
        <v>3</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207</v>
      </c>
      <c r="D19" s="136" t="s">
        <v>1401</v>
      </c>
      <c r="E19" s="1544"/>
      <c r="F19" s="26"/>
      <c r="G19" s="1568"/>
      <c r="H19" s="1113" t="s">
        <v>1004</v>
      </c>
      <c r="I19" s="308" t="s">
        <v>1402</v>
      </c>
      <c r="J19" s="24">
        <f ca="1">IF(K19="按租金收入计税",ROUND(J6*M19/(1+'数据-取费表'!C42),2),ROUND(C29*M19*0.7,2))</f>
        <v>2.4</v>
      </c>
      <c r="K19" s="1554" t="s">
        <v>1403</v>
      </c>
      <c r="L19" s="308" t="s">
        <v>1387</v>
      </c>
      <c r="M19" s="328">
        <f>IF(K19="按租金收入计税",'数据-取费表'!B51,'数据-取费表'!B50)</f>
        <v>1.2E-2</v>
      </c>
    </row>
    <row r="20" spans="1:37" s="1581" customFormat="1" ht="18" customHeight="1">
      <c r="A20" s="1113" t="s">
        <v>1007</v>
      </c>
      <c r="B20" s="308" t="s">
        <v>1404</v>
      </c>
      <c r="C20" s="24">
        <f ca="1">ROUND(C19*F20,0)</f>
        <v>4</v>
      </c>
      <c r="D20" s="329" t="s">
        <v>1405</v>
      </c>
      <c r="E20" s="308" t="s">
        <v>1387</v>
      </c>
      <c r="F20" s="328">
        <f>'数据-取费表'!B37</f>
        <v>0.02</v>
      </c>
      <c r="G20" s="1580"/>
      <c r="H20" s="1113" t="s">
        <v>1354</v>
      </c>
      <c r="I20" s="160" t="s">
        <v>1406</v>
      </c>
      <c r="J20" s="25">
        <f ca="1">ROUND(M20*M21/10000,2)</f>
        <v>0.16</v>
      </c>
      <c r="K20" s="330" t="s">
        <v>1407</v>
      </c>
      <c r="L20" s="308" t="s">
        <v>1408</v>
      </c>
      <c r="M20" s="331">
        <f>'数据-取费表'!B52</f>
        <v>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202.06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4.3</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11</v>
      </c>
      <c r="D23" s="335" t="str">
        <f>IF(F23&lt;=1,"(建造成本+管理费用)×利率×(建设周期÷2)","(建造成本+管理费用)×((1+利率)^(建设周期÷2)-1)")</f>
        <v>(建造成本+管理费用)×((1+利率)^(建设周期÷2)-1)</v>
      </c>
      <c r="E23" s="308" t="s">
        <v>1417</v>
      </c>
      <c r="F23" s="331">
        <f>'数据-取费表'!B20</f>
        <v>2.5</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-7</v>
      </c>
      <c r="K25" s="1255" t="s">
        <v>1429</v>
      </c>
      <c r="L25" s="1256"/>
      <c r="M25" s="1257"/>
    </row>
    <row r="26" spans="1:37">
      <c r="A26" s="1113" t="s">
        <v>1002</v>
      </c>
      <c r="B26" s="308" t="s">
        <v>1430</v>
      </c>
      <c r="C26" s="24">
        <f ca="1">ROUND((C19+C20)*F26,0)</f>
        <v>42</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286</v>
      </c>
      <c r="D29" s="1252"/>
      <c r="E29" s="1250"/>
      <c r="F29" s="1253"/>
      <c r="G29" s="1580"/>
      <c r="H29" s="340" t="s">
        <v>1001</v>
      </c>
      <c r="I29" s="341" t="s">
        <v>1444</v>
      </c>
      <c r="J29" s="342">
        <f ca="1">ROUND(J26/(1+F40)^F41,0)</f>
        <v>0</v>
      </c>
      <c r="K29" s="343" t="s">
        <v>1445</v>
      </c>
      <c r="L29" s="344"/>
      <c r="M29" s="345">
        <f ca="1">INDIRECT("'数据-取费表'!k"&amp;$G$1)</f>
        <v>519.96</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9</v>
      </c>
      <c r="D30" s="1247" t="s">
        <v>1390</v>
      </c>
      <c r="E30" s="1248"/>
      <c r="F30" s="1204"/>
      <c r="G30" s="1568"/>
      <c r="H30" s="2921"/>
      <c r="I30" s="1582"/>
      <c r="J30" s="1583"/>
      <c r="K30" s="2697"/>
      <c r="L30" s="2922"/>
      <c r="M30" s="2923"/>
    </row>
    <row r="31" spans="1:37" ht="18" customHeight="1">
      <c r="A31" s="1113" t="s">
        <v>1003</v>
      </c>
      <c r="B31" s="308" t="s">
        <v>1394</v>
      </c>
      <c r="C31" s="2533">
        <f ca="1">ROUND(IF(AND(项目基本情况!B11="自然人",项目基本情况!B10="北京市"),C6*F31/(1+'数据-取费表'!C42),C32+C33+C34),0)</f>
        <v>4</v>
      </c>
      <c r="D31" s="1529" t="s">
        <v>1395</v>
      </c>
      <c r="E31" s="1528" t="s">
        <v>1446</v>
      </c>
      <c r="F31" s="2532" t="str">
        <f>IF(项目基本情况!B11="企业","——",IF('数据-取费表'!B10="住宅",IF(F6*F7*F8/12/(1+'数据-取费表'!F30)&gt;100000,4%,2.5%),IF(F6*F7*F8/12/(1+'数据-取费表'!F30)&gt;100000,12%,7%)))</f>
        <v>——</v>
      </c>
      <c r="G31" s="1568"/>
      <c r="H31" s="3034" t="s">
        <v>3055</v>
      </c>
      <c r="I31" s="1582"/>
      <c r="J31" s="1583"/>
      <c r="K31" s="2697"/>
      <c r="L31" s="2922"/>
      <c r="M31" s="2923"/>
    </row>
    <row r="32" spans="1:37" ht="18" customHeight="1">
      <c r="A32" s="1113" t="s">
        <v>1002</v>
      </c>
      <c r="B32" s="308" t="s">
        <v>1398</v>
      </c>
      <c r="C32" s="24">
        <f ca="1">IF(项目基本情况!B11="自然人","——",ROUND(C6*F32/(1+'数据-取费表'!C42),2))</f>
        <v>1.17</v>
      </c>
      <c r="D32" s="1528" t="s">
        <v>1399</v>
      </c>
      <c r="E32" s="308" t="s">
        <v>1387</v>
      </c>
      <c r="F32" s="337">
        <f>'数据-取费表'!B41</f>
        <v>5.6000000000000001E-2</v>
      </c>
      <c r="G32" s="1568"/>
      <c r="H32" s="2921"/>
      <c r="I32" s="1582"/>
      <c r="J32" s="1583"/>
      <c r="K32" s="2697"/>
      <c r="L32" s="2922"/>
      <c r="M32" s="2923"/>
    </row>
    <row r="33" spans="1:18" ht="18" customHeight="1">
      <c r="A33" s="1113" t="s">
        <v>1004</v>
      </c>
      <c r="B33" s="308" t="s">
        <v>1402</v>
      </c>
      <c r="C33" s="24">
        <f ca="1">IF(项目基本情况!B11="自然人","——",IF(D33="按租金收入计税",ROUND(C6*F33/(1+'数据-取费表'!C42),2),IF(D33="按房产原值计税",ROUND(C29*F33*0.7,2),INDIRECT("'数据-取费表'!Aj"&amp;$G$1))))</f>
        <v>2.5099999999999998</v>
      </c>
      <c r="D33" s="1554" t="s">
        <v>10265</v>
      </c>
      <c r="E33" s="308" t="s">
        <v>1387</v>
      </c>
      <c r="F33" s="328">
        <f>IF(D33="按票据","——",IF(D33="按租金收入计税",'数据-取费表'!B51,'数据-取费表'!B50))</f>
        <v>0.12</v>
      </c>
      <c r="G33" s="1568"/>
      <c r="H33" s="2924"/>
      <c r="I33" s="1582"/>
      <c r="J33" s="1583"/>
      <c r="K33" s="2925"/>
      <c r="L33" s="2924"/>
      <c r="M33" s="2924"/>
    </row>
    <row r="34" spans="1:18" ht="18" customHeight="1">
      <c r="A34" s="1201" t="s">
        <v>1354</v>
      </c>
      <c r="B34" s="160" t="s">
        <v>1406</v>
      </c>
      <c r="C34" s="25">
        <f ca="1">IF(项目基本情况!B11="自然人","——",ROUND(F34*F35/10000,2))</f>
        <v>0.16</v>
      </c>
      <c r="D34" s="330" t="s">
        <v>1407</v>
      </c>
      <c r="E34" s="308" t="s">
        <v>1408</v>
      </c>
      <c r="F34" s="331">
        <f>'数据-取费表'!B52</f>
        <v>8</v>
      </c>
      <c r="G34" s="1568"/>
      <c r="H34" s="2921"/>
      <c r="I34" s="1582"/>
      <c r="J34" s="1583"/>
      <c r="K34" s="2926"/>
      <c r="L34" s="2927"/>
      <c r="M34" s="2927"/>
    </row>
    <row r="35" spans="1:18" ht="18" customHeight="1">
      <c r="A35" s="1263"/>
      <c r="B35" s="1261"/>
      <c r="C35" s="29"/>
      <c r="D35" s="333"/>
      <c r="E35" s="308" t="s">
        <v>1412</v>
      </c>
      <c r="F35" s="309">
        <f ca="1">INDIRECT("'数据-取费表'!r"&amp;$G$1)</f>
        <v>202.06</v>
      </c>
      <c r="G35" s="1568"/>
      <c r="H35" s="2921"/>
      <c r="I35" s="1582"/>
      <c r="J35" s="1583"/>
      <c r="K35" s="2925"/>
      <c r="L35" s="2924"/>
      <c r="M35" s="2924"/>
    </row>
    <row r="36" spans="1:18" ht="18" customHeight="1">
      <c r="A36" s="1262" t="s">
        <v>1007</v>
      </c>
      <c r="B36" s="308" t="s">
        <v>1414</v>
      </c>
      <c r="C36" s="24">
        <f ca="1">ROUND(C29*F36,1)</f>
        <v>4.3</v>
      </c>
      <c r="D36" s="1528" t="s">
        <v>1447</v>
      </c>
      <c r="E36" s="308" t="s">
        <v>1387</v>
      </c>
      <c r="F36" s="334">
        <f ca="1">INDIRECT("'数据-取费表'!Ak"&amp;$G$1)</f>
        <v>1.4999999999999999E-2</v>
      </c>
      <c r="G36" s="1568"/>
      <c r="H36" s="2924"/>
      <c r="I36" s="1582"/>
      <c r="J36" s="1583"/>
      <c r="K36" s="2766"/>
      <c r="L36" s="2924"/>
      <c r="M36" s="2924"/>
    </row>
    <row r="37" spans="1:18" ht="18" customHeight="1">
      <c r="A37" s="1113" t="s">
        <v>1043</v>
      </c>
      <c r="B37" s="308" t="s">
        <v>1418</v>
      </c>
      <c r="C37" s="24">
        <f ca="1">ROUND(C13*F37,1)</f>
        <v>0.4</v>
      </c>
      <c r="D37" s="1528" t="s">
        <v>1419</v>
      </c>
      <c r="E37" s="308" t="s">
        <v>1420</v>
      </c>
      <c r="F37" s="336">
        <f ca="1">INDIRECT("'数据-取费表'!Al"&amp;$G$1)</f>
        <v>1.5E-3</v>
      </c>
      <c r="G37" s="1568"/>
      <c r="H37" s="2924"/>
      <c r="I37" s="1582"/>
      <c r="J37" s="1583"/>
      <c r="K37" s="2766"/>
      <c r="L37" s="2924"/>
      <c r="M37" s="2924"/>
    </row>
    <row r="38" spans="1:18" ht="18" customHeight="1" thickBot="1">
      <c r="A38" s="1249" t="s">
        <v>1358</v>
      </c>
      <c r="B38" s="1250" t="s">
        <v>1404</v>
      </c>
      <c r="C38" s="1251">
        <f ca="1">ROUND(C5*F38,1)</f>
        <v>0.2</v>
      </c>
      <c r="D38" s="1252" t="s">
        <v>1424</v>
      </c>
      <c r="E38" s="1250" t="s">
        <v>1420</v>
      </c>
      <c r="F38" s="1246">
        <f ca="1">INDIRECT("'数据-取费表'!Am"&amp;$G$1)</f>
        <v>0.01</v>
      </c>
      <c r="G38" s="1568"/>
      <c r="H38" s="2924"/>
      <c r="I38" s="1582"/>
      <c r="J38" s="1583"/>
      <c r="K38" s="2928"/>
      <c r="L38" s="2924"/>
      <c r="M38" s="2924"/>
    </row>
    <row r="39" spans="1:18" ht="24.6" customHeight="1" thickTop="1">
      <c r="A39" s="1239" t="s">
        <v>999</v>
      </c>
      <c r="B39" s="1254" t="s">
        <v>1448</v>
      </c>
      <c r="C39" s="316">
        <f ca="1">C5-C30</f>
        <v>13</v>
      </c>
      <c r="D39" s="1255" t="s">
        <v>1449</v>
      </c>
      <c r="E39" s="1256"/>
      <c r="F39" s="1257"/>
      <c r="G39" s="1568"/>
      <c r="H39" s="2924"/>
      <c r="I39" s="1582"/>
      <c r="J39" s="1583"/>
      <c r="K39" s="2928"/>
      <c r="L39" s="2924"/>
      <c r="M39" s="2924"/>
    </row>
    <row r="40" spans="1:18" ht="18" customHeight="1">
      <c r="A40" s="305" t="s">
        <v>1000</v>
      </c>
      <c r="B40" s="306" t="s">
        <v>1450</v>
      </c>
      <c r="C40" s="307">
        <f ca="1">ROUND(C39*(1-((1+F42)/(1+F40))^F41)/(F40-F42),0)</f>
        <v>398</v>
      </c>
      <c r="D40" s="330" t="s">
        <v>1434</v>
      </c>
      <c r="E40" s="308" t="s">
        <v>1435</v>
      </c>
      <c r="F40" s="318">
        <f ca="1">INDIRECT("'数据-取费表'!I"&amp;$G$1)</f>
        <v>0.05</v>
      </c>
      <c r="G40" s="1568"/>
      <c r="H40" s="1645"/>
      <c r="I40" s="1582"/>
      <c r="J40" s="1583"/>
      <c r="K40" s="2928"/>
      <c r="L40" s="1645"/>
      <c r="M40" s="1645"/>
    </row>
    <row r="41" spans="1:18" ht="18" customHeight="1">
      <c r="A41" s="310"/>
      <c r="B41" s="311"/>
      <c r="C41" s="312"/>
      <c r="D41" s="338" t="s">
        <v>1451</v>
      </c>
      <c r="E41" s="308" t="s">
        <v>1439</v>
      </c>
      <c r="F41" s="339">
        <f ca="1">IF(INDIRECT("'数据-取费表'!af"&amp;$G$1)=0,INDIRECT("'数据-取费表'!ae"&amp;$G$1),INDIRECT("'数据-取费表'!af"&amp;$G$1))</f>
        <v>60</v>
      </c>
      <c r="G41" s="1568"/>
      <c r="H41" s="1353"/>
      <c r="I41" s="1582"/>
      <c r="J41" s="1583"/>
      <c r="K41" s="2766"/>
      <c r="L41" s="1353"/>
      <c r="M41" s="1353"/>
    </row>
    <row r="42" spans="1:18" ht="18" customHeight="1">
      <c r="A42" s="314"/>
      <c r="B42" s="315"/>
      <c r="C42" s="316"/>
      <c r="D42" s="333"/>
      <c r="E42" s="308" t="s">
        <v>1442</v>
      </c>
      <c r="F42" s="318">
        <f ca="1">INDIRECT("'数据-取费表'!v"&amp;$G$1)</f>
        <v>2.5000000000000001E-2</v>
      </c>
      <c r="G42" s="1568"/>
      <c r="H42" s="1353"/>
      <c r="I42" s="1582"/>
      <c r="J42" s="1583"/>
      <c r="K42" s="2766"/>
      <c r="L42" s="1353"/>
      <c r="M42" s="1353"/>
    </row>
    <row r="43" spans="1:18" ht="18" customHeight="1" thickBot="1">
      <c r="A43" s="340" t="s">
        <v>1001</v>
      </c>
      <c r="B43" s="341" t="s">
        <v>1452</v>
      </c>
      <c r="C43" s="342">
        <f ca="1">ROUND(C40*10000/F43,0)</f>
        <v>7654</v>
      </c>
      <c r="D43" s="343" t="s">
        <v>1453</v>
      </c>
      <c r="E43" s="344" t="s">
        <v>1454</v>
      </c>
      <c r="F43" s="345">
        <f ca="1">INDIRECT("'数据-取费表'!k"&amp;$G$1)</f>
        <v>519.96</v>
      </c>
      <c r="G43" s="1568"/>
      <c r="H43" s="1353"/>
      <c r="I43" s="1353"/>
      <c r="J43" s="1353"/>
      <c r="K43" s="2766"/>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9" t="s">
        <v>1484</v>
      </c>
      <c r="P45" s="1645"/>
      <c r="Q45" s="1645"/>
      <c r="R45" s="1645"/>
    </row>
    <row r="46" spans="1:18" s="1568" customFormat="1" ht="13.5" thickBot="1">
      <c r="A46" s="1588" t="s">
        <v>1485</v>
      </c>
      <c r="C46" s="1589">
        <f ca="1">C68-C40</f>
        <v>-947</v>
      </c>
      <c r="D46" s="1590" t="str">
        <f>C2</f>
        <v>万元</v>
      </c>
      <c r="E46" s="1584"/>
      <c r="F46" s="1584"/>
      <c r="I46" s="1591" t="s">
        <v>1486</v>
      </c>
      <c r="J46" s="1592"/>
      <c r="K46" s="1593"/>
      <c r="L46" s="1594">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10263</v>
      </c>
      <c r="K47" s="1600" t="s">
        <v>1492</v>
      </c>
      <c r="L47" s="1601">
        <f ca="1">INDIRECT("'数据-取费表'!d"&amp;$G$1)</f>
        <v>70</v>
      </c>
      <c r="M47" s="1564" t="str">
        <f>IF(ISNUMBER(FIND("住宅",C1)),"住宅","非住宅")</f>
        <v>非住宅</v>
      </c>
      <c r="O47" s="1602" t="s">
        <v>1008</v>
      </c>
      <c r="P47" s="1603" t="s">
        <v>1493</v>
      </c>
      <c r="Q47" s="1604">
        <f ca="1">C40+J29</f>
        <v>398</v>
      </c>
      <c r="R47" s="1604" t="s">
        <v>1494</v>
      </c>
    </row>
    <row r="48" spans="1:18" s="1568" customFormat="1" ht="28.5" thickBot="1">
      <c r="A48" s="1270" t="s">
        <v>1103</v>
      </c>
      <c r="B48" s="306" t="s">
        <v>1366</v>
      </c>
      <c r="C48" s="1543">
        <f ca="1">C49+C53+C55</f>
        <v>0</v>
      </c>
      <c r="D48" s="1272"/>
      <c r="E48" s="1273"/>
      <c r="F48" s="1093"/>
      <c r="G48" s="731"/>
      <c r="H48" s="732"/>
      <c r="I48" s="1605" t="s">
        <v>1495</v>
      </c>
      <c r="J48" s="1606" t="s">
        <v>10264</v>
      </c>
      <c r="K48" s="1607" t="s">
        <v>1496</v>
      </c>
      <c r="L48" s="1608">
        <f ca="1">INDIRECT("'数据-取费表'!f"&amp;$G$1)</f>
        <v>68.849999999999994</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v>2021</v>
      </c>
      <c r="K49" s="1607" t="s">
        <v>1500</v>
      </c>
      <c r="L49" s="1611"/>
      <c r="O49" s="1612" t="s">
        <v>1010</v>
      </c>
      <c r="P49" s="1603" t="s">
        <v>1501</v>
      </c>
      <c r="Q49" s="1604">
        <f ca="1">C29</f>
        <v>286</v>
      </c>
      <c r="R49" s="1604" t="s">
        <v>1494</v>
      </c>
    </row>
    <row r="50" spans="1:18" s="1568" customFormat="1" ht="13.5" thickBot="1">
      <c r="A50" s="1107"/>
      <c r="B50" s="1110"/>
      <c r="C50" s="1278"/>
      <c r="D50" s="1084"/>
      <c r="E50" s="1187" t="s">
        <v>1371</v>
      </c>
      <c r="F50" s="1188">
        <f ca="1">F7</f>
        <v>5</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12</v>
      </c>
      <c r="I51" s="1616" t="s">
        <v>1505</v>
      </c>
      <c r="J51" s="1617">
        <f>IF(J49="",J50,J49+J50-YEAR('数据-取费表'!B2))</f>
        <v>60</v>
      </c>
      <c r="K51" s="1618" t="s">
        <v>1506</v>
      </c>
      <c r="L51" s="1619">
        <f ca="1">ROUND(-PV(INDIRECT("'数据-取费表'!h"&amp;$G$1),J51,(C39-C13*C76),0),0)</f>
        <v>-233</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f>'数据-取费表'!H6</f>
        <v>4.4999999999999998E-2</v>
      </c>
      <c r="O52" s="1612" t="s">
        <v>1013</v>
      </c>
      <c r="P52" s="1603" t="s">
        <v>1510</v>
      </c>
      <c r="Q52" s="1604">
        <f ca="1">J53</f>
        <v>60</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5">
        <f ca="1">IF(M47="住宅",IF(D1="——",MAX(J51,L48),MAX(J51,L48-'数据-取费表'!B24)),IF(D1="——",MIN(J51,L48),MIN(J51,L48-'数据-取费表'!B24)))</f>
        <v>60</v>
      </c>
      <c r="K53" s="3334" t="s">
        <v>1513</v>
      </c>
      <c r="L53" s="3335"/>
      <c r="O53" s="1602" t="s">
        <v>1014</v>
      </c>
      <c r="P53" s="1603" t="s">
        <v>1514</v>
      </c>
      <c r="Q53" s="1604">
        <f ca="1">Q47+Q48</f>
        <v>398</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10294</v>
      </c>
      <c r="O55" s="1595" t="s">
        <v>1487</v>
      </c>
      <c r="P55" s="1596" t="s">
        <v>1488</v>
      </c>
      <c r="Q55" s="1597" t="s">
        <v>1489</v>
      </c>
      <c r="R55" s="1597" t="s">
        <v>1490</v>
      </c>
    </row>
    <row r="56" spans="1:18" s="1568" customFormat="1" ht="25.5" thickTop="1" thickBot="1">
      <c r="A56" s="1088">
        <v>2</v>
      </c>
      <c r="B56" s="1089" t="s">
        <v>1379</v>
      </c>
      <c r="C56" s="238">
        <f ca="1">C13</f>
        <v>286</v>
      </c>
      <c r="D56" s="1631"/>
      <c r="E56" s="1632"/>
      <c r="F56" s="1624"/>
      <c r="I56" s="1633" t="s">
        <v>1518</v>
      </c>
      <c r="J56" s="1634" t="s">
        <v>3103</v>
      </c>
      <c r="K56" s="1605" t="s">
        <v>1519</v>
      </c>
      <c r="L56" s="1608">
        <f ca="1">IF(L48&lt;J51,"——",L48-J53)</f>
        <v>8.8499999999999943</v>
      </c>
      <c r="O56" s="1602" t="s">
        <v>1008</v>
      </c>
      <c r="P56" s="1603" t="s">
        <v>1493</v>
      </c>
      <c r="Q56" s="1604">
        <f ca="1">C40+J29</f>
        <v>398</v>
      </c>
      <c r="R56" s="1604" t="s">
        <v>1494</v>
      </c>
    </row>
    <row r="57" spans="1:18" s="1568" customFormat="1" ht="24.75" thickBot="1">
      <c r="A57" s="1635"/>
      <c r="B57" s="1081" t="s">
        <v>1443</v>
      </c>
      <c r="C57" s="244">
        <f ca="1">C29</f>
        <v>286</v>
      </c>
      <c r="D57" s="1636"/>
      <c r="E57" s="1637"/>
      <c r="F57" s="1638"/>
      <c r="I57" s="1639" t="s">
        <v>1520</v>
      </c>
      <c r="J57" s="1640" t="str">
        <f ca="1">IF(OR(M47="住宅",J51&lt;L48,J56="是"),"——",J51-L48)</f>
        <v>——</v>
      </c>
      <c r="K57" s="1605" t="s">
        <v>1521</v>
      </c>
      <c r="L57" s="1608">
        <f ca="1">IF(L48&lt;J51,"——",IF(L55="比较法",L49,IF(L55="基准地价",L50,L51)))</f>
        <v>0</v>
      </c>
      <c r="O57" s="1602" t="s">
        <v>1009</v>
      </c>
      <c r="P57" s="1603" t="s">
        <v>1522</v>
      </c>
      <c r="Q57" s="1604">
        <f ca="1">L60</f>
        <v>0</v>
      </c>
      <c r="R57" s="1604" t="s">
        <v>1523</v>
      </c>
    </row>
    <row r="58" spans="1:18" s="1568" customFormat="1" ht="24.75" thickBot="1">
      <c r="A58" s="321" t="s">
        <v>998</v>
      </c>
      <c r="B58" s="1089" t="s">
        <v>1389</v>
      </c>
      <c r="C58" s="322">
        <f ca="1">ROUND(C59+C64+C65+C66,0)</f>
        <v>29</v>
      </c>
      <c r="D58" s="1091" t="s">
        <v>1390</v>
      </c>
      <c r="E58" s="1092"/>
      <c r="F58" s="1093"/>
      <c r="I58" s="1639" t="s">
        <v>1524</v>
      </c>
      <c r="J58" s="1641" t="e">
        <f ca="1">IF(J55&lt;0.4,0.4,J55)</f>
        <v>#VALUE!</v>
      </c>
      <c r="K58" s="1618" t="s">
        <v>1525</v>
      </c>
      <c r="L58" s="1608">
        <f ca="1">ROUND(POWER(1+L52,L47-L48)*(POWER(1+L52,L48)-1)/(POWER(1+L52,L47)-1),4)</f>
        <v>0.99750000000000005</v>
      </c>
      <c r="O58" s="1612" t="s">
        <v>1010</v>
      </c>
      <c r="P58" s="1603" t="s">
        <v>1526</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24</v>
      </c>
      <c r="D59" s="1094" t="s">
        <v>1395</v>
      </c>
      <c r="E59" s="1095" t="s">
        <v>1396</v>
      </c>
      <c r="F59" s="2532"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f ca="1">ROUND(IF(D1="在建（套用方法）",M59,IF(D1="土地（套用方法）",N59,POWER(1+L52,L47-J51)*(POWER(1+L52,J51)-1)/(POWER(1+L52,L47)-1))),4)</f>
        <v>0.97340000000000004</v>
      </c>
      <c r="M59" s="1564">
        <f ca="1">ROUND(POWER(1+L52,L47-(J51+'数据-取费表'!B24))*(POWER(1+L52,(J51+'数据-取费表'!B24))-1)/(POWER(1+L52,L47)-1),4)</f>
        <v>0.97340000000000004</v>
      </c>
      <c r="N59" s="1564">
        <f ca="1">ROUND(POWER(1+L52,L47-(J51+'数据-取费表'!B20))*(POWER(1+L52,(J51+'数据-取费表'!B20))-1)/(POWER(1+L52,L47)-1),4)</f>
        <v>0.98119999999999996</v>
      </c>
      <c r="O59" s="1612" t="s">
        <v>1011</v>
      </c>
      <c r="P59" s="1603" t="s">
        <v>1528</v>
      </c>
      <c r="Q59" s="1615">
        <f>L52</f>
        <v>4.4999999999999998E-2</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1529</v>
      </c>
      <c r="J60" s="1643" t="str">
        <f ca="1">IF(OR(M47="住宅",J51&lt;L48,J56="是"),"0",ROUND(J59/(1+J52)^J53,0))</f>
        <v>0</v>
      </c>
      <c r="K60" s="1644" t="s">
        <v>1530</v>
      </c>
      <c r="L60" s="1643">
        <f ca="1">IF(OR(M47="住宅",L48&lt;J51),0,ROUND(L57*(L58/L59-1),0))</f>
        <v>0</v>
      </c>
      <c r="O60" s="1612" t="s">
        <v>1012</v>
      </c>
      <c r="P60" s="1603" t="s">
        <v>1531</v>
      </c>
      <c r="Q60" s="1604">
        <f ca="1">L58</f>
        <v>0.99750000000000005</v>
      </c>
      <c r="R60" s="1604" t="s">
        <v>1532</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24.02</v>
      </c>
      <c r="D61" s="1554" t="s">
        <v>1403</v>
      </c>
      <c r="E61" s="1081" t="s">
        <v>1459</v>
      </c>
      <c r="F61" s="328">
        <f t="shared" si="0"/>
        <v>0.12</v>
      </c>
      <c r="I61" s="1645"/>
      <c r="J61" s="1645"/>
      <c r="K61" s="1645"/>
      <c r="L61" s="1645"/>
      <c r="O61" s="1612" t="s">
        <v>1013</v>
      </c>
      <c r="P61" s="1603" t="str">
        <f>K59</f>
        <v>建筑物剩余耐用年限下的土地年期修正系数Kn</v>
      </c>
      <c r="Q61" s="1604">
        <f ca="1">L59</f>
        <v>0.97340000000000004</v>
      </c>
      <c r="R61" s="1604" t="s">
        <v>1533</v>
      </c>
    </row>
    <row r="62" spans="1:18" s="1568" customFormat="1" ht="13.5" thickBot="1">
      <c r="A62" s="1113" t="s">
        <v>1460</v>
      </c>
      <c r="B62" s="1080" t="s">
        <v>1461</v>
      </c>
      <c r="C62" s="25">
        <f ca="1">IF(项目基本情况!B11="自然人","——",ROUND(F62*F63/10000,2))</f>
        <v>0.16</v>
      </c>
      <c r="D62" s="1096" t="s">
        <v>1462</v>
      </c>
      <c r="E62" s="1081" t="s">
        <v>1463</v>
      </c>
      <c r="F62" s="331">
        <f t="shared" si="0"/>
        <v>8</v>
      </c>
      <c r="I62" s="1646" t="s">
        <v>1534</v>
      </c>
      <c r="J62" s="1647" t="s">
        <v>1535</v>
      </c>
      <c r="K62" s="1647" t="s">
        <v>1536</v>
      </c>
      <c r="L62" s="1647" t="s">
        <v>1537</v>
      </c>
      <c r="M62" s="1648" t="s">
        <v>1538</v>
      </c>
      <c r="O62" s="1602" t="s">
        <v>1014</v>
      </c>
      <c r="P62" s="1603" t="s">
        <v>1539</v>
      </c>
      <c r="Q62" s="1604">
        <f ca="1">Q56+Q57</f>
        <v>398</v>
      </c>
      <c r="R62" s="1604" t="s">
        <v>1015</v>
      </c>
    </row>
    <row r="63" spans="1:18" s="1568" customFormat="1" ht="13.5" thickBot="1">
      <c r="A63" s="332"/>
      <c r="B63" s="1087"/>
      <c r="C63" s="29"/>
      <c r="D63" s="1097"/>
      <c r="E63" s="1081" t="s">
        <v>1464</v>
      </c>
      <c r="F63" s="309">
        <f t="shared" ca="1" si="0"/>
        <v>202.06</v>
      </c>
      <c r="I63" s="1646" t="s">
        <v>1540</v>
      </c>
      <c r="J63" s="1647">
        <v>70</v>
      </c>
      <c r="K63" s="1647">
        <v>50</v>
      </c>
      <c r="L63" s="1647">
        <v>80</v>
      </c>
      <c r="M63" s="1649">
        <v>0.02</v>
      </c>
      <c r="O63" s="1587" t="s">
        <v>1541</v>
      </c>
      <c r="P63" s="1565"/>
      <c r="Q63" s="1565"/>
      <c r="R63" s="1565"/>
    </row>
    <row r="64" spans="1:18" s="1568" customFormat="1" ht="13.5" thickBot="1">
      <c r="A64" s="1113" t="s">
        <v>1465</v>
      </c>
      <c r="B64" s="1081" t="s">
        <v>1466</v>
      </c>
      <c r="C64" s="24">
        <f ca="1">ROUND(C57*F64,1)</f>
        <v>4.3</v>
      </c>
      <c r="D64" s="1095" t="s">
        <v>1467</v>
      </c>
      <c r="E64" s="1081" t="s">
        <v>1459</v>
      </c>
      <c r="F64" s="334">
        <f t="shared" ca="1" si="0"/>
        <v>1.4999999999999999E-2</v>
      </c>
      <c r="I64" s="1646" t="s">
        <v>1542</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0.4</v>
      </c>
      <c r="D65" s="1095" t="s">
        <v>1419</v>
      </c>
      <c r="E65" s="1081" t="s">
        <v>1420</v>
      </c>
      <c r="F65" s="336">
        <f t="shared" ca="1" si="0"/>
        <v>1.5E-3</v>
      </c>
      <c r="I65" s="1646" t="s">
        <v>1543</v>
      </c>
      <c r="J65" s="1647">
        <v>40</v>
      </c>
      <c r="K65" s="1647">
        <v>30</v>
      </c>
      <c r="L65" s="1647">
        <v>50</v>
      </c>
      <c r="M65" s="1649">
        <v>0.02</v>
      </c>
      <c r="O65" s="1602" t="s">
        <v>1008</v>
      </c>
      <c r="P65" s="1603" t="s">
        <v>1544</v>
      </c>
      <c r="Q65" s="1604">
        <f ca="1">C40+J29</f>
        <v>398</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1522</v>
      </c>
      <c r="Q66" s="1604">
        <f ca="1">L60</f>
        <v>0</v>
      </c>
      <c r="R66" s="1604" t="s">
        <v>1545</v>
      </c>
    </row>
    <row r="67" spans="1:18" s="1568" customFormat="1" ht="16.5" thickBot="1">
      <c r="A67" s="1088" t="s">
        <v>999</v>
      </c>
      <c r="B67" s="1098" t="s">
        <v>1428</v>
      </c>
      <c r="C67" s="322">
        <f ca="1">C48-C58</f>
        <v>-29</v>
      </c>
      <c r="D67" s="1094" t="s">
        <v>1429</v>
      </c>
      <c r="E67" s="1099"/>
      <c r="F67" s="1100"/>
      <c r="O67" s="1612" t="s">
        <v>1010</v>
      </c>
      <c r="P67" s="1603" t="s">
        <v>1526</v>
      </c>
      <c r="Q67" s="1650">
        <f ca="1">L51</f>
        <v>-233</v>
      </c>
      <c r="R67" s="1604" t="s">
        <v>1546</v>
      </c>
    </row>
    <row r="68" spans="1:18" s="1568" customFormat="1" ht="16.5" thickBot="1">
      <c r="A68" s="1078" t="s">
        <v>1000</v>
      </c>
      <c r="B68" s="1079" t="s">
        <v>1450</v>
      </c>
      <c r="C68" s="307">
        <f ca="1">ROUND(C67*(1-((1+F70)/(1+F68))^F69)/(F68-F70),0)</f>
        <v>-549</v>
      </c>
      <c r="D68" s="1096" t="s">
        <v>1434</v>
      </c>
      <c r="E68" s="1081" t="s">
        <v>1435</v>
      </c>
      <c r="F68" s="318">
        <f ca="1">F40</f>
        <v>0.05</v>
      </c>
      <c r="O68" s="1612" t="s">
        <v>1011</v>
      </c>
      <c r="P68" s="1651" t="s">
        <v>1547</v>
      </c>
      <c r="Q68" s="1604">
        <f ca="1">ROUND(Q69-Q70*Q71,0)</f>
        <v>-11</v>
      </c>
      <c r="R68" s="1604" t="s">
        <v>1019</v>
      </c>
    </row>
    <row r="69" spans="1:18" s="1568" customFormat="1" ht="13.5" thickBot="1">
      <c r="A69" s="1082"/>
      <c r="B69" s="1083"/>
      <c r="C69" s="312"/>
      <c r="D69" s="1101" t="s">
        <v>1438</v>
      </c>
      <c r="E69" s="1081" t="s">
        <v>1439</v>
      </c>
      <c r="F69" s="339">
        <f ca="1">F41</f>
        <v>60</v>
      </c>
      <c r="O69" s="1612" t="s">
        <v>1016</v>
      </c>
      <c r="P69" s="1651" t="s">
        <v>1548</v>
      </c>
      <c r="Q69" s="1604">
        <f ca="1">C39</f>
        <v>13</v>
      </c>
      <c r="R69" s="1604" t="s">
        <v>1494</v>
      </c>
    </row>
    <row r="70" spans="1:18" s="1568" customFormat="1" ht="13.5" thickBot="1">
      <c r="A70" s="1085"/>
      <c r="B70" s="1086"/>
      <c r="C70" s="316"/>
      <c r="D70" s="1097"/>
      <c r="E70" s="1081" t="s">
        <v>1442</v>
      </c>
      <c r="F70" s="1185"/>
      <c r="O70" s="1612" t="s">
        <v>1017</v>
      </c>
      <c r="P70" s="1651" t="s">
        <v>1549</v>
      </c>
      <c r="Q70" s="1604">
        <f ca="1">C13</f>
        <v>286</v>
      </c>
      <c r="R70" s="1604" t="s">
        <v>1494</v>
      </c>
    </row>
    <row r="71" spans="1:18" s="1568" customFormat="1" ht="13.5" thickBot="1">
      <c r="A71" s="1102" t="s">
        <v>1001</v>
      </c>
      <c r="B71" s="1103" t="s">
        <v>1452</v>
      </c>
      <c r="C71" s="342">
        <f ca="1">ROUND(C68*10000/F71,0)</f>
        <v>-10559</v>
      </c>
      <c r="D71" s="1104" t="s">
        <v>1453</v>
      </c>
      <c r="E71" s="1105" t="s">
        <v>1454</v>
      </c>
      <c r="F71" s="345">
        <f ca="1">F43</f>
        <v>519.96</v>
      </c>
      <c r="O71" s="1612" t="s">
        <v>1018</v>
      </c>
      <c r="P71" s="1651" t="s">
        <v>1550</v>
      </c>
      <c r="Q71" s="1615">
        <f ca="1">C76</f>
        <v>8.5000000000000006E-2</v>
      </c>
      <c r="R71" s="1604"/>
    </row>
    <row r="72" spans="1:18" s="1568" customFormat="1" ht="13.5" thickBot="1">
      <c r="B72" s="735"/>
      <c r="C72" s="735"/>
      <c r="O72" s="1612" t="s">
        <v>1012</v>
      </c>
      <c r="P72" s="1603" t="s">
        <v>1528</v>
      </c>
      <c r="Q72" s="1615">
        <f>L52</f>
        <v>4.4999999999999998E-2</v>
      </c>
      <c r="R72" s="1604"/>
    </row>
    <row r="73" spans="1:18" ht="16.5" thickBot="1">
      <c r="A73" s="1568"/>
      <c r="B73" s="735"/>
      <c r="C73" s="735"/>
      <c r="D73" s="1568"/>
      <c r="E73" s="1568"/>
      <c r="F73" s="1568"/>
      <c r="O73" s="1612" t="s">
        <v>1013</v>
      </c>
      <c r="P73" s="1603" t="s">
        <v>1531</v>
      </c>
      <c r="Q73" s="1604">
        <f ca="1">L58</f>
        <v>0.99750000000000005</v>
      </c>
      <c r="R73" s="1604" t="s">
        <v>1532</v>
      </c>
    </row>
    <row r="74" spans="1:18" ht="13.5" thickBot="1">
      <c r="A74" s="1568"/>
      <c r="B74" s="279" t="s">
        <v>1551</v>
      </c>
      <c r="C74" s="1653"/>
      <c r="D74" s="1568"/>
      <c r="E74" s="1568"/>
      <c r="F74" s="1568"/>
      <c r="O74" s="1612" t="s">
        <v>1020</v>
      </c>
      <c r="P74" s="1603" t="str">
        <f>K59</f>
        <v>建筑物剩余耐用年限下的土地年期修正系数Kn</v>
      </c>
      <c r="Q74" s="1604">
        <f ca="1">L59</f>
        <v>0.97340000000000004</v>
      </c>
      <c r="R74" s="1604" t="s">
        <v>1533</v>
      </c>
    </row>
    <row r="75" spans="1:18" ht="13.5" thickBot="1">
      <c r="A75" s="1568"/>
      <c r="B75" s="346" t="s">
        <v>1471</v>
      </c>
      <c r="C75" s="347">
        <f ca="1">ROUND(C13*C76,0)</f>
        <v>24</v>
      </c>
      <c r="D75" s="1568"/>
      <c r="E75" s="1568"/>
      <c r="F75" s="1568"/>
      <c r="K75" s="1586"/>
      <c r="L75" s="1568"/>
      <c r="O75" s="1602" t="s">
        <v>1014</v>
      </c>
      <c r="P75" s="1603" t="s">
        <v>1514</v>
      </c>
      <c r="Q75" s="1604">
        <f ca="1">Q65+Q66</f>
        <v>398</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-0.84600000000000009</v>
      </c>
    </row>
    <row r="80" spans="1:18">
      <c r="B80" s="346" t="s">
        <v>1476</v>
      </c>
      <c r="C80" s="280">
        <f ca="1">ROUND(C75/C39,3)</f>
        <v>1.8460000000000001</v>
      </c>
    </row>
    <row r="81" spans="2:3">
      <c r="B81" s="276" t="s">
        <v>1477</v>
      </c>
      <c r="C81" s="244"/>
    </row>
    <row r="82" spans="2:3">
      <c r="B82" s="279" t="s">
        <v>1478</v>
      </c>
      <c r="C82" s="281">
        <f ca="1">1-C83</f>
        <v>0.28100000000000003</v>
      </c>
    </row>
    <row r="83" spans="2:3">
      <c r="B83" s="279" t="s">
        <v>1479</v>
      </c>
      <c r="C83" s="280">
        <f ca="1">ROUND(C13/C40,3)</f>
        <v>0.71899999999999997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c r="D1" s="1546"/>
      <c r="E1" s="1547" t="s">
        <v>1352</v>
      </c>
      <c r="F1" s="1193">
        <f ca="1">J53</f>
        <v>0</v>
      </c>
      <c r="G1" s="1562">
        <f>MATCH(C1,'数据-取费表'!A6:A16,0)+5</f>
        <v>7</v>
      </c>
      <c r="H1" s="2916"/>
      <c r="I1" s="2917"/>
      <c r="J1" s="2917"/>
      <c r="K1" s="2918"/>
      <c r="L1" s="2917"/>
      <c r="M1" s="291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30"/>
      <c r="H2" s="2919"/>
      <c r="I2" s="2919"/>
      <c r="J2" s="2919"/>
      <c r="K2" s="2920"/>
      <c r="L2" s="2919"/>
      <c r="M2" s="2919"/>
    </row>
    <row r="3" spans="1:37" ht="18" customHeight="1" thickBot="1">
      <c r="A3" s="1574" t="s">
        <v>1557</v>
      </c>
      <c r="B3" s="1575">
        <f ca="1">IF(ISERROR(D2/F43),0,ROUND(D2/F43,0))</f>
        <v>0</v>
      </c>
      <c r="C3" s="1571" t="s">
        <v>1558</v>
      </c>
      <c r="D3" s="1571"/>
      <c r="E3" s="1572"/>
      <c r="F3" s="1573"/>
      <c r="G3" s="2930"/>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0</v>
      </c>
      <c r="D5" s="1548" t="s">
        <v>1565</v>
      </c>
      <c r="E5" s="1203"/>
      <c r="F5" s="1204"/>
      <c r="G5" s="1568"/>
      <c r="H5" s="305">
        <v>1</v>
      </c>
      <c r="I5" s="306" t="s">
        <v>1564</v>
      </c>
      <c r="J5" s="1202">
        <f ca="1">J6+J10+J12</f>
        <v>0</v>
      </c>
      <c r="K5" s="1548" t="s">
        <v>1565</v>
      </c>
      <c r="L5" s="1203"/>
      <c r="M5" s="1204"/>
    </row>
    <row r="6" spans="1:37" ht="18" customHeight="1">
      <c r="A6" s="1201" t="s">
        <v>1003</v>
      </c>
      <c r="B6" s="3336" t="s">
        <v>1368</v>
      </c>
      <c r="C6" s="1206">
        <f ca="1">ROUND(F6*F8*F7*(1-F9),0)</f>
        <v>0</v>
      </c>
      <c r="D6" s="160" t="s">
        <v>2847</v>
      </c>
      <c r="E6" s="308" t="s">
        <v>1370</v>
      </c>
      <c r="F6" s="309">
        <f ca="1">INDIRECT("'数据-取费表'!u"&amp;$G$1)</f>
        <v>0</v>
      </c>
      <c r="G6" s="1568"/>
      <c r="H6" s="1201" t="s">
        <v>1003</v>
      </c>
      <c r="I6" s="3336" t="s">
        <v>1368</v>
      </c>
      <c r="J6" s="307">
        <f ca="1">ROUND(M6*M8*M7*(1-M9),0)</f>
        <v>0</v>
      </c>
      <c r="K6" s="1560" t="s">
        <v>2848</v>
      </c>
      <c r="L6" s="308" t="s">
        <v>1370</v>
      </c>
      <c r="M6" s="309">
        <f ca="1">INDIRECT("'数据-取费表'!z"&amp;$G$1)</f>
        <v>0</v>
      </c>
    </row>
    <row r="7" spans="1:37" ht="18" customHeight="1">
      <c r="A7" s="1205"/>
      <c r="B7" s="3337"/>
      <c r="C7" s="1207"/>
      <c r="D7" s="313"/>
      <c r="E7" s="1208" t="s">
        <v>1371</v>
      </c>
      <c r="F7" s="309">
        <f ca="1">IF(INDIRECT("'数据-取费表'!ah"&amp;$G$1)="",INDIRECT("'数据-取费表'!k"&amp;$G$1),INDIRECT("'数据-取费表'!ah"&amp;$G$1))</f>
        <v>0</v>
      </c>
      <c r="G7" s="1568"/>
      <c r="H7" s="310"/>
      <c r="I7" s="3337"/>
      <c r="J7" s="312"/>
      <c r="K7" s="313"/>
      <c r="L7" s="308" t="s">
        <v>1371</v>
      </c>
      <c r="M7" s="309">
        <f ca="1">F7</f>
        <v>0</v>
      </c>
    </row>
    <row r="8" spans="1:37" ht="18" customHeight="1">
      <c r="A8" s="310"/>
      <c r="B8" s="3337"/>
      <c r="C8" s="312"/>
      <c r="D8" s="313"/>
      <c r="E8" s="308" t="s">
        <v>1372</v>
      </c>
      <c r="F8" s="309">
        <f ca="1">INDIRECT("'数据-取费表'!ai"&amp;$G$1)</f>
        <v>0</v>
      </c>
      <c r="G8" s="1568"/>
      <c r="H8" s="310"/>
      <c r="I8" s="3337"/>
      <c r="J8" s="312"/>
      <c r="K8" s="313"/>
      <c r="L8" s="308" t="s">
        <v>1372</v>
      </c>
      <c r="M8" s="309">
        <f ca="1">INDIRECT("'数据-取费表'!ai"&amp;$G$1)</f>
        <v>0</v>
      </c>
    </row>
    <row r="9" spans="1:37" ht="18" customHeight="1">
      <c r="A9" s="310"/>
      <c r="B9" s="3338"/>
      <c r="C9" s="312"/>
      <c r="D9" s="313"/>
      <c r="E9" s="308" t="s">
        <v>1373</v>
      </c>
      <c r="F9" s="318">
        <f ca="1">INDIRECT("'数据-取费表'!w"&amp;$G$1)</f>
        <v>0</v>
      </c>
      <c r="G9" s="1568"/>
      <c r="H9" s="310"/>
      <c r="I9" s="3338"/>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1566</v>
      </c>
      <c r="C11" s="1090"/>
      <c r="D11" s="313"/>
      <c r="E11" s="319" t="s">
        <v>1377</v>
      </c>
      <c r="F11" s="320">
        <f ca="1">'数据-取费表'!B39</f>
        <v>1.4999999999999999E-2</v>
      </c>
      <c r="G11" s="1568"/>
      <c r="H11" s="1209"/>
      <c r="I11" s="1551" t="s">
        <v>1567</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3">
        <f ca="1">ROUND(IF(AND(项目基本情况!B11="自然人",项目基本情况!B10="北京市"),J6*M17/(1+'数据-取费表'!C42),J18+J19+J20),0)</f>
        <v>0</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1"/>
      <c r="I30" s="1582"/>
      <c r="J30" s="1583"/>
      <c r="K30" s="2697"/>
      <c r="L30" s="2922"/>
      <c r="M30" s="2923"/>
    </row>
    <row r="31" spans="1:37" ht="18" customHeight="1">
      <c r="A31" s="1113" t="s">
        <v>1003</v>
      </c>
      <c r="B31" s="308" t="s">
        <v>1394</v>
      </c>
      <c r="C31" s="2533">
        <f ca="1">ROUND(IF(AND(项目基本情况!B11="自然人",项目基本情况!B10="北京市"),C6*F31/(1+'数据-取费表'!C42),C32+C33+C34),0)</f>
        <v>0</v>
      </c>
      <c r="D31" s="1529" t="s">
        <v>1395</v>
      </c>
      <c r="E31" s="1528" t="s">
        <v>1446</v>
      </c>
      <c r="F31" s="2532" t="str">
        <f>IF(项目基本情况!B11="企业","——",IF('数据-取费表'!B10="住宅",IF(F6*F7*F8/12/(1+'数据-取费表'!F30)&gt;100000,4%,2.5%),IF(F6*F7*F8/12/(1+'数据-取费表'!F30)&gt;100000,12%,7%)))</f>
        <v>——</v>
      </c>
      <c r="G31" s="1568"/>
      <c r="H31" s="3034" t="s">
        <v>3055</v>
      </c>
      <c r="I31" s="1582"/>
      <c r="J31" s="1583"/>
      <c r="K31" s="2697"/>
      <c r="L31" s="2922"/>
      <c r="M31" s="2923"/>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1"/>
      <c r="I32" s="1582"/>
      <c r="J32" s="1583"/>
      <c r="K32" s="2697"/>
      <c r="L32" s="2922"/>
      <c r="M32" s="2923"/>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4"/>
      <c r="I33" s="1582"/>
      <c r="J33" s="1583"/>
      <c r="K33" s="2925"/>
      <c r="L33" s="2924"/>
      <c r="M33" s="2924"/>
    </row>
    <row r="34" spans="1:18" ht="18" customHeight="1">
      <c r="A34" s="1201" t="s">
        <v>1354</v>
      </c>
      <c r="B34" s="160" t="s">
        <v>1406</v>
      </c>
      <c r="C34" s="25">
        <f ca="1">IF(项目基本情况!B11="自然人","——",ROUND(F34*F35,))</f>
        <v>0</v>
      </c>
      <c r="D34" s="330" t="s">
        <v>1407</v>
      </c>
      <c r="E34" s="308" t="s">
        <v>1408</v>
      </c>
      <c r="F34" s="331">
        <f>'数据-取费表'!B52</f>
        <v>8</v>
      </c>
      <c r="G34" s="1568"/>
      <c r="H34" s="2921"/>
      <c r="I34" s="1582"/>
      <c r="J34" s="1583"/>
      <c r="K34" s="2926"/>
      <c r="L34" s="2927"/>
      <c r="M34" s="2927"/>
    </row>
    <row r="35" spans="1:18" ht="18" customHeight="1">
      <c r="A35" s="1263"/>
      <c r="B35" s="1261"/>
      <c r="C35" s="29"/>
      <c r="D35" s="333"/>
      <c r="E35" s="308" t="s">
        <v>1412</v>
      </c>
      <c r="F35" s="309">
        <f ca="1">INDIRECT("'数据-取费表'!r"&amp;$G$1)</f>
        <v>0</v>
      </c>
      <c r="G35" s="1568"/>
      <c r="H35" s="2921"/>
      <c r="I35" s="1582"/>
      <c r="J35" s="1583"/>
      <c r="K35" s="2925"/>
      <c r="L35" s="2924"/>
      <c r="M35" s="2924"/>
    </row>
    <row r="36" spans="1:18" ht="18" customHeight="1">
      <c r="A36" s="1262" t="s">
        <v>1007</v>
      </c>
      <c r="B36" s="308" t="s">
        <v>1414</v>
      </c>
      <c r="C36" s="24">
        <f ca="1">ROUND(C29*F36,0)</f>
        <v>0</v>
      </c>
      <c r="D36" s="1528" t="s">
        <v>1447</v>
      </c>
      <c r="E36" s="308" t="s">
        <v>1387</v>
      </c>
      <c r="F36" s="334">
        <f ca="1">INDIRECT("'数据-取费表'!Ak"&amp;$G$1)</f>
        <v>0</v>
      </c>
      <c r="G36" s="1568"/>
      <c r="H36" s="2924"/>
      <c r="I36" s="1582"/>
      <c r="J36" s="1583"/>
      <c r="K36" s="2766"/>
      <c r="L36" s="2924"/>
      <c r="M36" s="2924"/>
    </row>
    <row r="37" spans="1:18" ht="18" customHeight="1">
      <c r="A37" s="1113" t="s">
        <v>1043</v>
      </c>
      <c r="B37" s="308" t="s">
        <v>1418</v>
      </c>
      <c r="C37" s="24">
        <f ca="1">ROUND(C13*F37,0)</f>
        <v>0</v>
      </c>
      <c r="D37" s="1528" t="s">
        <v>1419</v>
      </c>
      <c r="E37" s="308" t="s">
        <v>1420</v>
      </c>
      <c r="F37" s="336">
        <f ca="1">INDIRECT("'数据-取费表'!Al"&amp;$G$1)</f>
        <v>0</v>
      </c>
      <c r="G37" s="1568"/>
      <c r="H37" s="2924"/>
      <c r="I37" s="1582"/>
      <c r="J37" s="1583"/>
      <c r="K37" s="2766"/>
      <c r="L37" s="2924"/>
      <c r="M37" s="2924"/>
    </row>
    <row r="38" spans="1:18" ht="18" customHeight="1" thickBot="1">
      <c r="A38" s="1249" t="s">
        <v>1358</v>
      </c>
      <c r="B38" s="1250" t="s">
        <v>1404</v>
      </c>
      <c r="C38" s="1251">
        <f ca="1">ROUND(C5*F38,1)</f>
        <v>0</v>
      </c>
      <c r="D38" s="1252" t="s">
        <v>1424</v>
      </c>
      <c r="E38" s="1250" t="s">
        <v>1420</v>
      </c>
      <c r="F38" s="1246">
        <f ca="1">INDIRECT("'数据-取费表'!Am"&amp;$G$1)</f>
        <v>0</v>
      </c>
      <c r="G38" s="1568"/>
      <c r="H38" s="2924"/>
      <c r="I38" s="1582"/>
      <c r="J38" s="1583"/>
      <c r="K38" s="2928"/>
      <c r="L38" s="2924"/>
      <c r="M38" s="2924"/>
    </row>
    <row r="39" spans="1:18" ht="24.6" customHeight="1" thickTop="1">
      <c r="A39" s="1239" t="s">
        <v>999</v>
      </c>
      <c r="B39" s="1254" t="s">
        <v>1448</v>
      </c>
      <c r="C39" s="316">
        <f ca="1">C5-C30</f>
        <v>0</v>
      </c>
      <c r="D39" s="1255" t="s">
        <v>1449</v>
      </c>
      <c r="E39" s="1256"/>
      <c r="F39" s="1257"/>
      <c r="G39" s="1568"/>
      <c r="H39" s="2924"/>
      <c r="I39" s="1582"/>
      <c r="J39" s="1583"/>
      <c r="K39" s="2928"/>
      <c r="L39" s="2924"/>
      <c r="M39" s="2924"/>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28"/>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6"/>
      <c r="L41" s="1353"/>
      <c r="M41" s="1353"/>
    </row>
    <row r="42" spans="1:18" ht="18" customHeight="1">
      <c r="A42" s="314"/>
      <c r="B42" s="315"/>
      <c r="C42" s="316"/>
      <c r="D42" s="333"/>
      <c r="E42" s="308" t="s">
        <v>1442</v>
      </c>
      <c r="F42" s="318">
        <f ca="1">INDIRECT("'数据-取费表'!v"&amp;$G$1)</f>
        <v>0</v>
      </c>
      <c r="G42" s="1568"/>
      <c r="H42" s="1353"/>
      <c r="I42" s="1582"/>
      <c r="J42" s="1583"/>
      <c r="K42" s="2766"/>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6"/>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5">
        <f ca="1">IF(M47="住宅",IF(D1="——",MAX(J51,L48),MAX(J51,L48-'数据-取费表'!B24)),IF(D1="——",MIN(J51,L48),MIN(J51,L48-'数据-取费表'!B24)))</f>
        <v>0</v>
      </c>
      <c r="K53" s="3334" t="s">
        <v>1513</v>
      </c>
      <c r="L53" s="3335"/>
      <c r="O53" s="1602" t="s">
        <v>1014</v>
      </c>
      <c r="P53" s="1603" t="s">
        <v>1514</v>
      </c>
      <c r="Q53" s="1604" t="e">
        <f ca="1">Q47+Q48</f>
        <v>#DIV/0!</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1518</v>
      </c>
      <c r="J56" s="1634"/>
      <c r="K56" s="1605" t="s">
        <v>1519</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1389</v>
      </c>
      <c r="C58" s="322">
        <f ca="1">ROUND(C59+C64+C65+C66,0)</f>
        <v>0</v>
      </c>
      <c r="D58" s="1091" t="s">
        <v>1390</v>
      </c>
      <c r="E58" s="1092"/>
      <c r="F58" s="1093"/>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1460</v>
      </c>
      <c r="B62" s="1080" t="s">
        <v>1461</v>
      </c>
      <c r="C62" s="25">
        <f ca="1">IF(项目基本情况!B11="自然人","——",ROUND(F62*F63,0))</f>
        <v>0</v>
      </c>
      <c r="D62" s="1096" t="s">
        <v>1462</v>
      </c>
      <c r="E62" s="1081" t="s">
        <v>1463</v>
      </c>
      <c r="F62" s="331">
        <f t="shared" si="0"/>
        <v>8</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7"/>
      <c r="C63" s="29"/>
      <c r="D63" s="1097"/>
      <c r="E63" s="1081" t="s">
        <v>1464</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1542</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1543</v>
      </c>
      <c r="J65" s="1647">
        <v>40</v>
      </c>
      <c r="K65" s="1647">
        <v>30</v>
      </c>
      <c r="L65" s="1647">
        <v>50</v>
      </c>
      <c r="M65" s="1649">
        <v>0.02</v>
      </c>
      <c r="O65" s="1602" t="s">
        <v>1008</v>
      </c>
      <c r="P65" s="1603" t="s">
        <v>1544</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1522</v>
      </c>
      <c r="Q66" s="1604" t="e">
        <f ca="1">L60</f>
        <v>#DIV/0!</v>
      </c>
      <c r="R66" s="1604" t="s">
        <v>1545</v>
      </c>
    </row>
    <row r="67" spans="1:18" s="1568" customFormat="1" ht="16.5" thickBot="1">
      <c r="A67" s="1088" t="s">
        <v>999</v>
      </c>
      <c r="B67" s="1098" t="s">
        <v>1428</v>
      </c>
      <c r="C67" s="322">
        <f ca="1">C48-C58</f>
        <v>0</v>
      </c>
      <c r="D67" s="1094" t="s">
        <v>1429</v>
      </c>
      <c r="E67" s="1099"/>
      <c r="F67" s="1100"/>
      <c r="O67" s="1612" t="s">
        <v>1010</v>
      </c>
      <c r="P67" s="1603" t="s">
        <v>1526</v>
      </c>
      <c r="Q67" s="1650">
        <f ca="1">L51</f>
        <v>0</v>
      </c>
      <c r="R67" s="1604" t="s">
        <v>1546</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1547</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1548</v>
      </c>
      <c r="Q69" s="1604">
        <f ca="1">C39</f>
        <v>0</v>
      </c>
      <c r="R69" s="1604" t="s">
        <v>1494</v>
      </c>
    </row>
    <row r="70" spans="1:18" s="1568" customFormat="1" ht="13.5" thickBot="1">
      <c r="A70" s="1085"/>
      <c r="B70" s="1086"/>
      <c r="C70" s="316"/>
      <c r="D70" s="1097"/>
      <c r="E70" s="1081" t="s">
        <v>1442</v>
      </c>
      <c r="F70" s="1185">
        <f ca="1">F42</f>
        <v>0</v>
      </c>
      <c r="O70" s="1612" t="s">
        <v>1017</v>
      </c>
      <c r="P70" s="1651" t="s">
        <v>1549</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31"/>
      <c r="G1" s="1674"/>
      <c r="H1" s="1674"/>
      <c r="I1" s="1674"/>
      <c r="J1" s="1674"/>
      <c r="K1" s="1674"/>
      <c r="L1" s="1674"/>
      <c r="M1" s="1674"/>
      <c r="N1" s="1674"/>
      <c r="O1" s="1674"/>
      <c r="P1" s="1674"/>
      <c r="Q1" s="1674"/>
      <c r="R1" s="1674"/>
      <c r="S1" s="1674"/>
    </row>
    <row r="2" spans="1:22" ht="15.75">
      <c r="A2" s="2056" t="s">
        <v>2147</v>
      </c>
      <c r="B2" s="2057">
        <f ca="1">SUMIF(B6:B13,"&lt;&gt;#ref!",B6:B13)</f>
        <v>398</v>
      </c>
      <c r="C2" s="2058" t="s">
        <v>2339</v>
      </c>
      <c r="D2" s="2059" t="s">
        <v>2340</v>
      </c>
      <c r="E2" s="2829">
        <f>SUM(E6:E13)</f>
        <v>519.96</v>
      </c>
      <c r="F2" s="2931"/>
      <c r="G2" s="1674"/>
      <c r="H2" s="1674"/>
      <c r="I2" s="1674"/>
      <c r="J2" s="1674"/>
      <c r="K2" s="1674"/>
      <c r="L2" s="1674"/>
      <c r="M2" s="1674"/>
      <c r="N2" s="1674"/>
      <c r="O2" s="1674"/>
      <c r="P2" s="1674"/>
      <c r="Q2" s="1674"/>
      <c r="R2" s="1674"/>
      <c r="S2" s="1674"/>
    </row>
    <row r="3" spans="1:22" ht="15.75">
      <c r="A3" s="2056" t="s">
        <v>1360</v>
      </c>
      <c r="B3" s="2823">
        <f ca="1">ROUND(B2*10000/E2,0)</f>
        <v>7654</v>
      </c>
      <c r="C3" s="2058" t="s">
        <v>2347</v>
      </c>
      <c r="D3" s="2933"/>
      <c r="E3" s="2935"/>
      <c r="F3" s="2931"/>
      <c r="G3" s="1674"/>
      <c r="H3" s="1674"/>
      <c r="I3" s="1674"/>
      <c r="J3" s="1674"/>
      <c r="K3" s="1674"/>
      <c r="L3" s="1674"/>
      <c r="M3" s="1674"/>
      <c r="N3" s="1674"/>
      <c r="O3" s="1674"/>
      <c r="P3" s="1674"/>
      <c r="Q3" s="1674"/>
      <c r="R3" s="1674"/>
      <c r="S3" s="1674"/>
    </row>
    <row r="4" spans="1:22" ht="15.75">
      <c r="A4" s="2936"/>
      <c r="B4" s="2933"/>
      <c r="C4" s="2933"/>
      <c r="D4" s="2933"/>
      <c r="E4" s="2935"/>
      <c r="F4" s="2931"/>
      <c r="G4" s="1674"/>
      <c r="H4" s="1674"/>
      <c r="I4" s="1674"/>
      <c r="J4" s="1674"/>
      <c r="K4" s="1674"/>
      <c r="L4" s="1674"/>
      <c r="M4" s="1674"/>
      <c r="N4" s="1674"/>
      <c r="O4" s="1674"/>
      <c r="P4" s="1674"/>
      <c r="Q4" s="1674"/>
      <c r="R4" s="1674"/>
      <c r="S4" s="1674"/>
    </row>
    <row r="5" spans="1:22" ht="15">
      <c r="A5" s="2825" t="s">
        <v>2341</v>
      </c>
      <c r="B5" s="3339" t="s">
        <v>2342</v>
      </c>
      <c r="C5" s="3340"/>
      <c r="D5" s="2932"/>
      <c r="E5" s="2060" t="s">
        <v>2343</v>
      </c>
      <c r="F5" s="2061" t="s">
        <v>2344</v>
      </c>
      <c r="G5" s="1674"/>
      <c r="H5" s="1674"/>
      <c r="I5" s="1674"/>
      <c r="J5" s="1674"/>
      <c r="K5" s="1674"/>
      <c r="L5" s="1674"/>
      <c r="M5" s="1674"/>
      <c r="N5" s="1674"/>
      <c r="O5" s="1674"/>
      <c r="P5" s="1674"/>
      <c r="Q5" s="1674"/>
      <c r="R5" s="1674"/>
      <c r="S5" s="1674"/>
    </row>
    <row r="6" spans="1:22">
      <c r="A6" s="2826" t="str">
        <f>'数据-取费表'!AN6</f>
        <v>收益法</v>
      </c>
      <c r="B6" s="2824">
        <f ca="1">IF(F6="是",'数据-取费表'!AO6,0)</f>
        <v>398</v>
      </c>
      <c r="C6" s="2058" t="s">
        <v>2339</v>
      </c>
      <c r="D6" s="2933"/>
      <c r="E6" s="2828">
        <f>IF(OR(A6=0,F6="否"),0,'数据-取费表'!K6+'数据-取费表'!S6)</f>
        <v>519.96</v>
      </c>
      <c r="F6" s="2062" t="s">
        <v>2345</v>
      </c>
      <c r="G6" s="1674"/>
      <c r="H6" s="1674"/>
      <c r="I6" s="1674"/>
      <c r="J6" s="1674"/>
      <c r="K6" s="1674"/>
      <c r="L6" s="1674"/>
      <c r="M6" s="1674"/>
      <c r="N6" s="1674"/>
      <c r="O6" s="1674"/>
      <c r="P6" s="1674"/>
      <c r="Q6" s="1674"/>
      <c r="R6" s="1674"/>
      <c r="S6" s="1674"/>
    </row>
    <row r="7" spans="1:22">
      <c r="A7" s="2826">
        <f>'数据-取费表'!AN7</f>
        <v>0</v>
      </c>
      <c r="B7" s="2824" t="e">
        <f ca="1">IF(F7="是",'数据-取费表'!AO7,0)</f>
        <v>#REF!</v>
      </c>
      <c r="C7" s="2058" t="s">
        <v>2339</v>
      </c>
      <c r="D7" s="2933"/>
      <c r="E7" s="2828">
        <f>IF(OR(A7=0,F7="否"),0,'数据-取费表'!K7+'数据-取费表'!S7)</f>
        <v>0</v>
      </c>
      <c r="F7" s="2062" t="s">
        <v>2345</v>
      </c>
      <c r="G7" s="1674"/>
      <c r="H7" s="1674"/>
      <c r="I7" s="1674"/>
      <c r="J7" s="1674"/>
      <c r="K7" s="1674"/>
      <c r="L7" s="1674"/>
      <c r="M7" s="1674"/>
      <c r="N7" s="1674"/>
      <c r="O7" s="1674"/>
      <c r="P7" s="1674"/>
      <c r="Q7" s="1674"/>
      <c r="R7" s="1674"/>
      <c r="S7" s="1674"/>
    </row>
    <row r="8" spans="1:22">
      <c r="A8" s="2826">
        <f>'数据-取费表'!AN8</f>
        <v>0</v>
      </c>
      <c r="B8" s="2824" t="e">
        <f ca="1">IF(F8="是",'数据-取费表'!AO8,0)</f>
        <v>#REF!</v>
      </c>
      <c r="C8" s="2058" t="s">
        <v>2339</v>
      </c>
      <c r="D8" s="2933"/>
      <c r="E8" s="2828">
        <f>IF(OR(A8=0,F8="否"),0,'数据-取费表'!K8+'数据-取费表'!S8)</f>
        <v>0</v>
      </c>
      <c r="F8" s="2062" t="s">
        <v>2345</v>
      </c>
      <c r="G8" s="1674"/>
      <c r="H8" s="1674"/>
      <c r="I8" s="1674"/>
      <c r="J8" s="1674"/>
      <c r="K8" s="1674"/>
      <c r="L8" s="1674"/>
      <c r="M8" s="1674"/>
      <c r="N8" s="1674"/>
      <c r="O8" s="1674"/>
      <c r="P8" s="1674"/>
      <c r="Q8" s="1674"/>
      <c r="R8" s="1674"/>
      <c r="S8" s="1674"/>
    </row>
    <row r="9" spans="1:22">
      <c r="A9" s="2826">
        <f>'数据-取费表'!AN9</f>
        <v>0</v>
      </c>
      <c r="B9" s="2824" t="e">
        <f ca="1">IF(F9="是",'数据-取费表'!AO9,0)</f>
        <v>#REF!</v>
      </c>
      <c r="C9" s="2058" t="s">
        <v>2339</v>
      </c>
      <c r="D9" s="2933"/>
      <c r="E9" s="2828">
        <f>IF(OR(A9=0,F9="否"),0,'数据-取费表'!K9+'数据-取费表'!S9)</f>
        <v>0</v>
      </c>
      <c r="F9" s="2062" t="s">
        <v>2345</v>
      </c>
      <c r="G9" s="1674"/>
      <c r="H9" s="1674"/>
      <c r="I9" s="1674"/>
      <c r="J9" s="1674"/>
      <c r="K9" s="1674"/>
      <c r="L9" s="1674"/>
      <c r="M9" s="1674"/>
      <c r="N9" s="1674"/>
      <c r="O9" s="1674"/>
      <c r="P9" s="1674"/>
      <c r="Q9" s="1674"/>
      <c r="R9" s="1674"/>
      <c r="S9" s="1674"/>
    </row>
    <row r="10" spans="1:22">
      <c r="A10" s="2826">
        <f>'数据-取费表'!AN10</f>
        <v>0</v>
      </c>
      <c r="B10" s="2824" t="e">
        <f ca="1">IF(F10="是",'数据-取费表'!AO10,0)</f>
        <v>#REF!</v>
      </c>
      <c r="C10" s="2058" t="s">
        <v>2339</v>
      </c>
      <c r="D10" s="2933"/>
      <c r="E10" s="2828">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26">
        <f>'数据-取费表'!AN11</f>
        <v>0</v>
      </c>
      <c r="B11" s="2824" t="e">
        <f ca="1">IF(F11="是",'数据-取费表'!AO11,0)</f>
        <v>#REF!</v>
      </c>
      <c r="C11" s="2058" t="s">
        <v>2339</v>
      </c>
      <c r="D11" s="2933"/>
      <c r="E11" s="2828">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26">
        <f>'数据-取费表'!AN12</f>
        <v>0</v>
      </c>
      <c r="B12" s="2824" t="e">
        <f ca="1">IF(F12="是",'数据-取费表'!AO12,0)</f>
        <v>#REF!</v>
      </c>
      <c r="C12" s="2058" t="s">
        <v>2339</v>
      </c>
      <c r="D12" s="2933"/>
      <c r="E12" s="2828">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27">
        <f>'数据-取费表'!AN13</f>
        <v>0</v>
      </c>
      <c r="B13" s="2824" t="e">
        <f ca="1">IF(F13="是",'数据-取费表'!AO13,0)</f>
        <v>#REF!</v>
      </c>
      <c r="C13" s="2063" t="s">
        <v>2339</v>
      </c>
      <c r="D13" s="2934"/>
      <c r="E13" s="2828">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57" t="s">
        <v>1044</v>
      </c>
      <c r="B1" s="3358"/>
      <c r="C1" s="3359"/>
      <c r="D1" s="3360">
        <f>SUM(I10,I15,I20,I21,I23)</f>
        <v>0</v>
      </c>
      <c r="E1" s="3360"/>
      <c r="F1" s="3360"/>
      <c r="G1" s="3360"/>
      <c r="H1" s="3360"/>
      <c r="I1" s="3361"/>
    </row>
    <row r="2" spans="1:9">
      <c r="A2" s="3347" t="s">
        <v>1045</v>
      </c>
      <c r="B2" s="3348" t="s">
        <v>1046</v>
      </c>
      <c r="C2" s="3348"/>
      <c r="D2" s="1211" t="s">
        <v>1047</v>
      </c>
      <c r="E2" s="1211" t="s">
        <v>1048</v>
      </c>
      <c r="F2" s="1211" t="s">
        <v>1049</v>
      </c>
      <c r="G2" s="1211" t="s">
        <v>1050</v>
      </c>
      <c r="H2" s="1211" t="s">
        <v>1051</v>
      </c>
      <c r="I2" s="1212" t="s">
        <v>1052</v>
      </c>
    </row>
    <row r="3" spans="1:9">
      <c r="A3" s="3347"/>
      <c r="B3" s="3348" t="s">
        <v>1053</v>
      </c>
      <c r="C3" s="3348"/>
      <c r="D3" s="1213"/>
      <c r="E3" s="1211"/>
      <c r="F3" s="1214"/>
      <c r="G3" s="1214"/>
      <c r="H3" s="1215"/>
      <c r="I3" s="1216">
        <f>ROUND(D3*E3*F3*G3*H3/10000,0)</f>
        <v>0</v>
      </c>
    </row>
    <row r="4" spans="1:9">
      <c r="A4" s="3347"/>
      <c r="B4" s="3348" t="s">
        <v>1054</v>
      </c>
      <c r="C4" s="3348"/>
      <c r="D4" s="1213"/>
      <c r="E4" s="1211"/>
      <c r="F4" s="1214"/>
      <c r="G4" s="1214"/>
      <c r="H4" s="1215"/>
      <c r="I4" s="1216">
        <f t="shared" ref="I4:I9" si="0">ROUND(D4*E4*F4*G4*H4/10000,0)</f>
        <v>0</v>
      </c>
    </row>
    <row r="5" spans="1:9">
      <c r="A5" s="3347"/>
      <c r="B5" s="3348" t="s">
        <v>1055</v>
      </c>
      <c r="C5" s="3348"/>
      <c r="D5" s="1213"/>
      <c r="E5" s="1211"/>
      <c r="F5" s="1214"/>
      <c r="G5" s="1214"/>
      <c r="H5" s="1215"/>
      <c r="I5" s="1216">
        <f t="shared" si="0"/>
        <v>0</v>
      </c>
    </row>
    <row r="6" spans="1:9">
      <c r="A6" s="3347"/>
      <c r="B6" s="3348" t="s">
        <v>1056</v>
      </c>
      <c r="C6" s="3348"/>
      <c r="D6" s="1213"/>
      <c r="E6" s="1211"/>
      <c r="F6" s="1214"/>
      <c r="G6" s="1214"/>
      <c r="H6" s="1215"/>
      <c r="I6" s="1216">
        <f t="shared" si="0"/>
        <v>0</v>
      </c>
    </row>
    <row r="7" spans="1:9">
      <c r="A7" s="3347"/>
      <c r="B7" s="3348" t="s">
        <v>1057</v>
      </c>
      <c r="C7" s="3348"/>
      <c r="D7" s="1213"/>
      <c r="E7" s="1211"/>
      <c r="F7" s="1214"/>
      <c r="G7" s="1214"/>
      <c r="H7" s="1215"/>
      <c r="I7" s="1216">
        <f t="shared" si="0"/>
        <v>0</v>
      </c>
    </row>
    <row r="8" spans="1:9">
      <c r="A8" s="3347"/>
      <c r="B8" s="3348" t="s">
        <v>1058</v>
      </c>
      <c r="C8" s="3348"/>
      <c r="D8" s="1213"/>
      <c r="E8" s="1211"/>
      <c r="F8" s="1214"/>
      <c r="G8" s="1214"/>
      <c r="H8" s="1215"/>
      <c r="I8" s="1216">
        <f t="shared" si="0"/>
        <v>0</v>
      </c>
    </row>
    <row r="9" spans="1:9">
      <c r="A9" s="3347"/>
      <c r="B9" s="3348" t="s">
        <v>1059</v>
      </c>
      <c r="C9" s="3348"/>
      <c r="D9" s="1213"/>
      <c r="E9" s="1211"/>
      <c r="F9" s="1214"/>
      <c r="G9" s="1214"/>
      <c r="H9" s="1215"/>
      <c r="I9" s="1216">
        <f t="shared" si="0"/>
        <v>0</v>
      </c>
    </row>
    <row r="10" spans="1:9">
      <c r="A10" s="3347"/>
      <c r="B10" s="3349" t="s">
        <v>1060</v>
      </c>
      <c r="C10" s="3349"/>
      <c r="D10" s="1217"/>
      <c r="E10" s="1217" t="e">
        <f>ROUND(D1*10000/D10/H9,0)</f>
        <v>#DIV/0!</v>
      </c>
      <c r="F10" s="1218"/>
      <c r="G10" s="1218"/>
      <c r="H10" s="1219"/>
      <c r="I10" s="1220">
        <f>SUM(I3:I9)</f>
        <v>0</v>
      </c>
    </row>
    <row r="11" spans="1:9" ht="14.25">
      <c r="A11" s="3347" t="s">
        <v>1061</v>
      </c>
      <c r="B11" s="3348" t="s">
        <v>1062</v>
      </c>
      <c r="C11" s="3348"/>
      <c r="D11" s="1213" t="s">
        <v>1063</v>
      </c>
      <c r="E11" s="1213" t="s">
        <v>1064</v>
      </c>
      <c r="F11" s="1214" t="s">
        <v>1065</v>
      </c>
      <c r="G11" s="1214" t="s">
        <v>1051</v>
      </c>
      <c r="H11" s="1221" t="s">
        <v>1066</v>
      </c>
      <c r="I11" s="1212" t="s">
        <v>1052</v>
      </c>
    </row>
    <row r="12" spans="1:9">
      <c r="A12" s="3347"/>
      <c r="B12" s="3348" t="s">
        <v>1067</v>
      </c>
      <c r="C12" s="3348"/>
      <c r="D12" s="1213"/>
      <c r="E12" s="1213"/>
      <c r="F12" s="1214"/>
      <c r="G12" s="1215"/>
      <c r="H12" s="1222"/>
      <c r="I12" s="1212">
        <f>ROUND(D12*E12*F12*G12/10000,0)</f>
        <v>0</v>
      </c>
    </row>
    <row r="13" spans="1:9">
      <c r="A13" s="3347"/>
      <c r="B13" s="3348" t="s">
        <v>1068</v>
      </c>
      <c r="C13" s="3348"/>
      <c r="D13" s="1213"/>
      <c r="E13" s="1213"/>
      <c r="F13" s="1214"/>
      <c r="G13" s="1215"/>
      <c r="H13" s="1222"/>
      <c r="I13" s="1212">
        <f>ROUND(D13*E13*F13*G13/10000,0)</f>
        <v>0</v>
      </c>
    </row>
    <row r="14" spans="1:9">
      <c r="A14" s="3347"/>
      <c r="B14" s="3348" t="s">
        <v>1069</v>
      </c>
      <c r="C14" s="3348"/>
      <c r="D14" s="1213"/>
      <c r="E14" s="1213"/>
      <c r="F14" s="1214"/>
      <c r="G14" s="1215"/>
      <c r="H14" s="1222"/>
      <c r="I14" s="1212">
        <f>ROUND(D14*E14*F14*G14/10000,0)</f>
        <v>0</v>
      </c>
    </row>
    <row r="15" spans="1:9">
      <c r="A15" s="3347"/>
      <c r="B15" s="3349" t="s">
        <v>1060</v>
      </c>
      <c r="C15" s="3349"/>
      <c r="D15" s="1217"/>
      <c r="E15" s="1217">
        <f>SUM(E12:E14)</f>
        <v>0</v>
      </c>
      <c r="F15" s="1218"/>
      <c r="G15" s="1215"/>
      <c r="H15" s="1222"/>
      <c r="I15" s="1223">
        <f>SUM(I12:I14)</f>
        <v>0</v>
      </c>
    </row>
    <row r="16" spans="1:9" ht="24">
      <c r="A16" s="3347" t="s">
        <v>1070</v>
      </c>
      <c r="B16" s="3348" t="s">
        <v>1071</v>
      </c>
      <c r="C16" s="3348"/>
      <c r="D16" s="1213" t="s">
        <v>1047</v>
      </c>
      <c r="E16" s="1224" t="s">
        <v>1072</v>
      </c>
      <c r="F16" s="1214" t="s">
        <v>1073</v>
      </c>
      <c r="G16" s="1215" t="s">
        <v>1051</v>
      </c>
      <c r="H16" s="1221" t="s">
        <v>1066</v>
      </c>
      <c r="I16" s="1212" t="s">
        <v>1052</v>
      </c>
    </row>
    <row r="17" spans="1:9" ht="14.25">
      <c r="A17" s="3347"/>
      <c r="B17" s="3348" t="s">
        <v>1074</v>
      </c>
      <c r="C17" s="3348"/>
      <c r="D17" s="1213"/>
      <c r="E17" s="1213"/>
      <c r="F17" s="1214"/>
      <c r="G17" s="1215"/>
      <c r="H17" s="1225"/>
      <c r="I17" s="1226">
        <f>ROUND(D17*E17*F17*G17/10000,0)</f>
        <v>0</v>
      </c>
    </row>
    <row r="18" spans="1:9" ht="14.25">
      <c r="A18" s="3347"/>
      <c r="B18" s="3348" t="s">
        <v>1075</v>
      </c>
      <c r="C18" s="3348"/>
      <c r="D18" s="1213"/>
      <c r="E18" s="1213"/>
      <c r="F18" s="1214"/>
      <c r="G18" s="1215"/>
      <c r="H18" s="1225"/>
      <c r="I18" s="1226">
        <f>ROUND(D18*E18*F18*G18/10000,0)</f>
        <v>0</v>
      </c>
    </row>
    <row r="19" spans="1:9" ht="14.25">
      <c r="A19" s="3347"/>
      <c r="B19" s="3348" t="s">
        <v>1076</v>
      </c>
      <c r="C19" s="3348"/>
      <c r="D19" s="1213"/>
      <c r="E19" s="1213"/>
      <c r="F19" s="1214"/>
      <c r="G19" s="1215"/>
      <c r="H19" s="1225"/>
      <c r="I19" s="1226">
        <f>ROUND(D19*E19*F19*G19/10000,0)</f>
        <v>0</v>
      </c>
    </row>
    <row r="20" spans="1:9">
      <c r="A20" s="3347"/>
      <c r="B20" s="3349" t="s">
        <v>1060</v>
      </c>
      <c r="C20" s="3349"/>
      <c r="D20" s="1217">
        <f>SUM(D17:D19)</f>
        <v>0</v>
      </c>
      <c r="E20" s="1217"/>
      <c r="F20" s="1218"/>
      <c r="G20" s="1215"/>
      <c r="H20" s="1222"/>
      <c r="I20" s="1223">
        <f>SUM(I17:I19)</f>
        <v>0</v>
      </c>
    </row>
    <row r="21" spans="1:9">
      <c r="A21" s="3347" t="s">
        <v>1077</v>
      </c>
      <c r="B21" s="3350"/>
      <c r="C21" s="3350"/>
      <c r="D21" s="3350"/>
      <c r="E21" s="3350"/>
      <c r="F21" s="3350"/>
      <c r="G21" s="3350"/>
      <c r="H21" s="1502">
        <v>0.1</v>
      </c>
      <c r="I21" s="1220">
        <f>ROUND(I10*H21,0)</f>
        <v>0</v>
      </c>
    </row>
    <row r="22" spans="1:9" ht="14.25">
      <c r="A22" s="3351" t="s">
        <v>1078</v>
      </c>
      <c r="B22" s="3352"/>
      <c r="C22" s="3353"/>
      <c r="D22" s="1227" t="s">
        <v>1079</v>
      </c>
      <c r="E22" s="1227" t="s">
        <v>1080</v>
      </c>
      <c r="F22" s="1228" t="s">
        <v>1081</v>
      </c>
      <c r="G22" s="1228" t="s">
        <v>1082</v>
      </c>
      <c r="H22" s="1221" t="s">
        <v>1083</v>
      </c>
      <c r="I22" s="1212" t="s">
        <v>1084</v>
      </c>
    </row>
    <row r="23" spans="1:9" ht="14.25" thickBot="1">
      <c r="A23" s="3354"/>
      <c r="B23" s="3355"/>
      <c r="C23" s="3356"/>
      <c r="D23" s="1229"/>
      <c r="E23" s="1229"/>
      <c r="F23" s="1229"/>
      <c r="G23" s="1230"/>
      <c r="H23" s="1231"/>
      <c r="I23" s="1232">
        <f>ROUND(E23*D23*F23*(1-G23)/10000,0)</f>
        <v>0</v>
      </c>
    </row>
    <row r="26" spans="1:9">
      <c r="A26" s="1233" t="s">
        <v>1085</v>
      </c>
      <c r="B26" s="1233"/>
      <c r="C26" s="1233"/>
      <c r="D26" s="1233"/>
      <c r="E26" s="3344">
        <f>C27-C30-C31-C32</f>
        <v>0</v>
      </c>
      <c r="F26" s="3344"/>
      <c r="G26" s="3344"/>
      <c r="H26" s="1499" t="s">
        <v>1306</v>
      </c>
    </row>
    <row r="27" spans="1:9">
      <c r="A27" s="1234">
        <v>1</v>
      </c>
      <c r="B27" s="1235" t="s">
        <v>1086</v>
      </c>
      <c r="C27" s="1235">
        <f>C28+C29</f>
        <v>0</v>
      </c>
      <c r="D27" s="1235"/>
      <c r="E27" s="3345"/>
      <c r="F27" s="3345"/>
      <c r="G27" s="3345"/>
    </row>
    <row r="28" spans="1:9">
      <c r="A28" s="1236" t="s">
        <v>1087</v>
      </c>
      <c r="B28" s="1235" t="s">
        <v>1088</v>
      </c>
      <c r="C28" s="1235"/>
      <c r="D28" s="1235"/>
      <c r="E28" s="3345"/>
      <c r="F28" s="3345"/>
      <c r="G28" s="3345"/>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46"/>
      <c r="F32" s="3346"/>
      <c r="G32" s="3346"/>
    </row>
    <row r="33" spans="1:7" hidden="1">
      <c r="A33" s="3341" t="s">
        <v>1097</v>
      </c>
      <c r="B33" s="3342"/>
      <c r="C33" s="3342"/>
      <c r="D33" s="3343"/>
      <c r="E33" s="3344"/>
      <c r="F33" s="3344"/>
      <c r="G33" s="3344"/>
    </row>
    <row r="34" spans="1:7" hidden="1">
      <c r="A34" s="1238">
        <v>1</v>
      </c>
      <c r="B34" s="1235" t="s">
        <v>1098</v>
      </c>
      <c r="C34" s="1235"/>
      <c r="D34" s="1235"/>
      <c r="E34" s="3345"/>
      <c r="F34" s="3345"/>
      <c r="G34" s="3345"/>
    </row>
    <row r="35" spans="1:7" hidden="1">
      <c r="A35" s="1238">
        <v>2</v>
      </c>
      <c r="B35" s="1235" t="s">
        <v>1099</v>
      </c>
      <c r="C35" s="1235"/>
      <c r="D35" s="1235"/>
      <c r="E35" s="3345"/>
      <c r="F35" s="3345"/>
      <c r="G35" s="3345"/>
    </row>
    <row r="36" spans="1:7" hidden="1">
      <c r="A36" s="1238">
        <v>3</v>
      </c>
      <c r="B36" s="1235" t="s">
        <v>1100</v>
      </c>
      <c r="C36" s="1235"/>
      <c r="D36" s="1235"/>
      <c r="E36" s="3345"/>
      <c r="F36" s="3345"/>
      <c r="G36" s="3345"/>
    </row>
    <row r="37" spans="1:7" hidden="1">
      <c r="A37" s="1238">
        <v>4</v>
      </c>
      <c r="B37" s="1235" t="s">
        <v>1101</v>
      </c>
      <c r="C37" s="1235"/>
      <c r="D37" s="1235"/>
      <c r="E37" s="3345"/>
      <c r="F37" s="3345"/>
      <c r="G37" s="3345"/>
    </row>
    <row r="38" spans="1:7" hidden="1">
      <c r="A38" s="3341" t="s">
        <v>1102</v>
      </c>
      <c r="B38" s="3342"/>
      <c r="C38" s="3342"/>
      <c r="D38" s="3343"/>
      <c r="E38" s="3344"/>
      <c r="F38" s="3344"/>
      <c r="G38" s="33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c r="E1" s="2542"/>
      <c r="F1" s="2065"/>
      <c r="G1" s="1403" t="s">
        <v>2463</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2147</v>
      </c>
      <c r="B2" s="1326" t="e">
        <f ca="1">IF(C2="——",ROUND(C49*D3/10000,0),ROUND(C49*D3/10000,0)-D2)</f>
        <v>#DIV/0!</v>
      </c>
      <c r="C2" s="2067"/>
      <c r="D2" s="1275" t="e">
        <f ca="1">SUMIF(INDIRECT("'"&amp;F2&amp;"'"&amp;"!A:A"),"承租人权益价值",INDIRECT("'"&amp;F2&amp;"'"&amp;"!c:c"))</f>
        <v>#REF!</v>
      </c>
      <c r="E2" s="2068" t="s">
        <v>2148</v>
      </c>
      <c r="F2" s="2069"/>
      <c r="G2" s="1039"/>
      <c r="H2" s="1039"/>
      <c r="I2" s="1039"/>
      <c r="J2" s="1039"/>
      <c r="K2" s="1039"/>
      <c r="L2" s="2958"/>
      <c r="M2" s="2959"/>
      <c r="N2" s="2959"/>
      <c r="O2" s="2959"/>
      <c r="P2" s="2137"/>
      <c r="Q2" s="1043"/>
      <c r="R2" s="1043"/>
      <c r="S2" s="1043"/>
      <c r="T2" s="1043"/>
      <c r="U2" s="1043"/>
      <c r="V2" s="1043"/>
      <c r="W2" s="1043"/>
      <c r="X2" s="1043"/>
      <c r="Y2" s="1043"/>
      <c r="Z2" s="1043"/>
      <c r="AA2" s="1043"/>
      <c r="AB2" s="1043"/>
      <c r="AC2" s="2138"/>
    </row>
    <row r="3" spans="1:29" s="358" customFormat="1" ht="28.5" customHeight="1" thickBot="1">
      <c r="A3" s="209" t="s">
        <v>2149</v>
      </c>
      <c r="B3" s="566" t="e">
        <f ca="1">IF(C2="——",C49,ROUND(B2*10000/D3,0))</f>
        <v>#DIV/0!</v>
      </c>
      <c r="C3" s="360" t="s">
        <v>2464</v>
      </c>
      <c r="D3" s="359">
        <f>IF(D1="",'数据-汇总表'!E3,SUMIF('数据-汇总表'!$C19:$C33,D1,'数据-汇总表'!$E19:$E33))</f>
        <v>519.96</v>
      </c>
      <c r="E3" s="2139"/>
      <c r="F3" s="1040"/>
      <c r="G3" s="1039"/>
      <c r="H3" s="1039"/>
      <c r="I3" s="1039"/>
      <c r="J3" s="1039"/>
      <c r="K3" s="1041"/>
      <c r="L3" s="2958"/>
      <c r="M3" s="2959"/>
      <c r="N3" s="2959"/>
      <c r="O3" s="2959"/>
      <c r="P3" s="2137"/>
      <c r="Q3" s="1043"/>
      <c r="R3" s="1043"/>
      <c r="S3" s="1043"/>
      <c r="T3" s="1043"/>
      <c r="U3" s="1043"/>
      <c r="V3" s="1043"/>
      <c r="W3" s="1043"/>
      <c r="X3" s="1043"/>
      <c r="Y3" s="1043"/>
      <c r="Z3" s="1043"/>
      <c r="AA3" s="1043"/>
      <c r="AB3" s="1043"/>
      <c r="AC3" s="2139"/>
    </row>
    <row r="4" spans="1:29" ht="15">
      <c r="A4" s="361" t="s">
        <v>2465</v>
      </c>
      <c r="B4" s="362"/>
      <c r="C4" s="3302" t="s">
        <v>2466</v>
      </c>
      <c r="D4" s="3303"/>
      <c r="E4" s="3304" t="s">
        <v>2467</v>
      </c>
      <c r="F4" s="3305"/>
      <c r="G4" s="3302" t="s">
        <v>2468</v>
      </c>
      <c r="H4" s="3303"/>
      <c r="I4" s="3302" t="s">
        <v>2469</v>
      </c>
      <c r="J4" s="3303"/>
      <c r="K4" s="567" t="s">
        <v>2470</v>
      </c>
      <c r="L4" s="2939"/>
      <c r="M4" s="2940"/>
      <c r="N4" s="2940"/>
      <c r="O4" s="2940"/>
      <c r="P4" s="3306" t="s">
        <v>2471</v>
      </c>
      <c r="Q4" s="3307"/>
      <c r="R4" s="3312" t="s">
        <v>2467</v>
      </c>
      <c r="S4" s="3313"/>
      <c r="T4" s="3312" t="s">
        <v>2468</v>
      </c>
      <c r="U4" s="3313"/>
      <c r="V4" s="3318" t="s">
        <v>2469</v>
      </c>
      <c r="W4" s="3318"/>
      <c r="X4" s="1539"/>
      <c r="Y4" s="3312" t="s">
        <v>2471</v>
      </c>
      <c r="Z4" s="3313"/>
      <c r="AA4" s="3299" t="s">
        <v>2467</v>
      </c>
      <c r="AB4" s="3318" t="s">
        <v>2468</v>
      </c>
      <c r="AC4" s="3299" t="s">
        <v>2469</v>
      </c>
    </row>
    <row r="5" spans="1:29" ht="15">
      <c r="A5" s="364"/>
      <c r="B5" s="365"/>
      <c r="C5" s="3362" t="s">
        <v>2362</v>
      </c>
      <c r="D5" s="3327"/>
      <c r="E5" s="3365" t="s">
        <v>2363</v>
      </c>
      <c r="F5" s="3366"/>
      <c r="G5" s="3362" t="s">
        <v>2364</v>
      </c>
      <c r="H5" s="3327"/>
      <c r="I5" s="3362" t="s">
        <v>2365</v>
      </c>
      <c r="J5" s="3327"/>
      <c r="K5" s="567"/>
      <c r="L5" s="2939"/>
      <c r="M5" s="2940"/>
      <c r="N5" s="2940"/>
      <c r="O5" s="2940"/>
      <c r="P5" s="3308"/>
      <c r="Q5" s="3309"/>
      <c r="R5" s="3314"/>
      <c r="S5" s="3315"/>
      <c r="T5" s="3314"/>
      <c r="U5" s="3315"/>
      <c r="V5" s="3318"/>
      <c r="W5" s="3318"/>
      <c r="X5" s="1539"/>
      <c r="Y5" s="3314"/>
      <c r="Z5" s="3315"/>
      <c r="AA5" s="3300"/>
      <c r="AB5" s="3318"/>
      <c r="AC5" s="3300"/>
    </row>
    <row r="6" spans="1:29" ht="15.75" thickBot="1">
      <c r="A6" s="366"/>
      <c r="B6" s="367"/>
      <c r="C6" s="3328" t="s">
        <v>2366</v>
      </c>
      <c r="D6" s="3329"/>
      <c r="E6" s="3363" t="s">
        <v>2366</v>
      </c>
      <c r="F6" s="3364"/>
      <c r="G6" s="3328" t="s">
        <v>2366</v>
      </c>
      <c r="H6" s="3329"/>
      <c r="I6" s="3328" t="s">
        <v>2366</v>
      </c>
      <c r="J6" s="3329"/>
      <c r="K6" s="567" t="s">
        <v>2367</v>
      </c>
      <c r="L6" s="2939"/>
      <c r="M6" s="2940"/>
      <c r="N6" s="2940"/>
      <c r="O6" s="2940"/>
      <c r="P6" s="3310"/>
      <c r="Q6" s="3311"/>
      <c r="R6" s="3314"/>
      <c r="S6" s="3315"/>
      <c r="T6" s="3316"/>
      <c r="U6" s="3317"/>
      <c r="V6" s="3318"/>
      <c r="W6" s="3318"/>
      <c r="X6" s="1539"/>
      <c r="Y6" s="3316"/>
      <c r="Z6" s="3317"/>
      <c r="AA6" s="3301"/>
      <c r="AB6" s="3318"/>
      <c r="AC6" s="3301"/>
    </row>
    <row r="7" spans="1:29" s="113" customFormat="1" ht="15.75" thickBot="1">
      <c r="A7" s="368" t="s">
        <v>2368</v>
      </c>
      <c r="B7" s="369"/>
      <c r="C7" s="370">
        <f>'数据-取费表'!B2</f>
        <v>44523</v>
      </c>
      <c r="D7" s="371">
        <v>100</v>
      </c>
      <c r="E7" s="372"/>
      <c r="F7" s="373">
        <f>SUMIF(58:58,YEAR(E7)&amp;"-"&amp;MONTH(E7),59:59)</f>
        <v>0</v>
      </c>
      <c r="G7" s="372"/>
      <c r="H7" s="371">
        <f>SUMIF(58:58,YEAR(G7)&amp;"-"&amp;MONTH(G7),59:59)</f>
        <v>0</v>
      </c>
      <c r="I7" s="372"/>
      <c r="J7" s="371">
        <f>SUMIF(58:58,YEAR(I7)&amp;"-"&amp;MONTH(I7),59:59)</f>
        <v>0</v>
      </c>
      <c r="K7" s="568"/>
      <c r="L7" s="2941"/>
      <c r="M7" s="2942"/>
      <c r="N7" s="2942"/>
      <c r="O7" s="2942"/>
      <c r="P7" s="3323" t="s">
        <v>2369</v>
      </c>
      <c r="Q7" s="3325"/>
      <c r="R7" s="710" t="s">
        <v>17</v>
      </c>
      <c r="S7" s="711">
        <f t="shared" ref="S7:S15" si="0">F7</f>
        <v>0</v>
      </c>
      <c r="T7" s="710" t="s">
        <v>17</v>
      </c>
      <c r="U7" s="711">
        <f t="shared" ref="U7:U15" si="1">H7</f>
        <v>0</v>
      </c>
      <c r="V7" s="710" t="s">
        <v>17</v>
      </c>
      <c r="W7" s="711">
        <f t="shared" ref="W7:W15" si="2">J7</f>
        <v>0</v>
      </c>
      <c r="X7" s="712"/>
      <c r="Y7" s="3323" t="s">
        <v>2369</v>
      </c>
      <c r="Z7" s="3324"/>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1"/>
      <c r="M8" s="2942"/>
      <c r="N8" s="2942"/>
      <c r="O8" s="2942"/>
      <c r="P8" s="3323" t="s">
        <v>2372</v>
      </c>
      <c r="Q8" s="3324"/>
      <c r="R8" s="710" t="s">
        <v>17</v>
      </c>
      <c r="S8" s="711">
        <f t="shared" si="0"/>
        <v>0</v>
      </c>
      <c r="T8" s="710" t="s">
        <v>17</v>
      </c>
      <c r="U8" s="711">
        <f t="shared" si="1"/>
        <v>0</v>
      </c>
      <c r="V8" s="710" t="s">
        <v>17</v>
      </c>
      <c r="W8" s="711">
        <f t="shared" si="2"/>
        <v>0</v>
      </c>
      <c r="X8" s="712"/>
      <c r="Y8" s="3323" t="s">
        <v>2372</v>
      </c>
      <c r="Z8" s="3324"/>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1"/>
      <c r="M9" s="2942"/>
      <c r="N9" s="2942"/>
      <c r="O9" s="2942"/>
      <c r="P9" s="3298" t="s">
        <v>2375</v>
      </c>
      <c r="Q9" s="1527" t="str">
        <f t="shared" ref="Q9:Q15" si="6">B9</f>
        <v>用途</v>
      </c>
      <c r="R9" s="710" t="s">
        <v>17</v>
      </c>
      <c r="S9" s="711">
        <f t="shared" si="0"/>
        <v>100</v>
      </c>
      <c r="T9" s="710" t="s">
        <v>17</v>
      </c>
      <c r="U9" s="711">
        <f t="shared" si="1"/>
        <v>100</v>
      </c>
      <c r="V9" s="710" t="s">
        <v>17</v>
      </c>
      <c r="W9" s="711">
        <f t="shared" si="2"/>
        <v>100</v>
      </c>
      <c r="X9" s="712"/>
      <c r="Y9" s="318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3"/>
      <c r="M10" s="2944"/>
      <c r="N10" s="2944"/>
      <c r="O10" s="2944"/>
      <c r="P10" s="3298"/>
      <c r="Q10" s="1527"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5"/>
      <c r="M11" s="2940"/>
      <c r="N11" s="2940"/>
      <c r="O11" s="2940"/>
      <c r="P11" s="3298"/>
      <c r="Q11" s="1527" t="str">
        <f t="shared" si="6"/>
        <v>容积率</v>
      </c>
      <c r="R11" s="710" t="s">
        <v>17</v>
      </c>
      <c r="S11" s="711" t="e">
        <f t="shared" si="0"/>
        <v>#N/A</v>
      </c>
      <c r="T11" s="710" t="s">
        <v>17</v>
      </c>
      <c r="U11" s="711" t="e">
        <f t="shared" si="1"/>
        <v>#N/A</v>
      </c>
      <c r="V11" s="710" t="s">
        <v>17</v>
      </c>
      <c r="W11" s="711" t="e">
        <f t="shared" si="2"/>
        <v>#N/A</v>
      </c>
      <c r="X11" s="712"/>
      <c r="Y11" s="3185"/>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1"/>
      <c r="M12" s="2942"/>
      <c r="N12" s="2942"/>
      <c r="O12" s="2942"/>
      <c r="P12" s="3298"/>
      <c r="Q12" s="1527">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46"/>
      <c r="M13" s="2940"/>
      <c r="N13" s="2940"/>
      <c r="O13" s="2940"/>
      <c r="P13" s="3298"/>
      <c r="Q13" s="1527">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46"/>
      <c r="M14" s="2940"/>
      <c r="N14" s="2940"/>
      <c r="O14" s="2940"/>
      <c r="P14" s="3298"/>
      <c r="Q14" s="1527">
        <f t="shared" si="6"/>
        <v>111</v>
      </c>
      <c r="R14" s="710" t="s">
        <v>17</v>
      </c>
      <c r="S14" s="711">
        <f t="shared" si="0"/>
        <v>100</v>
      </c>
      <c r="T14" s="710" t="s">
        <v>17</v>
      </c>
      <c r="U14" s="711">
        <f t="shared" si="1"/>
        <v>100</v>
      </c>
      <c r="V14" s="710" t="s">
        <v>17</v>
      </c>
      <c r="W14" s="711">
        <f t="shared" si="2"/>
        <v>100</v>
      </c>
      <c r="X14" s="712"/>
      <c r="Y14" s="3185"/>
      <c r="Z14" s="55">
        <f t="shared" si="7"/>
        <v>111</v>
      </c>
      <c r="AA14" s="713">
        <f t="shared" si="3"/>
        <v>1</v>
      </c>
      <c r="AB14" s="713">
        <f t="shared" si="4"/>
        <v>1</v>
      </c>
      <c r="AC14" s="713">
        <f t="shared" si="5"/>
        <v>1</v>
      </c>
    </row>
    <row r="15" spans="1:29" ht="71.25">
      <c r="A15" s="399" t="s">
        <v>2379</v>
      </c>
      <c r="B15" s="65" t="s">
        <v>2473</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6"/>
      <c r="M15" s="2940"/>
      <c r="N15" s="2940"/>
      <c r="O15" s="2940"/>
      <c r="P15" s="3296" t="s">
        <v>2380</v>
      </c>
      <c r="Q15" s="1536" t="str">
        <f t="shared" si="6"/>
        <v>商业繁华度</v>
      </c>
      <c r="R15" s="714" t="s">
        <v>17</v>
      </c>
      <c r="S15" s="715">
        <f t="shared" si="0"/>
        <v>100</v>
      </c>
      <c r="T15" s="714" t="s">
        <v>17</v>
      </c>
      <c r="U15" s="715">
        <f t="shared" si="1"/>
        <v>100</v>
      </c>
      <c r="V15" s="714" t="s">
        <v>17</v>
      </c>
      <c r="W15" s="715">
        <f t="shared" si="2"/>
        <v>100</v>
      </c>
      <c r="X15" s="1539"/>
      <c r="Y15" s="3289" t="s">
        <v>2380</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6"/>
      <c r="M16" s="2940"/>
      <c r="N16" s="2940"/>
      <c r="O16" s="2940"/>
      <c r="P16" s="3297"/>
      <c r="Q16" s="1536"/>
      <c r="R16" s="714"/>
      <c r="S16" s="715"/>
      <c r="T16" s="714"/>
      <c r="U16" s="715"/>
      <c r="V16" s="714"/>
      <c r="W16" s="715"/>
      <c r="X16" s="1539"/>
      <c r="Y16" s="3290"/>
      <c r="Z16" s="1540"/>
      <c r="AA16" s="1537">
        <v>1</v>
      </c>
      <c r="AB16" s="1537">
        <v>1</v>
      </c>
      <c r="AC16" s="1537">
        <v>1</v>
      </c>
    </row>
    <row r="17" spans="1:29" ht="85.5">
      <c r="A17" s="387"/>
      <c r="B17" s="410" t="s">
        <v>1944</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6"/>
      <c r="M17" s="2940"/>
      <c r="N17" s="2940"/>
      <c r="O17" s="2940"/>
      <c r="P17" s="3297"/>
      <c r="Q17" s="1536" t="str">
        <f>B17</f>
        <v>交通便捷度</v>
      </c>
      <c r="R17" s="714" t="s">
        <v>17</v>
      </c>
      <c r="S17" s="715">
        <f>F17</f>
        <v>100</v>
      </c>
      <c r="T17" s="714" t="s">
        <v>17</v>
      </c>
      <c r="U17" s="715">
        <f>H17</f>
        <v>100</v>
      </c>
      <c r="V17" s="714" t="s">
        <v>17</v>
      </c>
      <c r="W17" s="715">
        <f>J17</f>
        <v>100</v>
      </c>
      <c r="X17" s="1539"/>
      <c r="Y17" s="3290"/>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2946"/>
      <c r="M18" s="2940"/>
      <c r="N18" s="2940"/>
      <c r="O18" s="2940"/>
      <c r="P18" s="3297"/>
      <c r="Q18" s="1536"/>
      <c r="R18" s="714"/>
      <c r="S18" s="715"/>
      <c r="T18" s="714"/>
      <c r="U18" s="715"/>
      <c r="V18" s="714"/>
      <c r="W18" s="715"/>
      <c r="X18" s="1539"/>
      <c r="Y18" s="3290"/>
      <c r="Z18" s="1540"/>
      <c r="AA18" s="1537">
        <v>1</v>
      </c>
      <c r="AB18" s="1537">
        <v>1</v>
      </c>
      <c r="AC18" s="1537">
        <v>1</v>
      </c>
    </row>
    <row r="19" spans="1:29" ht="42.75">
      <c r="A19" s="387"/>
      <c r="B19" s="410" t="s">
        <v>2474</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6"/>
      <c r="M19" s="2940"/>
      <c r="N19" s="2940"/>
      <c r="O19" s="2940"/>
      <c r="P19" s="3297"/>
      <c r="Q19" s="1536" t="str">
        <f>B19</f>
        <v>公共配套设施</v>
      </c>
      <c r="R19" s="714" t="s">
        <v>17</v>
      </c>
      <c r="S19" s="715">
        <f>F19</f>
        <v>100</v>
      </c>
      <c r="T19" s="714" t="s">
        <v>17</v>
      </c>
      <c r="U19" s="715">
        <f>H19</f>
        <v>100</v>
      </c>
      <c r="V19" s="714" t="s">
        <v>17</v>
      </c>
      <c r="W19" s="715">
        <f>J19</f>
        <v>100</v>
      </c>
      <c r="X19" s="1539"/>
      <c r="Y19" s="3290"/>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2946"/>
      <c r="M20" s="2940"/>
      <c r="N20" s="2940"/>
      <c r="O20" s="2940"/>
      <c r="P20" s="3297"/>
      <c r="Q20" s="1536"/>
      <c r="R20" s="714"/>
      <c r="S20" s="715"/>
      <c r="T20" s="714"/>
      <c r="U20" s="715"/>
      <c r="V20" s="714"/>
      <c r="W20" s="715"/>
      <c r="X20" s="1539"/>
      <c r="Y20" s="3290"/>
      <c r="Z20" s="1540"/>
      <c r="AA20" s="1537">
        <v>1</v>
      </c>
      <c r="AB20" s="1537">
        <v>1</v>
      </c>
      <c r="AC20" s="1537">
        <v>1</v>
      </c>
    </row>
    <row r="21" spans="1:29" ht="28.5">
      <c r="A21" s="387"/>
      <c r="B21" s="1293" t="s">
        <v>2475</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6"/>
      <c r="M21" s="2940"/>
      <c r="N21" s="2940"/>
      <c r="O21" s="2940"/>
      <c r="P21" s="3297"/>
      <c r="Q21" s="1536" t="str">
        <f>B21</f>
        <v>基础设施水平</v>
      </c>
      <c r="R21" s="714" t="s">
        <v>17</v>
      </c>
      <c r="S21" s="715">
        <f>F21</f>
        <v>100</v>
      </c>
      <c r="T21" s="714" t="s">
        <v>17</v>
      </c>
      <c r="U21" s="715">
        <f>H21</f>
        <v>100</v>
      </c>
      <c r="V21" s="714" t="s">
        <v>17</v>
      </c>
      <c r="W21" s="715">
        <f>J21</f>
        <v>100</v>
      </c>
      <c r="X21" s="1539"/>
      <c r="Y21" s="3290"/>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2946"/>
      <c r="M22" s="2940"/>
      <c r="N22" s="2940"/>
      <c r="O22" s="2940"/>
      <c r="P22" s="3297"/>
      <c r="Q22" s="1536"/>
      <c r="R22" s="714"/>
      <c r="S22" s="715"/>
      <c r="T22" s="714"/>
      <c r="U22" s="715"/>
      <c r="V22" s="714"/>
      <c r="W22" s="715"/>
      <c r="X22" s="1539"/>
      <c r="Y22" s="3290"/>
      <c r="Z22" s="1540"/>
      <c r="AA22" s="1537">
        <v>1</v>
      </c>
      <c r="AB22" s="1537">
        <v>1</v>
      </c>
      <c r="AC22" s="1537">
        <v>1</v>
      </c>
    </row>
    <row r="23" spans="1:29" ht="57">
      <c r="A23" s="387"/>
      <c r="B23" s="410" t="s">
        <v>1946</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6"/>
      <c r="M23" s="2940"/>
      <c r="N23" s="2940"/>
      <c r="O23" s="2940"/>
      <c r="P23" s="3297"/>
      <c r="Q23" s="1536" t="str">
        <f>B23</f>
        <v>自然及人文环境</v>
      </c>
      <c r="R23" s="714" t="s">
        <v>17</v>
      </c>
      <c r="S23" s="715">
        <f>F23</f>
        <v>100</v>
      </c>
      <c r="T23" s="714" t="s">
        <v>17</v>
      </c>
      <c r="U23" s="715">
        <f>H23</f>
        <v>100</v>
      </c>
      <c r="V23" s="714" t="s">
        <v>17</v>
      </c>
      <c r="W23" s="715">
        <f>J23</f>
        <v>100</v>
      </c>
      <c r="X23" s="1539"/>
      <c r="Y23" s="3290"/>
      <c r="Z23" s="1540" t="str">
        <f>Q23</f>
        <v>自然及人文环境</v>
      </c>
      <c r="AA23" s="1537">
        <f t="shared" si="3"/>
        <v>1</v>
      </c>
      <c r="AB23" s="1537">
        <f t="shared" si="4"/>
        <v>1</v>
      </c>
      <c r="AC23" s="1537">
        <f t="shared" si="5"/>
        <v>1</v>
      </c>
    </row>
    <row r="24" spans="1:29" ht="15">
      <c r="A24" s="387"/>
      <c r="B24" s="415"/>
      <c r="C24" s="406"/>
      <c r="D24" s="407"/>
      <c r="E24" s="2083"/>
      <c r="F24" s="408"/>
      <c r="G24" s="2082"/>
      <c r="H24" s="407"/>
      <c r="I24" s="2083"/>
      <c r="J24" s="407"/>
      <c r="K24" s="572"/>
      <c r="L24" s="2946"/>
      <c r="M24" s="2940"/>
      <c r="N24" s="2940"/>
      <c r="O24" s="2940"/>
      <c r="P24" s="3297"/>
      <c r="Q24" s="1536"/>
      <c r="R24" s="714"/>
      <c r="S24" s="715"/>
      <c r="T24" s="714"/>
      <c r="U24" s="715"/>
      <c r="V24" s="714"/>
      <c r="W24" s="715"/>
      <c r="X24" s="1539"/>
      <c r="Y24" s="3290"/>
      <c r="Z24" s="1540"/>
      <c r="AA24" s="1537">
        <v>1</v>
      </c>
      <c r="AB24" s="1537">
        <v>1</v>
      </c>
      <c r="AC24" s="1537">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6"/>
      <c r="M25" s="2940"/>
      <c r="N25" s="2940"/>
      <c r="O25" s="2940"/>
      <c r="P25" s="3297"/>
      <c r="Q25" s="1536" t="str">
        <f t="shared" ref="Q25:Q46" si="11">B25</f>
        <v>临街状况</v>
      </c>
      <c r="R25" s="714" t="s">
        <v>17</v>
      </c>
      <c r="S25" s="715">
        <f>F25</f>
        <v>100</v>
      </c>
      <c r="T25" s="714" t="s">
        <v>17</v>
      </c>
      <c r="U25" s="715">
        <f>H25</f>
        <v>100</v>
      </c>
      <c r="V25" s="714" t="s">
        <v>17</v>
      </c>
      <c r="W25" s="715">
        <f>J25</f>
        <v>100</v>
      </c>
      <c r="X25" s="1539"/>
      <c r="Y25" s="3290"/>
      <c r="Z25" s="1540" t="str">
        <f>Q25</f>
        <v>临街状况</v>
      </c>
      <c r="AA25" s="1537">
        <f t="shared" si="3"/>
        <v>1</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6"/>
      <c r="M26" s="2940"/>
      <c r="N26" s="2940"/>
      <c r="O26" s="2940"/>
      <c r="P26" s="3297"/>
      <c r="Q26" s="1536" t="str">
        <f t="shared" si="11"/>
        <v>平面位置/可视性</v>
      </c>
      <c r="R26" s="714" t="s">
        <v>17</v>
      </c>
      <c r="S26" s="715">
        <f>F26</f>
        <v>100</v>
      </c>
      <c r="T26" s="714" t="s">
        <v>17</v>
      </c>
      <c r="U26" s="715">
        <f>H26</f>
        <v>100</v>
      </c>
      <c r="V26" s="714" t="s">
        <v>17</v>
      </c>
      <c r="W26" s="715">
        <f>J26</f>
        <v>100</v>
      </c>
      <c r="X26" s="1539"/>
      <c r="Y26" s="3290"/>
      <c r="Z26" s="1540" t="str">
        <f>Q26</f>
        <v>平面位置/可视性</v>
      </c>
      <c r="AA26" s="1537">
        <f t="shared" si="3"/>
        <v>1</v>
      </c>
      <c r="AB26" s="1537">
        <f t="shared" si="4"/>
        <v>1</v>
      </c>
      <c r="AC26" s="1537">
        <f t="shared" si="5"/>
        <v>1</v>
      </c>
    </row>
    <row r="27" spans="1:29" s="113" customFormat="1" ht="15">
      <c r="A27" s="390"/>
      <c r="B27" s="410" t="s">
        <v>2478</v>
      </c>
      <c r="C27" s="2141"/>
      <c r="D27" s="421">
        <v>100</v>
      </c>
      <c r="E27" s="2141"/>
      <c r="F27" s="423">
        <f>SUMIF(90:90,E27,91:91)-SUMIF(90:90,C27,91:91)+100</f>
        <v>100</v>
      </c>
      <c r="G27" s="2141"/>
      <c r="H27" s="421">
        <f>SUMIF(90:90,G27,91:91)-SUMIF(90:90,C27,91:91)+100</f>
        <v>100</v>
      </c>
      <c r="I27" s="2141"/>
      <c r="J27" s="421">
        <f>SUMIF(90:90,I27,91:91)-SUMIF(90:90,C27,91:91)+100</f>
        <v>100</v>
      </c>
      <c r="K27" s="569"/>
      <c r="L27" s="2941"/>
      <c r="M27" s="2942"/>
      <c r="N27" s="2942"/>
      <c r="O27" s="2942"/>
      <c r="P27" s="3297"/>
      <c r="Q27" s="1527" t="str">
        <f t="shared" si="11"/>
        <v>人流量</v>
      </c>
      <c r="R27" s="710" t="s">
        <v>17</v>
      </c>
      <c r="S27" s="711">
        <f>F27</f>
        <v>100</v>
      </c>
      <c r="T27" s="710" t="s">
        <v>17</v>
      </c>
      <c r="U27" s="711">
        <f>H27</f>
        <v>100</v>
      </c>
      <c r="V27" s="710" t="s">
        <v>17</v>
      </c>
      <c r="W27" s="711">
        <f>J27</f>
        <v>100</v>
      </c>
      <c r="X27" s="712"/>
      <c r="Y27" s="3290"/>
      <c r="Z27" s="55" t="str">
        <f>Q27</f>
        <v>人流量</v>
      </c>
      <c r="AA27" s="1537">
        <f>D27/F27</f>
        <v>1</v>
      </c>
      <c r="AB27" s="1537">
        <f>D27/H27</f>
        <v>1</v>
      </c>
      <c r="AC27" s="1537">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6"/>
      <c r="M28" s="2940"/>
      <c r="N28" s="2940"/>
      <c r="O28" s="2940"/>
      <c r="P28" s="3297"/>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90"/>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6"/>
      <c r="M29" s="2940"/>
      <c r="N29" s="2940"/>
      <c r="O29" s="2940"/>
      <c r="P29" s="3297"/>
      <c r="Q29" s="1536">
        <f t="shared" si="11"/>
        <v>111</v>
      </c>
      <c r="R29" s="714" t="s">
        <v>17</v>
      </c>
      <c r="S29" s="715">
        <f t="shared" si="12"/>
        <v>100</v>
      </c>
      <c r="T29" s="714" t="s">
        <v>17</v>
      </c>
      <c r="U29" s="715">
        <f t="shared" si="13"/>
        <v>100</v>
      </c>
      <c r="V29" s="714" t="s">
        <v>17</v>
      </c>
      <c r="W29" s="715">
        <f t="shared" si="14"/>
        <v>100</v>
      </c>
      <c r="X29" s="1539"/>
      <c r="Y29" s="3290"/>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6"/>
      <c r="M30" s="2940"/>
      <c r="N30" s="2940"/>
      <c r="O30" s="2940"/>
      <c r="P30" s="3297"/>
      <c r="Q30" s="1536">
        <f t="shared" si="11"/>
        <v>111</v>
      </c>
      <c r="R30" s="714" t="s">
        <v>17</v>
      </c>
      <c r="S30" s="715">
        <f t="shared" si="12"/>
        <v>100</v>
      </c>
      <c r="T30" s="714" t="s">
        <v>17</v>
      </c>
      <c r="U30" s="715">
        <f t="shared" si="13"/>
        <v>100</v>
      </c>
      <c r="V30" s="714" t="s">
        <v>17</v>
      </c>
      <c r="W30" s="715">
        <f t="shared" si="14"/>
        <v>100</v>
      </c>
      <c r="X30" s="1539"/>
      <c r="Y30" s="3290"/>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6"/>
      <c r="M31" s="2940"/>
      <c r="N31" s="2940"/>
      <c r="O31" s="2940"/>
      <c r="P31" s="3297"/>
      <c r="Q31" s="1536">
        <f t="shared" si="11"/>
        <v>111</v>
      </c>
      <c r="R31" s="714" t="s">
        <v>17</v>
      </c>
      <c r="S31" s="715">
        <f t="shared" si="12"/>
        <v>100</v>
      </c>
      <c r="T31" s="714" t="s">
        <v>17</v>
      </c>
      <c r="U31" s="715">
        <f t="shared" si="13"/>
        <v>100</v>
      </c>
      <c r="V31" s="714" t="s">
        <v>17</v>
      </c>
      <c r="W31" s="715">
        <f t="shared" si="14"/>
        <v>100</v>
      </c>
      <c r="X31" s="1539"/>
      <c r="Y31" s="3290"/>
      <c r="Z31" s="1540">
        <f t="shared" si="15"/>
        <v>111</v>
      </c>
      <c r="AA31" s="1537">
        <f t="shared" si="3"/>
        <v>1</v>
      </c>
      <c r="AB31" s="1537">
        <f t="shared" si="4"/>
        <v>1</v>
      </c>
      <c r="AC31" s="1537">
        <f t="shared" si="5"/>
        <v>1</v>
      </c>
    </row>
    <row r="32" spans="1:29" ht="15">
      <c r="A32" s="399" t="s">
        <v>2383</v>
      </c>
      <c r="B32" s="67" t="s">
        <v>2480</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46"/>
      <c r="M32" s="2940"/>
      <c r="N32" s="2940"/>
      <c r="O32" s="2940"/>
      <c r="P32" s="3291" t="s">
        <v>2385</v>
      </c>
      <c r="Q32" s="1536" t="str">
        <f t="shared" si="11"/>
        <v>商业类型</v>
      </c>
      <c r="R32" s="714" t="s">
        <v>17</v>
      </c>
      <c r="S32" s="715">
        <f t="shared" si="12"/>
        <v>100</v>
      </c>
      <c r="T32" s="714" t="s">
        <v>17</v>
      </c>
      <c r="U32" s="715">
        <f t="shared" si="13"/>
        <v>100</v>
      </c>
      <c r="V32" s="714" t="s">
        <v>17</v>
      </c>
      <c r="W32" s="715">
        <f t="shared" si="14"/>
        <v>100</v>
      </c>
      <c r="X32" s="1539"/>
      <c r="Y32" s="3294" t="s">
        <v>2385</v>
      </c>
      <c r="Z32" s="1540" t="str">
        <f t="shared" si="15"/>
        <v>商业类型</v>
      </c>
      <c r="AA32" s="1537">
        <f t="shared" si="3"/>
        <v>1</v>
      </c>
      <c r="AB32" s="1537">
        <f t="shared" si="4"/>
        <v>1</v>
      </c>
      <c r="AC32" s="1537">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5"/>
      <c r="M33" s="2947"/>
      <c r="N33" s="2947"/>
      <c r="O33" s="2947"/>
      <c r="P33" s="3292"/>
      <c r="Q33" s="716" t="str">
        <f t="shared" si="11"/>
        <v>项目建筑规模</v>
      </c>
      <c r="R33" s="717" t="s">
        <v>17</v>
      </c>
      <c r="S33" s="718" t="e">
        <f t="shared" si="12"/>
        <v>#N/A</v>
      </c>
      <c r="T33" s="717" t="s">
        <v>17</v>
      </c>
      <c r="U33" s="718" t="e">
        <f t="shared" si="13"/>
        <v>#N/A</v>
      </c>
      <c r="V33" s="717" t="s">
        <v>17</v>
      </c>
      <c r="W33" s="718" t="e">
        <f t="shared" si="14"/>
        <v>#N/A</v>
      </c>
      <c r="X33" s="719"/>
      <c r="Y33" s="3294"/>
      <c r="Z33" s="720" t="str">
        <f t="shared" si="15"/>
        <v>项目建筑规模</v>
      </c>
      <c r="AA33" s="1537" t="e">
        <f t="shared" si="3"/>
        <v>#N/A</v>
      </c>
      <c r="AB33" s="1537" t="e">
        <f t="shared" si="4"/>
        <v>#N/A</v>
      </c>
      <c r="AC33" s="1537" t="e">
        <f t="shared" si="5"/>
        <v>#N/A</v>
      </c>
    </row>
    <row r="34" spans="1:29" ht="15">
      <c r="A34" s="431"/>
      <c r="B34" s="381" t="s">
        <v>2387</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46"/>
      <c r="M34" s="2940"/>
      <c r="N34" s="2940"/>
      <c r="O34" s="2940"/>
      <c r="P34" s="3292"/>
      <c r="Q34" s="1536" t="str">
        <f t="shared" si="11"/>
        <v>建筑结构</v>
      </c>
      <c r="R34" s="714" t="s">
        <v>17</v>
      </c>
      <c r="S34" s="715">
        <f t="shared" si="12"/>
        <v>100</v>
      </c>
      <c r="T34" s="714" t="s">
        <v>17</v>
      </c>
      <c r="U34" s="715">
        <f t="shared" si="13"/>
        <v>100</v>
      </c>
      <c r="V34" s="714" t="s">
        <v>17</v>
      </c>
      <c r="W34" s="715">
        <f t="shared" si="14"/>
        <v>100</v>
      </c>
      <c r="X34" s="1539"/>
      <c r="Y34" s="3294"/>
      <c r="Z34" s="1540" t="str">
        <f t="shared" si="15"/>
        <v>建筑结构</v>
      </c>
      <c r="AA34" s="1537">
        <f t="shared" si="3"/>
        <v>1</v>
      </c>
      <c r="AB34" s="1537">
        <f t="shared" si="4"/>
        <v>1</v>
      </c>
      <c r="AC34" s="1537">
        <f t="shared" si="5"/>
        <v>1</v>
      </c>
    </row>
    <row r="35" spans="1:29" ht="15">
      <c r="A35" s="431"/>
      <c r="B35" s="381" t="s">
        <v>2481</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46"/>
      <c r="M35" s="2940"/>
      <c r="N35" s="2940"/>
      <c r="O35" s="2940"/>
      <c r="P35" s="3292"/>
      <c r="Q35" s="1536" t="str">
        <f t="shared" si="11"/>
        <v>公共部分装修</v>
      </c>
      <c r="R35" s="714" t="s">
        <v>17</v>
      </c>
      <c r="S35" s="715">
        <f t="shared" si="12"/>
        <v>100</v>
      </c>
      <c r="T35" s="714" t="s">
        <v>17</v>
      </c>
      <c r="U35" s="715">
        <f t="shared" si="13"/>
        <v>100</v>
      </c>
      <c r="V35" s="714" t="s">
        <v>17</v>
      </c>
      <c r="W35" s="715">
        <f t="shared" si="14"/>
        <v>100</v>
      </c>
      <c r="X35" s="1539"/>
      <c r="Y35" s="3294"/>
      <c r="Z35" s="1540" t="str">
        <f t="shared" si="15"/>
        <v>公共部分装修</v>
      </c>
      <c r="AA35" s="1537">
        <f t="shared" si="3"/>
        <v>1</v>
      </c>
      <c r="AB35" s="1537">
        <f t="shared" si="4"/>
        <v>1</v>
      </c>
      <c r="AC35" s="1537">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6"/>
      <c r="M36" s="2940"/>
      <c r="N36" s="2940"/>
      <c r="O36" s="2940"/>
      <c r="P36" s="3292"/>
      <c r="Q36" s="1536" t="str">
        <f t="shared" si="11"/>
        <v>成新度</v>
      </c>
      <c r="R36" s="714" t="s">
        <v>17</v>
      </c>
      <c r="S36" s="715" t="e">
        <f t="shared" si="12"/>
        <v>#N/A</v>
      </c>
      <c r="T36" s="714" t="s">
        <v>17</v>
      </c>
      <c r="U36" s="715" t="e">
        <f t="shared" si="13"/>
        <v>#N/A</v>
      </c>
      <c r="V36" s="714" t="s">
        <v>17</v>
      </c>
      <c r="W36" s="715" t="e">
        <f t="shared" si="14"/>
        <v>#N/A</v>
      </c>
      <c r="X36" s="1539"/>
      <c r="Y36" s="3294"/>
      <c r="Z36" s="1540" t="str">
        <f t="shared" si="15"/>
        <v>成新度</v>
      </c>
      <c r="AA36" s="1537" t="e">
        <f t="shared" si="3"/>
        <v>#N/A</v>
      </c>
      <c r="AB36" s="1537" t="e">
        <f t="shared" si="4"/>
        <v>#N/A</v>
      </c>
      <c r="AC36" s="1537" t="e">
        <f t="shared" si="5"/>
        <v>#N/A</v>
      </c>
    </row>
    <row r="37" spans="1:29" s="113" customFormat="1" ht="15">
      <c r="A37" s="432"/>
      <c r="B37" s="381" t="s">
        <v>2483</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1"/>
      <c r="M37" s="2942"/>
      <c r="N37" s="2942"/>
      <c r="O37" s="2942"/>
      <c r="P37" s="3292"/>
      <c r="Q37" s="1527" t="str">
        <f t="shared" si="11"/>
        <v>市政基础设施</v>
      </c>
      <c r="R37" s="710" t="s">
        <v>17</v>
      </c>
      <c r="S37" s="711">
        <f t="shared" si="12"/>
        <v>100</v>
      </c>
      <c r="T37" s="710" t="s">
        <v>17</v>
      </c>
      <c r="U37" s="711">
        <f t="shared" si="13"/>
        <v>100</v>
      </c>
      <c r="V37" s="710" t="s">
        <v>17</v>
      </c>
      <c r="W37" s="711">
        <f t="shared" si="14"/>
        <v>100</v>
      </c>
      <c r="X37" s="712"/>
      <c r="Y37" s="3294"/>
      <c r="Z37" s="55" t="str">
        <f t="shared" si="15"/>
        <v>市政基础设施</v>
      </c>
      <c r="AA37" s="713">
        <f t="shared" si="3"/>
        <v>1</v>
      </c>
      <c r="AB37" s="713">
        <f t="shared" si="4"/>
        <v>1</v>
      </c>
      <c r="AC37" s="713">
        <f t="shared" si="5"/>
        <v>1</v>
      </c>
    </row>
    <row r="38" spans="1:29" ht="15">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46"/>
      <c r="M38" s="2940"/>
      <c r="N38" s="2940"/>
      <c r="O38" s="2940"/>
      <c r="P38" s="3292" t="s">
        <v>2385</v>
      </c>
      <c r="Q38" s="1536" t="str">
        <f t="shared" si="11"/>
        <v>业态</v>
      </c>
      <c r="R38" s="714" t="s">
        <v>17</v>
      </c>
      <c r="S38" s="715">
        <f t="shared" si="12"/>
        <v>100</v>
      </c>
      <c r="T38" s="714" t="s">
        <v>17</v>
      </c>
      <c r="U38" s="715">
        <f t="shared" si="13"/>
        <v>100</v>
      </c>
      <c r="V38" s="714" t="s">
        <v>17</v>
      </c>
      <c r="W38" s="715">
        <f t="shared" si="14"/>
        <v>100</v>
      </c>
      <c r="X38" s="1539"/>
      <c r="Y38" s="3294" t="s">
        <v>2385</v>
      </c>
      <c r="Z38" s="1540" t="str">
        <f t="shared" si="15"/>
        <v>业态</v>
      </c>
      <c r="AA38" s="1537">
        <f t="shared" si="3"/>
        <v>1</v>
      </c>
      <c r="AB38" s="1537">
        <f t="shared" si="4"/>
        <v>1</v>
      </c>
      <c r="AC38" s="1537">
        <f t="shared" si="5"/>
        <v>1</v>
      </c>
    </row>
    <row r="39" spans="1:29" ht="15">
      <c r="A39" s="431"/>
      <c r="B39" s="381" t="s">
        <v>2485</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46"/>
      <c r="M39" s="2940"/>
      <c r="N39" s="2940"/>
      <c r="O39" s="2940"/>
      <c r="P39" s="3292"/>
      <c r="Q39" s="1536" t="str">
        <f t="shared" si="11"/>
        <v>层高</v>
      </c>
      <c r="R39" s="714" t="s">
        <v>17</v>
      </c>
      <c r="S39" s="715">
        <f t="shared" si="12"/>
        <v>100</v>
      </c>
      <c r="T39" s="714" t="s">
        <v>17</v>
      </c>
      <c r="U39" s="715">
        <f t="shared" si="13"/>
        <v>100</v>
      </c>
      <c r="V39" s="714" t="s">
        <v>17</v>
      </c>
      <c r="W39" s="715">
        <f t="shared" si="14"/>
        <v>100</v>
      </c>
      <c r="X39" s="1539"/>
      <c r="Y39" s="3294"/>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6"/>
      <c r="M40" s="2940"/>
      <c r="N40" s="2940"/>
      <c r="O40" s="2940"/>
      <c r="P40" s="3292"/>
      <c r="Q40" s="1536" t="str">
        <f t="shared" si="11"/>
        <v>单套建筑面积</v>
      </c>
      <c r="R40" s="714" t="s">
        <v>17</v>
      </c>
      <c r="S40" s="715">
        <f t="shared" si="12"/>
        <v>100</v>
      </c>
      <c r="T40" s="714" t="s">
        <v>17</v>
      </c>
      <c r="U40" s="715">
        <f t="shared" si="13"/>
        <v>100</v>
      </c>
      <c r="V40" s="714" t="s">
        <v>17</v>
      </c>
      <c r="W40" s="715">
        <f t="shared" si="14"/>
        <v>100</v>
      </c>
      <c r="X40" s="1539"/>
      <c r="Y40" s="3294"/>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5"/>
      <c r="M41" s="2947"/>
      <c r="N41" s="2947"/>
      <c r="O41" s="2947"/>
      <c r="P41" s="3292"/>
      <c r="Q41" s="716" t="str">
        <f t="shared" si="11"/>
        <v>进深比</v>
      </c>
      <c r="R41" s="717" t="s">
        <v>17</v>
      </c>
      <c r="S41" s="718">
        <f t="shared" si="12"/>
        <v>100</v>
      </c>
      <c r="T41" s="717" t="s">
        <v>17</v>
      </c>
      <c r="U41" s="718">
        <f t="shared" si="13"/>
        <v>100</v>
      </c>
      <c r="V41" s="717" t="s">
        <v>17</v>
      </c>
      <c r="W41" s="718">
        <f t="shared" si="14"/>
        <v>100</v>
      </c>
      <c r="X41" s="719"/>
      <c r="Y41" s="3294"/>
      <c r="Z41" s="720" t="str">
        <f t="shared" si="15"/>
        <v>进深比</v>
      </c>
      <c r="AA41" s="1537">
        <f t="shared" si="3"/>
        <v>1</v>
      </c>
      <c r="AB41" s="1537">
        <f t="shared" si="4"/>
        <v>1</v>
      </c>
      <c r="AC41" s="1537">
        <f t="shared" si="5"/>
        <v>1</v>
      </c>
    </row>
    <row r="42" spans="1:29" ht="15">
      <c r="A42" s="431"/>
      <c r="B42" s="381" t="s">
        <v>2488</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46"/>
      <c r="M42" s="2940"/>
      <c r="N42" s="2940"/>
      <c r="O42" s="2940"/>
      <c r="P42" s="3292"/>
      <c r="Q42" s="1536" t="str">
        <f t="shared" si="11"/>
        <v>内部装修</v>
      </c>
      <c r="R42" s="714" t="s">
        <v>17</v>
      </c>
      <c r="S42" s="715">
        <f t="shared" si="12"/>
        <v>100</v>
      </c>
      <c r="T42" s="714" t="s">
        <v>17</v>
      </c>
      <c r="U42" s="715">
        <f t="shared" si="13"/>
        <v>100</v>
      </c>
      <c r="V42" s="714" t="s">
        <v>17</v>
      </c>
      <c r="W42" s="715">
        <f t="shared" si="14"/>
        <v>100</v>
      </c>
      <c r="X42" s="1539"/>
      <c r="Y42" s="3294"/>
      <c r="Z42" s="1540" t="str">
        <f t="shared" si="15"/>
        <v>内部装修</v>
      </c>
      <c r="AA42" s="1537">
        <f t="shared" si="3"/>
        <v>1</v>
      </c>
      <c r="AB42" s="1537">
        <f t="shared" si="4"/>
        <v>1</v>
      </c>
      <c r="AC42" s="1537">
        <f t="shared" si="5"/>
        <v>1</v>
      </c>
    </row>
    <row r="43" spans="1:29" ht="15">
      <c r="A43" s="431"/>
      <c r="B43" s="381" t="s">
        <v>2396</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46"/>
      <c r="M43" s="2940"/>
      <c r="N43" s="2940"/>
      <c r="O43" s="2940"/>
      <c r="P43" s="3292"/>
      <c r="Q43" s="1536" t="str">
        <f t="shared" si="11"/>
        <v>内部装修维护情况</v>
      </c>
      <c r="R43" s="714" t="s">
        <v>17</v>
      </c>
      <c r="S43" s="715">
        <f t="shared" si="12"/>
        <v>100</v>
      </c>
      <c r="T43" s="714" t="s">
        <v>17</v>
      </c>
      <c r="U43" s="715">
        <f t="shared" si="13"/>
        <v>100</v>
      </c>
      <c r="V43" s="714" t="s">
        <v>17</v>
      </c>
      <c r="W43" s="715">
        <f t="shared" si="14"/>
        <v>100</v>
      </c>
      <c r="X43" s="1539"/>
      <c r="Y43" s="3294"/>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1"/>
      <c r="M44" s="2942"/>
      <c r="N44" s="2942"/>
      <c r="O44" s="2942"/>
      <c r="P44" s="3292"/>
      <c r="Q44" s="1527">
        <f t="shared" si="11"/>
        <v>111</v>
      </c>
      <c r="R44" s="710" t="s">
        <v>17</v>
      </c>
      <c r="S44" s="711">
        <f t="shared" si="12"/>
        <v>100</v>
      </c>
      <c r="T44" s="710" t="s">
        <v>17</v>
      </c>
      <c r="U44" s="711">
        <f t="shared" si="13"/>
        <v>100</v>
      </c>
      <c r="V44" s="710" t="s">
        <v>17</v>
      </c>
      <c r="W44" s="711">
        <f t="shared" si="14"/>
        <v>100</v>
      </c>
      <c r="X44" s="712"/>
      <c r="Y44" s="3294"/>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6"/>
      <c r="M45" s="2940"/>
      <c r="N45" s="2940"/>
      <c r="O45" s="2940"/>
      <c r="P45" s="3292"/>
      <c r="Q45" s="1536">
        <f t="shared" si="11"/>
        <v>111</v>
      </c>
      <c r="R45" s="714" t="s">
        <v>17</v>
      </c>
      <c r="S45" s="715">
        <f t="shared" si="12"/>
        <v>100</v>
      </c>
      <c r="T45" s="714" t="s">
        <v>17</v>
      </c>
      <c r="U45" s="715">
        <f t="shared" si="13"/>
        <v>100</v>
      </c>
      <c r="V45" s="714" t="s">
        <v>17</v>
      </c>
      <c r="W45" s="715">
        <f t="shared" si="14"/>
        <v>100</v>
      </c>
      <c r="X45" s="1539"/>
      <c r="Y45" s="3294"/>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6"/>
      <c r="M46" s="2940"/>
      <c r="N46" s="2940"/>
      <c r="O46" s="2940"/>
      <c r="P46" s="3293"/>
      <c r="Q46" s="1536">
        <f t="shared" si="11"/>
        <v>111</v>
      </c>
      <c r="R46" s="714" t="s">
        <v>17</v>
      </c>
      <c r="S46" s="715">
        <f t="shared" si="12"/>
        <v>100</v>
      </c>
      <c r="T46" s="714" t="s">
        <v>17</v>
      </c>
      <c r="U46" s="715">
        <f t="shared" si="13"/>
        <v>100</v>
      </c>
      <c r="V46" s="714" t="s">
        <v>17</v>
      </c>
      <c r="W46" s="715">
        <f t="shared" si="14"/>
        <v>100</v>
      </c>
      <c r="X46" s="1539"/>
      <c r="Y46" s="3295"/>
      <c r="Z46" s="1540">
        <f t="shared" si="15"/>
        <v>111</v>
      </c>
      <c r="AA46" s="1537">
        <f t="shared" si="3"/>
        <v>1</v>
      </c>
      <c r="AB46" s="1537">
        <f t="shared" si="4"/>
        <v>1</v>
      </c>
      <c r="AC46" s="1537">
        <f t="shared" si="5"/>
        <v>1</v>
      </c>
    </row>
    <row r="47" spans="1:29" ht="15">
      <c r="A47" s="438" t="s">
        <v>2397</v>
      </c>
      <c r="B47" s="439"/>
      <c r="C47" s="1316" t="s">
        <v>1</v>
      </c>
      <c r="D47" s="1317"/>
      <c r="E47" s="1318"/>
      <c r="F47" s="1319"/>
      <c r="G47" s="1320"/>
      <c r="H47" s="1321"/>
      <c r="I47" s="1318"/>
      <c r="J47" s="1321"/>
      <c r="K47" s="723"/>
      <c r="L47" s="2948"/>
      <c r="M47" s="2949"/>
      <c r="N47" s="2940"/>
      <c r="O47" s="2949"/>
      <c r="P47" s="3287" t="str">
        <f>A47</f>
        <v>成交单价（元/平方米）</v>
      </c>
      <c r="Q47" s="3287"/>
      <c r="R47" s="3318">
        <f>E47</f>
        <v>0</v>
      </c>
      <c r="S47" s="3318"/>
      <c r="T47" s="3318">
        <f>G47</f>
        <v>0</v>
      </c>
      <c r="U47" s="3318"/>
      <c r="V47" s="3318">
        <f>I47</f>
        <v>0</v>
      </c>
      <c r="W47" s="3318"/>
      <c r="X47" s="699"/>
      <c r="Y47" s="721"/>
      <c r="Z47" s="699"/>
      <c r="AA47" s="699"/>
      <c r="AB47" s="699"/>
      <c r="AC47" s="699"/>
    </row>
    <row r="48" spans="1:29" ht="15.75" thickBot="1">
      <c r="A48" s="445" t="s">
        <v>2489</v>
      </c>
      <c r="B48" s="446"/>
      <c r="C48" s="1322" t="e">
        <f>R49</f>
        <v>#DIV/0!</v>
      </c>
      <c r="D48" s="2537" t="s">
        <v>2880</v>
      </c>
      <c r="E48" s="1323" t="e">
        <f>R48</f>
        <v>#DIV/0!</v>
      </c>
      <c r="F48" s="2538"/>
      <c r="G48" s="1322" t="e">
        <f>T48</f>
        <v>#DIV/0!</v>
      </c>
      <c r="H48" s="2538"/>
      <c r="I48" s="1323" t="e">
        <f>V48</f>
        <v>#DIV/0!</v>
      </c>
      <c r="J48" s="2538"/>
      <c r="K48" s="2540">
        <f>F48+H48+J48</f>
        <v>0</v>
      </c>
      <c r="L48" s="2948"/>
      <c r="M48" s="2949"/>
      <c r="N48" s="2940"/>
      <c r="O48" s="2949"/>
      <c r="P48" s="3287" t="str">
        <f>A48</f>
        <v>比较价值（元/平方米）</v>
      </c>
      <c r="Q48" s="3287"/>
      <c r="R48" s="3288" t="e">
        <f>IF(F1="售价",ROUND(PRODUCT(R47,AA7:AA46),0),ROUND(PRODUCT(R47,AA7:AA46),1))</f>
        <v>#DIV/0!</v>
      </c>
      <c r="S48" s="3288"/>
      <c r="T48" s="3288" t="e">
        <f>IF(F1="售价",ROUND(PRODUCT(T47,AB7:AB46),0),ROUND(PRODUCT(T47,AB7:AB46),1))</f>
        <v>#DIV/0!</v>
      </c>
      <c r="U48" s="3288"/>
      <c r="V48" s="3288" t="e">
        <f>IF(F1="售价",ROUND(PRODUCT(V47,AC7:AC46),0),ROUND(PRODUCT(V47,AC7:AC46),1))</f>
        <v>#DIV/0!</v>
      </c>
      <c r="W48" s="3288"/>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48"/>
      <c r="M49" s="2949"/>
      <c r="N49" s="2940"/>
      <c r="O49" s="2949"/>
      <c r="P49" s="3284" t="str">
        <f>A49</f>
        <v>估价对象XX用房的比较价值（楼面单价，元/平方米）</v>
      </c>
      <c r="Q49" s="3285"/>
      <c r="R49" s="3286" t="e">
        <f>IF(F1="售价",ROUND(IF(D48="简单平均",AVERAGE(R48:V48),R48*F48+T48*H48+V48*J48),0),ROUND(IF(D48="简单平均",AVERAGE(R48:V48),R48*F48+T48*H48+V48*J48),1))</f>
        <v>#DIV/0!</v>
      </c>
      <c r="S49" s="3286"/>
      <c r="T49" s="3286"/>
      <c r="U49" s="3286"/>
      <c r="V49" s="3286"/>
      <c r="W49" s="3286"/>
      <c r="X49" s="699"/>
      <c r="Y49" s="699"/>
      <c r="Z49" s="699"/>
      <c r="AA49" s="699"/>
      <c r="AB49" s="699"/>
      <c r="AC49" s="699"/>
    </row>
    <row r="50" spans="1:29">
      <c r="A50" s="2949"/>
      <c r="B50" s="2949"/>
      <c r="C50" s="2949"/>
      <c r="D50" s="2949"/>
      <c r="E50" s="2949"/>
      <c r="F50" s="2949"/>
      <c r="G50" s="2953"/>
      <c r="H50" s="2949"/>
      <c r="I50" s="2949"/>
      <c r="J50" s="2949"/>
      <c r="K50" s="2954"/>
      <c r="L50" s="2950"/>
      <c r="M50" s="2949"/>
      <c r="N50" s="2949"/>
      <c r="O50" s="2949"/>
      <c r="P50" s="2960"/>
      <c r="Q50" s="2949"/>
      <c r="R50" s="2949"/>
      <c r="S50" s="2949"/>
      <c r="T50" s="2949"/>
      <c r="U50" s="2949"/>
      <c r="V50" s="2949"/>
      <c r="W50" s="2949"/>
      <c r="X50" s="2949"/>
      <c r="Y50" s="2949"/>
      <c r="Z50" s="2949"/>
      <c r="AA50" s="2949"/>
      <c r="AB50" s="2949"/>
      <c r="AC50" s="2949"/>
    </row>
    <row r="51" spans="1:29">
      <c r="A51" s="2949"/>
      <c r="B51" s="2949"/>
      <c r="C51" s="2949"/>
      <c r="D51" s="2949"/>
      <c r="E51" s="2949"/>
      <c r="F51" s="2949"/>
      <c r="G51" s="2949"/>
      <c r="H51" s="2949"/>
      <c r="I51" s="2949"/>
      <c r="J51" s="2949"/>
      <c r="K51" s="2954"/>
      <c r="L51" s="2950"/>
      <c r="M51" s="2949"/>
      <c r="N51" s="2949"/>
      <c r="O51" s="2949"/>
      <c r="P51" s="2960"/>
      <c r="Q51" s="2949"/>
      <c r="R51" s="2949"/>
      <c r="S51" s="2949"/>
      <c r="T51" s="2949"/>
      <c r="U51" s="2949"/>
      <c r="V51" s="2949"/>
      <c r="W51" s="2949"/>
      <c r="X51" s="2949"/>
      <c r="Y51" s="2949"/>
      <c r="Z51" s="2949"/>
      <c r="AA51" s="2949"/>
      <c r="AB51" s="2949"/>
      <c r="AC51" s="2949"/>
    </row>
    <row r="52" spans="1:29" ht="13.5" customHeight="1">
      <c r="A52" s="2949"/>
      <c r="B52" s="2949"/>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4"/>
      <c r="L52" s="2950"/>
      <c r="M52" s="2949"/>
      <c r="N52" s="2949"/>
      <c r="O52" s="2949"/>
      <c r="P52" s="2960"/>
      <c r="Q52" s="2949"/>
      <c r="R52" s="2949"/>
      <c r="S52" s="2949"/>
      <c r="T52" s="2949"/>
      <c r="U52" s="2949"/>
      <c r="V52" s="2949"/>
      <c r="W52" s="2949"/>
      <c r="X52" s="2949"/>
      <c r="Y52" s="2949"/>
      <c r="Z52" s="2949"/>
      <c r="AA52" s="2949"/>
      <c r="AB52" s="2949"/>
      <c r="AC52" s="2949"/>
    </row>
    <row r="53" spans="1:29" ht="13.5" customHeight="1">
      <c r="A53" s="2949"/>
      <c r="B53" s="2949"/>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4"/>
      <c r="L53" s="2950"/>
      <c r="M53" s="2949"/>
      <c r="N53" s="2949"/>
      <c r="O53" s="2949"/>
      <c r="P53" s="2960"/>
      <c r="Q53" s="2949"/>
      <c r="R53" s="2949"/>
      <c r="S53" s="2949"/>
      <c r="T53" s="2949"/>
      <c r="U53" s="2949"/>
      <c r="V53" s="2949"/>
      <c r="W53" s="2949"/>
      <c r="X53" s="2949"/>
      <c r="Y53" s="2949"/>
      <c r="Z53" s="2949"/>
      <c r="AA53" s="2949"/>
      <c r="AB53" s="2949"/>
      <c r="AC53" s="2949"/>
    </row>
    <row r="54" spans="1:29" s="459" customFormat="1" ht="13.5" customHeight="1">
      <c r="A54" s="2952"/>
      <c r="B54" s="2952"/>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7"/>
      <c r="L54" s="2951"/>
      <c r="M54" s="2952"/>
      <c r="N54" s="2952"/>
      <c r="O54" s="2952"/>
      <c r="P54" s="2961"/>
      <c r="Q54" s="2952"/>
      <c r="R54" s="2952"/>
      <c r="S54" s="2952"/>
      <c r="T54" s="2952"/>
      <c r="U54" s="2952"/>
      <c r="V54" s="2952"/>
      <c r="W54" s="2952"/>
      <c r="X54" s="2952"/>
      <c r="Y54" s="2952"/>
      <c r="Z54" s="2952"/>
      <c r="AA54" s="2952"/>
      <c r="AB54" s="2952"/>
      <c r="AC54" s="2952"/>
    </row>
    <row r="55" spans="1:29" s="459" customFormat="1">
      <c r="A55" s="2952"/>
      <c r="B55" s="2955"/>
      <c r="C55" s="2956"/>
      <c r="D55" s="2952"/>
      <c r="E55" s="2952"/>
      <c r="F55" s="2952"/>
      <c r="G55" s="2952"/>
      <c r="H55" s="2952"/>
      <c r="I55" s="2952"/>
      <c r="J55" s="2952"/>
      <c r="K55" s="2957"/>
      <c r="L55" s="2951"/>
      <c r="M55" s="2952"/>
      <c r="N55" s="2952"/>
      <c r="O55" s="2952"/>
      <c r="P55" s="2961"/>
      <c r="Q55" s="2952"/>
      <c r="R55" s="2952"/>
      <c r="S55" s="2952"/>
      <c r="T55" s="2952"/>
      <c r="U55" s="2952"/>
      <c r="V55" s="2952"/>
      <c r="W55" s="2952"/>
      <c r="X55" s="2952"/>
      <c r="Y55" s="2952"/>
      <c r="Z55" s="2952"/>
      <c r="AA55" s="2952"/>
      <c r="AB55" s="2952"/>
      <c r="AC55" s="2952"/>
    </row>
    <row r="56" spans="1:29">
      <c r="A56" s="2949"/>
      <c r="B56" s="2955"/>
      <c r="C56" s="2956"/>
      <c r="D56" s="2949"/>
      <c r="E56" s="2949"/>
      <c r="F56" s="2949"/>
      <c r="G56" s="2949"/>
      <c r="H56" s="2949"/>
      <c r="I56" s="2949"/>
      <c r="J56" s="2949"/>
      <c r="K56" s="2954"/>
      <c r="L56" s="2950"/>
      <c r="M56" s="2949"/>
      <c r="N56" s="2949"/>
      <c r="O56" s="2949"/>
      <c r="P56" s="2960"/>
      <c r="Q56" s="2949"/>
      <c r="R56" s="2949"/>
      <c r="S56" s="2949"/>
      <c r="T56" s="2949"/>
      <c r="U56" s="2949"/>
      <c r="V56" s="2949"/>
      <c r="W56" s="2949"/>
      <c r="X56" s="2949"/>
      <c r="Y56" s="2949"/>
      <c r="Z56" s="2949"/>
      <c r="AA56" s="2949"/>
      <c r="AB56" s="2949"/>
      <c r="AC56" s="2949"/>
    </row>
    <row r="57" spans="1:29" ht="21.75" thickBot="1">
      <c r="A57" s="703" t="s">
        <v>2494</v>
      </c>
      <c r="B57" s="699"/>
      <c r="C57" s="704"/>
      <c r="D57" s="704"/>
      <c r="E57" s="704"/>
      <c r="F57" s="705"/>
      <c r="G57" s="705"/>
      <c r="H57" s="704"/>
      <c r="I57" s="704"/>
      <c r="J57" s="704"/>
      <c r="K57" s="706"/>
      <c r="L57" s="1073"/>
      <c r="M57" s="1071"/>
      <c r="N57" s="1071"/>
      <c r="O57" s="1071"/>
      <c r="P57" s="2962"/>
      <c r="Q57" s="2963"/>
      <c r="R57" s="2949"/>
      <c r="S57" s="2949"/>
      <c r="T57" s="2949"/>
      <c r="U57" s="2949"/>
      <c r="V57" s="2949"/>
      <c r="W57" s="2949"/>
      <c r="X57" s="2949"/>
      <c r="Y57" s="2949"/>
      <c r="Z57" s="2949"/>
      <c r="AA57" s="2949"/>
      <c r="AB57" s="2949"/>
      <c r="AC57" s="2949"/>
    </row>
    <row r="58" spans="1:29" s="465" customFormat="1" ht="15">
      <c r="A58" s="462" t="s">
        <v>2368</v>
      </c>
      <c r="B58" s="463"/>
      <c r="C58" s="1346" t="str">
        <f>YEAR(C7)&amp;"-"&amp;MONTH(C7)</f>
        <v>2021-11</v>
      </c>
      <c r="D58" s="1347">
        <f>EDATE(C58,-1)</f>
        <v>44470</v>
      </c>
      <c r="E58" s="1347">
        <f t="shared" ref="E58:N58" si="16">EDATE(D58,-1)</f>
        <v>44440</v>
      </c>
      <c r="F58" s="1347">
        <f t="shared" si="16"/>
        <v>44409</v>
      </c>
      <c r="G58" s="1347">
        <f t="shared" si="16"/>
        <v>44378</v>
      </c>
      <c r="H58" s="1347">
        <f t="shared" si="16"/>
        <v>44348</v>
      </c>
      <c r="I58" s="1347">
        <f t="shared" si="16"/>
        <v>44317</v>
      </c>
      <c r="J58" s="1347">
        <f t="shared" si="16"/>
        <v>44287</v>
      </c>
      <c r="K58" s="1347">
        <f t="shared" si="16"/>
        <v>44256</v>
      </c>
      <c r="L58" s="1347">
        <f t="shared" si="16"/>
        <v>44228</v>
      </c>
      <c r="M58" s="1347">
        <f t="shared" si="16"/>
        <v>44197</v>
      </c>
      <c r="N58" s="1347">
        <f t="shared" si="16"/>
        <v>44166</v>
      </c>
      <c r="O58" s="1347">
        <f>EDATE(N58,-1)</f>
        <v>44136</v>
      </c>
      <c r="P58" s="2964"/>
      <c r="Q58" s="2965"/>
      <c r="R58" s="2965"/>
      <c r="S58" s="2965"/>
      <c r="T58" s="2965"/>
      <c r="U58" s="2965"/>
      <c r="V58" s="2965"/>
      <c r="W58" s="2965"/>
      <c r="X58" s="2965"/>
      <c r="Y58" s="2965"/>
      <c r="Z58" s="2965"/>
      <c r="AA58" s="2965"/>
      <c r="AB58" s="2965"/>
      <c r="AC58" s="2965"/>
    </row>
    <row r="59" spans="1:29" s="113" customFormat="1" ht="15">
      <c r="A59" s="466"/>
      <c r="B59" s="467"/>
      <c r="C59" s="1345">
        <v>100</v>
      </c>
      <c r="D59" s="469"/>
      <c r="E59" s="469"/>
      <c r="F59" s="469"/>
      <c r="G59" s="469"/>
      <c r="H59" s="469"/>
      <c r="I59" s="469"/>
      <c r="J59" s="469"/>
      <c r="K59" s="469"/>
      <c r="L59" s="469"/>
      <c r="M59" s="470"/>
      <c r="N59" s="469"/>
      <c r="O59" s="470"/>
      <c r="P59" s="2966"/>
      <c r="Q59" s="2884"/>
      <c r="R59" s="2884"/>
      <c r="S59" s="2884"/>
      <c r="T59" s="2884"/>
      <c r="U59" s="2884"/>
      <c r="V59" s="2884"/>
      <c r="W59" s="2884"/>
      <c r="X59" s="2884"/>
      <c r="Y59" s="2884"/>
      <c r="Z59" s="2884"/>
      <c r="AA59" s="2884"/>
      <c r="AB59" s="2884"/>
      <c r="AC59" s="2884"/>
    </row>
    <row r="60" spans="1:29" s="113" customFormat="1" ht="15.75" thickBot="1">
      <c r="A60" s="472" t="s">
        <v>2405</v>
      </c>
      <c r="B60" s="473"/>
      <c r="C60" s="474"/>
      <c r="D60" s="475"/>
      <c r="E60" s="475"/>
      <c r="F60" s="475"/>
      <c r="G60" s="475"/>
      <c r="H60" s="475"/>
      <c r="I60" s="475"/>
      <c r="J60" s="475"/>
      <c r="K60" s="475"/>
      <c r="L60" s="475"/>
      <c r="M60" s="476"/>
      <c r="N60" s="475"/>
      <c r="O60" s="476"/>
      <c r="P60" s="2966"/>
      <c r="Q60" s="2963"/>
      <c r="R60" s="2884"/>
      <c r="S60" s="2884"/>
      <c r="T60" s="2884"/>
      <c r="U60" s="2884"/>
      <c r="V60" s="2884"/>
      <c r="W60" s="2884"/>
      <c r="X60" s="2884"/>
      <c r="Y60" s="2884"/>
      <c r="Z60" s="2884"/>
      <c r="AA60" s="2884"/>
      <c r="AB60" s="2884"/>
      <c r="AC60" s="2884"/>
    </row>
    <row r="61" spans="1:29" s="113" customFormat="1" ht="15">
      <c r="A61" s="478" t="s">
        <v>2370</v>
      </c>
      <c r="B61" s="467"/>
      <c r="C61" s="479" t="s">
        <v>2472</v>
      </c>
      <c r="D61" s="480"/>
      <c r="E61" s="480"/>
      <c r="F61" s="480"/>
      <c r="G61" s="480"/>
      <c r="H61" s="480"/>
      <c r="I61" s="480"/>
      <c r="J61" s="480"/>
      <c r="K61" s="480"/>
      <c r="L61" s="481"/>
      <c r="M61" s="482"/>
      <c r="N61" s="2976"/>
      <c r="O61" s="2976"/>
      <c r="P61" s="2967"/>
      <c r="Q61" s="2963"/>
      <c r="R61" s="2884"/>
      <c r="S61" s="2884"/>
      <c r="T61" s="2884"/>
      <c r="U61" s="2884"/>
      <c r="V61" s="2884"/>
      <c r="W61" s="2884"/>
      <c r="X61" s="2884"/>
      <c r="Y61" s="2884"/>
      <c r="Z61" s="2884"/>
      <c r="AA61" s="2884"/>
      <c r="AB61" s="2884"/>
      <c r="AC61" s="2884"/>
    </row>
    <row r="62" spans="1:29" s="113" customFormat="1" ht="15.75" thickBot="1">
      <c r="A62" s="478"/>
      <c r="B62" s="467"/>
      <c r="C62" s="468">
        <v>100</v>
      </c>
      <c r="D62" s="469"/>
      <c r="E62" s="469"/>
      <c r="F62" s="469"/>
      <c r="G62" s="469"/>
      <c r="H62" s="469"/>
      <c r="I62" s="469"/>
      <c r="J62" s="469"/>
      <c r="K62" s="469"/>
      <c r="L62" s="469"/>
      <c r="M62" s="471"/>
      <c r="N62" s="2976"/>
      <c r="O62" s="2976"/>
      <c r="P62" s="2966"/>
      <c r="Q62" s="2963"/>
      <c r="R62" s="2884"/>
      <c r="S62" s="2884"/>
      <c r="T62" s="2884"/>
      <c r="U62" s="2884"/>
      <c r="V62" s="2884"/>
      <c r="W62" s="2884"/>
      <c r="X62" s="2884"/>
      <c r="Y62" s="2884"/>
      <c r="Z62" s="2884"/>
      <c r="AA62" s="2884"/>
      <c r="AB62" s="2884"/>
      <c r="AC62" s="2884"/>
    </row>
    <row r="63" spans="1:29">
      <c r="A63" s="484" t="s">
        <v>2408</v>
      </c>
      <c r="B63" s="485" t="s">
        <v>2374</v>
      </c>
      <c r="C63" s="486">
        <f>C9</f>
        <v>0</v>
      </c>
      <c r="D63" s="487"/>
      <c r="E63" s="487"/>
      <c r="F63" s="487"/>
      <c r="G63" s="487"/>
      <c r="H63" s="487"/>
      <c r="I63" s="487"/>
      <c r="J63" s="487"/>
      <c r="K63" s="488"/>
      <c r="L63" s="489"/>
      <c r="M63" s="490"/>
      <c r="N63" s="2977"/>
      <c r="O63" s="2977"/>
      <c r="P63" s="2968"/>
      <c r="Q63" s="2963"/>
      <c r="R63" s="2949"/>
      <c r="S63" s="2949"/>
      <c r="T63" s="2949"/>
      <c r="U63" s="2949"/>
      <c r="V63" s="2949"/>
      <c r="W63" s="2949"/>
      <c r="X63" s="2949"/>
      <c r="Y63" s="2949"/>
      <c r="Z63" s="2949"/>
      <c r="AA63" s="2949"/>
      <c r="AB63" s="2949"/>
      <c r="AC63" s="2949"/>
    </row>
    <row r="64" spans="1:29" ht="15.75" thickBot="1">
      <c r="A64" s="491"/>
      <c r="B64" s="492"/>
      <c r="C64" s="493">
        <v>100</v>
      </c>
      <c r="D64" s="493"/>
      <c r="E64" s="493"/>
      <c r="F64" s="493"/>
      <c r="G64" s="493"/>
      <c r="H64" s="493"/>
      <c r="I64" s="493"/>
      <c r="J64" s="493"/>
      <c r="K64" s="493"/>
      <c r="L64" s="493"/>
      <c r="M64" s="494"/>
      <c r="N64" s="2978"/>
      <c r="O64" s="2978"/>
      <c r="P64" s="2968"/>
      <c r="Q64" s="2963"/>
      <c r="R64" s="2949"/>
      <c r="S64" s="2949"/>
      <c r="T64" s="2949"/>
      <c r="U64" s="2949"/>
      <c r="V64" s="2949"/>
      <c r="W64" s="2949"/>
      <c r="X64" s="2949"/>
      <c r="Y64" s="2949"/>
      <c r="Z64" s="2949"/>
      <c r="AA64" s="2949"/>
      <c r="AB64" s="2949"/>
      <c r="AC64" s="2949"/>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7"/>
      <c r="O65" s="2977"/>
      <c r="P65" s="2968"/>
      <c r="Q65" s="2963"/>
      <c r="R65" s="2949"/>
      <c r="S65" s="2949"/>
      <c r="T65" s="2949"/>
      <c r="U65" s="2949"/>
      <c r="V65" s="2949"/>
      <c r="W65" s="2949"/>
      <c r="X65" s="2949"/>
      <c r="Y65" s="2949"/>
      <c r="Z65" s="2949"/>
      <c r="AA65" s="2949"/>
      <c r="AB65" s="2949"/>
      <c r="AC65" s="294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8"/>
      <c r="O66" s="2978"/>
      <c r="P66" s="2968"/>
      <c r="Q66" s="2963"/>
      <c r="R66" s="2949"/>
      <c r="S66" s="2949"/>
      <c r="T66" s="2949"/>
      <c r="U66" s="2949"/>
      <c r="V66" s="2949"/>
      <c r="W66" s="2949"/>
      <c r="X66" s="2949"/>
      <c r="Y66" s="2949"/>
      <c r="Z66" s="2949"/>
      <c r="AA66" s="2949"/>
      <c r="AB66" s="2949"/>
      <c r="AC66" s="2949"/>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8"/>
      <c r="O67" s="2978"/>
      <c r="P67" s="2968"/>
      <c r="Q67" s="2963"/>
      <c r="R67" s="2949"/>
      <c r="S67" s="2949"/>
      <c r="T67" s="2949"/>
      <c r="U67" s="2949"/>
      <c r="V67" s="2949"/>
      <c r="W67" s="2949"/>
      <c r="X67" s="2949"/>
      <c r="Y67" s="2949"/>
      <c r="Z67" s="2949"/>
      <c r="AA67" s="2949"/>
      <c r="AB67" s="2949"/>
      <c r="AC67" s="2949"/>
    </row>
    <row r="68" spans="1:29" ht="15">
      <c r="A68" s="491"/>
      <c r="B68" s="505"/>
      <c r="C68" s="506"/>
      <c r="D68" s="506"/>
      <c r="E68" s="506"/>
      <c r="F68" s="506"/>
      <c r="G68" s="506"/>
      <c r="H68" s="506"/>
      <c r="I68" s="506"/>
      <c r="J68" s="506"/>
      <c r="K68" s="507"/>
      <c r="L68" s="508"/>
      <c r="M68" s="509"/>
      <c r="N68" s="2977"/>
      <c r="O68" s="2977"/>
      <c r="P68" s="2968"/>
      <c r="Q68" s="2963"/>
      <c r="R68" s="2949"/>
      <c r="S68" s="2949"/>
      <c r="T68" s="2949"/>
      <c r="U68" s="2949"/>
      <c r="V68" s="2949"/>
      <c r="W68" s="2949"/>
      <c r="X68" s="2949"/>
      <c r="Y68" s="2949"/>
      <c r="Z68" s="2949"/>
      <c r="AA68" s="2949"/>
      <c r="AB68" s="2949"/>
      <c r="AC68" s="294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8"/>
      <c r="O69" s="2978"/>
      <c r="P69" s="2968"/>
      <c r="Q69" s="2963"/>
      <c r="R69" s="2949"/>
      <c r="S69" s="2949"/>
      <c r="T69" s="2949"/>
      <c r="U69" s="2949"/>
      <c r="V69" s="2949"/>
      <c r="W69" s="2949"/>
      <c r="X69" s="2949"/>
      <c r="Y69" s="2949"/>
      <c r="Z69" s="2949"/>
      <c r="AA69" s="2949"/>
      <c r="AB69" s="2949"/>
      <c r="AC69" s="2949"/>
    </row>
    <row r="70" spans="1:29" s="430" customFormat="1" ht="15.75" thickTop="1">
      <c r="A70" s="510"/>
      <c r="B70" s="495">
        <f>B12</f>
        <v>111</v>
      </c>
      <c r="C70" s="511"/>
      <c r="D70" s="511"/>
      <c r="E70" s="511"/>
      <c r="F70" s="511"/>
      <c r="G70" s="511"/>
      <c r="H70" s="512"/>
      <c r="I70" s="512"/>
      <c r="J70" s="512"/>
      <c r="K70" s="512"/>
      <c r="L70" s="513"/>
      <c r="M70" s="514"/>
      <c r="N70" s="2979"/>
      <c r="O70" s="2979"/>
      <c r="P70" s="2969"/>
      <c r="Q70" s="2970"/>
      <c r="R70" s="2971"/>
      <c r="S70" s="2971"/>
      <c r="T70" s="2971"/>
      <c r="U70" s="2971"/>
      <c r="V70" s="2971"/>
      <c r="W70" s="2971"/>
      <c r="X70" s="2971"/>
      <c r="Y70" s="2971"/>
      <c r="Z70" s="2971"/>
      <c r="AA70" s="2971"/>
      <c r="AB70" s="2971"/>
      <c r="AC70" s="2971"/>
    </row>
    <row r="71" spans="1:29" s="430" customFormat="1" ht="15.75" thickBot="1">
      <c r="A71" s="510"/>
      <c r="B71" s="500"/>
      <c r="C71" s="517"/>
      <c r="D71" s="493"/>
      <c r="E71" s="493"/>
      <c r="F71" s="493"/>
      <c r="G71" s="493"/>
      <c r="H71" s="493"/>
      <c r="I71" s="493"/>
      <c r="J71" s="493"/>
      <c r="K71" s="493"/>
      <c r="L71" s="493"/>
      <c r="M71" s="494"/>
      <c r="N71" s="2978"/>
      <c r="O71" s="2978"/>
      <c r="P71" s="2969"/>
      <c r="Q71" s="2970"/>
      <c r="R71" s="2971"/>
      <c r="S71" s="2971"/>
      <c r="T71" s="2971"/>
      <c r="U71" s="2971"/>
      <c r="V71" s="2971"/>
      <c r="W71" s="2971"/>
      <c r="X71" s="2971"/>
      <c r="Y71" s="2971"/>
      <c r="Z71" s="2971"/>
      <c r="AA71" s="2971"/>
      <c r="AB71" s="2971"/>
      <c r="AC71" s="2971"/>
    </row>
    <row r="72" spans="1:29" s="430" customFormat="1" ht="15.75" thickTop="1">
      <c r="A72" s="510"/>
      <c r="B72" s="495">
        <f>B13</f>
        <v>111</v>
      </c>
      <c r="C72" s="511"/>
      <c r="D72" s="511"/>
      <c r="E72" s="511"/>
      <c r="F72" s="511"/>
      <c r="G72" s="511"/>
      <c r="H72" s="512"/>
      <c r="I72" s="512"/>
      <c r="J72" s="512"/>
      <c r="K72" s="512"/>
      <c r="L72" s="513"/>
      <c r="M72" s="514"/>
      <c r="N72" s="2979"/>
      <c r="O72" s="2979"/>
      <c r="P72" s="2972"/>
      <c r="Q72" s="2973"/>
      <c r="R72" s="2971"/>
      <c r="S72" s="2971"/>
      <c r="T72" s="2971"/>
      <c r="U72" s="2971"/>
      <c r="V72" s="2971"/>
      <c r="W72" s="2971"/>
      <c r="X72" s="2971"/>
      <c r="Y72" s="2971"/>
      <c r="Z72" s="2971"/>
      <c r="AA72" s="2971"/>
      <c r="AB72" s="2971"/>
      <c r="AC72" s="2971"/>
    </row>
    <row r="73" spans="1:29" s="430" customFormat="1" ht="15.75" thickBot="1">
      <c r="A73" s="510"/>
      <c r="B73" s="500"/>
      <c r="C73" s="517"/>
      <c r="D73" s="493"/>
      <c r="E73" s="493"/>
      <c r="F73" s="493"/>
      <c r="G73" s="517"/>
      <c r="H73" s="519"/>
      <c r="I73" s="519"/>
      <c r="J73" s="519"/>
      <c r="K73" s="519"/>
      <c r="L73" s="519"/>
      <c r="M73" s="520"/>
      <c r="N73" s="2979"/>
      <c r="O73" s="2979"/>
      <c r="P73" s="2969"/>
      <c r="Q73" s="2970"/>
      <c r="R73" s="2971"/>
      <c r="S73" s="2971"/>
      <c r="T73" s="2971"/>
      <c r="U73" s="2971"/>
      <c r="V73" s="2971"/>
      <c r="W73" s="2971"/>
      <c r="X73" s="2971"/>
      <c r="Y73" s="2971"/>
      <c r="Z73" s="2971"/>
      <c r="AA73" s="2971"/>
      <c r="AB73" s="2971"/>
      <c r="AC73" s="2971"/>
    </row>
    <row r="74" spans="1:29" s="430" customFormat="1" ht="15.75" thickTop="1">
      <c r="A74" s="510"/>
      <c r="B74" s="503">
        <f>B14</f>
        <v>111</v>
      </c>
      <c r="C74" s="511"/>
      <c r="D74" s="511"/>
      <c r="E74" s="511"/>
      <c r="F74" s="511"/>
      <c r="G74" s="480"/>
      <c r="H74" s="521"/>
      <c r="I74" s="521"/>
      <c r="J74" s="521"/>
      <c r="K74" s="521"/>
      <c r="L74" s="522"/>
      <c r="M74" s="523"/>
      <c r="N74" s="2979"/>
      <c r="O74" s="2979"/>
      <c r="P74" s="2974"/>
      <c r="Q74" s="2970"/>
      <c r="R74" s="2971"/>
      <c r="S74" s="2971"/>
      <c r="T74" s="2971"/>
      <c r="U74" s="2971"/>
      <c r="V74" s="2971"/>
      <c r="W74" s="2971"/>
      <c r="X74" s="2971"/>
      <c r="Y74" s="2971"/>
      <c r="Z74" s="2971"/>
      <c r="AA74" s="2971"/>
      <c r="AB74" s="2971"/>
      <c r="AC74" s="2971"/>
    </row>
    <row r="75" spans="1:29" s="430" customFormat="1" ht="15.75" thickBot="1">
      <c r="A75" s="525"/>
      <c r="B75" s="526"/>
      <c r="C75" s="527"/>
      <c r="D75" s="527"/>
      <c r="E75" s="527"/>
      <c r="F75" s="527"/>
      <c r="G75" s="527"/>
      <c r="H75" s="528"/>
      <c r="I75" s="528"/>
      <c r="J75" s="528"/>
      <c r="K75" s="528"/>
      <c r="L75" s="528"/>
      <c r="M75" s="529"/>
      <c r="N75" s="2979"/>
      <c r="O75" s="2979"/>
      <c r="P75" s="2969"/>
      <c r="Q75" s="2970"/>
      <c r="R75" s="2971"/>
      <c r="S75" s="2971"/>
      <c r="T75" s="2971"/>
      <c r="U75" s="2971"/>
      <c r="V75" s="2971"/>
      <c r="W75" s="2971"/>
      <c r="X75" s="2971"/>
      <c r="Y75" s="2971"/>
      <c r="Z75" s="2971"/>
      <c r="AA75" s="2971"/>
      <c r="AB75" s="2971"/>
      <c r="AC75" s="2971"/>
    </row>
    <row r="76" spans="1:29">
      <c r="A76" s="484" t="s">
        <v>2379</v>
      </c>
      <c r="B76" s="485" t="s">
        <v>2416</v>
      </c>
      <c r="C76" s="530" t="s">
        <v>2417</v>
      </c>
      <c r="D76" s="530" t="s">
        <v>2418</v>
      </c>
      <c r="E76" s="530" t="s">
        <v>2419</v>
      </c>
      <c r="F76" s="530" t="s">
        <v>2420</v>
      </c>
      <c r="G76" s="530" t="s">
        <v>2421</v>
      </c>
      <c r="H76" s="486"/>
      <c r="I76" s="486"/>
      <c r="J76" s="486"/>
      <c r="K76" s="531"/>
      <c r="L76" s="532"/>
      <c r="M76" s="533"/>
      <c r="N76" s="2977"/>
      <c r="O76" s="2977"/>
      <c r="P76" s="2975"/>
      <c r="Q76" s="2963"/>
      <c r="R76" s="2949"/>
      <c r="S76" s="2949"/>
      <c r="T76" s="2949"/>
      <c r="U76" s="2949"/>
      <c r="V76" s="2949"/>
      <c r="W76" s="2949"/>
      <c r="X76" s="2949"/>
      <c r="Y76" s="2949"/>
      <c r="Z76" s="2949"/>
      <c r="AA76" s="2949"/>
      <c r="AB76" s="2949"/>
      <c r="AC76" s="294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8"/>
      <c r="O77" s="2978"/>
      <c r="P77" s="2968"/>
      <c r="Q77" s="2963"/>
      <c r="R77" s="2949"/>
      <c r="S77" s="2949"/>
      <c r="T77" s="2949"/>
      <c r="U77" s="2949"/>
      <c r="V77" s="2949"/>
      <c r="W77" s="2949"/>
      <c r="X77" s="2949"/>
      <c r="Y77" s="2949"/>
      <c r="Z77" s="2949"/>
      <c r="AA77" s="2949"/>
      <c r="AB77" s="2949"/>
      <c r="AC77" s="2949"/>
    </row>
    <row r="78" spans="1:29" ht="15.75" thickTop="1">
      <c r="A78" s="491"/>
      <c r="B78" s="495" t="s">
        <v>2422</v>
      </c>
      <c r="C78" s="535" t="s">
        <v>2417</v>
      </c>
      <c r="D78" s="535" t="s">
        <v>2418</v>
      </c>
      <c r="E78" s="535" t="s">
        <v>2419</v>
      </c>
      <c r="F78" s="535" t="s">
        <v>2420</v>
      </c>
      <c r="G78" s="535" t="s">
        <v>2421</v>
      </c>
      <c r="H78" s="496"/>
      <c r="I78" s="496"/>
      <c r="J78" s="496"/>
      <c r="K78" s="497"/>
      <c r="L78" s="498"/>
      <c r="M78" s="499"/>
      <c r="N78" s="2977"/>
      <c r="O78" s="2977"/>
      <c r="P78" s="2968"/>
      <c r="Q78" s="2963"/>
      <c r="R78" s="2949"/>
      <c r="S78" s="2949"/>
      <c r="T78" s="2949"/>
      <c r="U78" s="2949"/>
      <c r="V78" s="2949"/>
      <c r="W78" s="2949"/>
      <c r="X78" s="2949"/>
      <c r="Y78" s="2949"/>
      <c r="Z78" s="2949"/>
      <c r="AA78" s="2949"/>
      <c r="AB78" s="2949"/>
      <c r="AC78" s="294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8"/>
      <c r="O79" s="2978"/>
      <c r="P79" s="2968"/>
      <c r="Q79" s="2963"/>
      <c r="R79" s="2949"/>
      <c r="S79" s="2949"/>
      <c r="T79" s="2949"/>
      <c r="U79" s="2949"/>
      <c r="V79" s="2949"/>
      <c r="W79" s="2949"/>
      <c r="X79" s="2949"/>
      <c r="Y79" s="2949"/>
      <c r="Z79" s="2949"/>
      <c r="AA79" s="2949"/>
      <c r="AB79" s="2949"/>
      <c r="AC79" s="2949"/>
    </row>
    <row r="80" spans="1:29" ht="15.75" thickTop="1">
      <c r="A80" s="491"/>
      <c r="B80" s="495" t="s">
        <v>2423</v>
      </c>
      <c r="C80" s="535" t="s">
        <v>2417</v>
      </c>
      <c r="D80" s="535" t="s">
        <v>2418</v>
      </c>
      <c r="E80" s="535" t="s">
        <v>2419</v>
      </c>
      <c r="F80" s="535" t="s">
        <v>2420</v>
      </c>
      <c r="G80" s="535" t="s">
        <v>2421</v>
      </c>
      <c r="H80" s="496"/>
      <c r="I80" s="496"/>
      <c r="J80" s="496"/>
      <c r="K80" s="497"/>
      <c r="L80" s="498"/>
      <c r="M80" s="499"/>
      <c r="N80" s="2977"/>
      <c r="O80" s="2977"/>
      <c r="P80" s="2968"/>
      <c r="Q80" s="2963"/>
      <c r="R80" s="2949"/>
      <c r="S80" s="2949"/>
      <c r="T80" s="2949"/>
      <c r="U80" s="2949"/>
      <c r="V80" s="2949"/>
      <c r="W80" s="2949"/>
      <c r="X80" s="2949"/>
      <c r="Y80" s="2949"/>
      <c r="Z80" s="2949"/>
      <c r="AA80" s="2949"/>
      <c r="AB80" s="2949"/>
      <c r="AC80" s="294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8"/>
      <c r="O81" s="2978"/>
      <c r="P81" s="2968"/>
      <c r="Q81" s="2963"/>
      <c r="R81" s="2949"/>
      <c r="S81" s="2949"/>
      <c r="T81" s="2949"/>
      <c r="U81" s="2949"/>
      <c r="V81" s="2949"/>
      <c r="W81" s="2949"/>
      <c r="X81" s="2949"/>
      <c r="Y81" s="2949"/>
      <c r="Z81" s="2949"/>
      <c r="AA81" s="2949"/>
      <c r="AB81" s="2949"/>
      <c r="AC81" s="2949"/>
    </row>
    <row r="82" spans="1:29" ht="15.75" thickTop="1">
      <c r="A82" s="491"/>
      <c r="B82" s="503" t="s">
        <v>2475</v>
      </c>
      <c r="C82" s="616" t="s">
        <v>2495</v>
      </c>
      <c r="D82" s="616" t="s">
        <v>2496</v>
      </c>
      <c r="E82" s="616" t="s">
        <v>2497</v>
      </c>
      <c r="F82" s="616" t="s">
        <v>2498</v>
      </c>
      <c r="G82" s="616" t="s">
        <v>2499</v>
      </c>
      <c r="H82" s="496"/>
      <c r="I82" s="496"/>
      <c r="J82" s="496"/>
      <c r="K82" s="496"/>
      <c r="L82" s="496"/>
      <c r="M82" s="1291"/>
      <c r="N82" s="2978"/>
      <c r="O82" s="2978"/>
      <c r="P82" s="2968"/>
      <c r="Q82" s="2963"/>
      <c r="R82" s="2949"/>
      <c r="S82" s="2949"/>
      <c r="T82" s="2949"/>
      <c r="U82" s="2949"/>
      <c r="V82" s="2949"/>
      <c r="W82" s="2949"/>
      <c r="X82" s="2949"/>
      <c r="Y82" s="2949"/>
      <c r="Z82" s="2949"/>
      <c r="AA82" s="2949"/>
      <c r="AB82" s="2949"/>
      <c r="AC82" s="294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8"/>
      <c r="O83" s="2978"/>
      <c r="P83" s="2968"/>
      <c r="Q83" s="2963"/>
      <c r="R83" s="2949"/>
      <c r="S83" s="2949"/>
      <c r="T83" s="2949"/>
      <c r="U83" s="2949"/>
      <c r="V83" s="2949"/>
      <c r="W83" s="2949"/>
      <c r="X83" s="2949"/>
      <c r="Y83" s="2949"/>
      <c r="Z83" s="2949"/>
      <c r="AA83" s="2949"/>
      <c r="AB83" s="2949"/>
      <c r="AC83" s="2949"/>
    </row>
    <row r="84" spans="1:29" ht="15.75" thickTop="1">
      <c r="A84" s="491"/>
      <c r="B84" s="495" t="s">
        <v>2429</v>
      </c>
      <c r="C84" s="535" t="s">
        <v>2417</v>
      </c>
      <c r="D84" s="535" t="s">
        <v>2418</v>
      </c>
      <c r="E84" s="535" t="s">
        <v>2419</v>
      </c>
      <c r="F84" s="535" t="s">
        <v>2420</v>
      </c>
      <c r="G84" s="535" t="s">
        <v>2421</v>
      </c>
      <c r="H84" s="496"/>
      <c r="I84" s="496"/>
      <c r="J84" s="496"/>
      <c r="K84" s="497"/>
      <c r="L84" s="498"/>
      <c r="M84" s="499"/>
      <c r="N84" s="2977"/>
      <c r="O84" s="2977"/>
      <c r="P84" s="2968"/>
      <c r="Q84" s="2963"/>
      <c r="R84" s="2949"/>
      <c r="S84" s="2949"/>
      <c r="T84" s="2949"/>
      <c r="U84" s="2949"/>
      <c r="V84" s="2949"/>
      <c r="W84" s="2949"/>
      <c r="X84" s="2949"/>
      <c r="Y84" s="2949"/>
      <c r="Z84" s="2949"/>
      <c r="AA84" s="2949"/>
      <c r="AB84" s="2949"/>
      <c r="AC84" s="294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8"/>
      <c r="O85" s="2978"/>
      <c r="P85" s="2968"/>
      <c r="Q85" s="2963"/>
      <c r="R85" s="2949"/>
      <c r="S85" s="2949"/>
      <c r="T85" s="2949"/>
      <c r="U85" s="2949"/>
      <c r="V85" s="2949"/>
      <c r="W85" s="2949"/>
      <c r="X85" s="2949"/>
      <c r="Y85" s="2949"/>
      <c r="Z85" s="2949"/>
      <c r="AA85" s="2949"/>
      <c r="AB85" s="2949"/>
      <c r="AC85" s="2949"/>
    </row>
    <row r="86" spans="1:29" s="113" customFormat="1" ht="15.75" thickTop="1">
      <c r="A86" s="536"/>
      <c r="B86" s="495" t="s">
        <v>2500</v>
      </c>
      <c r="C86" s="511"/>
      <c r="D86" s="511"/>
      <c r="E86" s="511"/>
      <c r="F86" s="511"/>
      <c r="G86" s="511"/>
      <c r="H86" s="511"/>
      <c r="I86" s="511"/>
      <c r="J86" s="511"/>
      <c r="K86" s="511"/>
      <c r="L86" s="537"/>
      <c r="M86" s="538"/>
      <c r="N86" s="2976"/>
      <c r="O86" s="2976"/>
      <c r="P86" s="2968"/>
      <c r="Q86" s="2963"/>
      <c r="R86" s="2884"/>
      <c r="S86" s="2884"/>
      <c r="T86" s="2884"/>
      <c r="U86" s="2884"/>
      <c r="V86" s="2884"/>
      <c r="W86" s="2884"/>
      <c r="X86" s="2884"/>
      <c r="Y86" s="2884"/>
      <c r="Z86" s="2884"/>
      <c r="AA86" s="2884"/>
      <c r="AB86" s="2884"/>
      <c r="AC86" s="288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8"/>
      <c r="O87" s="2978"/>
      <c r="P87" s="2968"/>
      <c r="Q87" s="2963"/>
      <c r="R87" s="2884"/>
      <c r="S87" s="2884"/>
      <c r="T87" s="2884"/>
      <c r="U87" s="2884"/>
      <c r="V87" s="2884"/>
      <c r="W87" s="2884"/>
      <c r="X87" s="2884"/>
      <c r="Y87" s="2884"/>
      <c r="Z87" s="2884"/>
      <c r="AA87" s="2884"/>
      <c r="AB87" s="2884"/>
      <c r="AC87" s="2884"/>
    </row>
    <row r="88" spans="1:29" s="113" customFormat="1" ht="15.75" thickTop="1">
      <c r="A88" s="536"/>
      <c r="B88" s="495" t="str">
        <f>B26</f>
        <v>平面位置/可视性</v>
      </c>
      <c r="C88" s="511"/>
      <c r="D88" s="511"/>
      <c r="E88" s="511"/>
      <c r="F88" s="2112"/>
      <c r="G88" s="511"/>
      <c r="H88" s="511"/>
      <c r="I88" s="511"/>
      <c r="J88" s="511"/>
      <c r="K88" s="511"/>
      <c r="L88" s="511"/>
      <c r="M88" s="538"/>
      <c r="N88" s="2976"/>
      <c r="O88" s="2976"/>
      <c r="P88" s="2968"/>
      <c r="Q88" s="2963"/>
      <c r="R88" s="2884"/>
      <c r="S88" s="2884"/>
      <c r="T88" s="2884"/>
      <c r="U88" s="2884"/>
      <c r="V88" s="2884"/>
      <c r="W88" s="2884"/>
      <c r="X88" s="2884"/>
      <c r="Y88" s="2884"/>
      <c r="Z88" s="2884"/>
      <c r="AA88" s="2884"/>
      <c r="AB88" s="2884"/>
      <c r="AC88" s="2884"/>
    </row>
    <row r="89" spans="1:29" s="113" customFormat="1" ht="15.75" thickBot="1">
      <c r="A89" s="536"/>
      <c r="B89" s="500"/>
      <c r="C89" s="517"/>
      <c r="D89" s="493"/>
      <c r="E89" s="493"/>
      <c r="F89" s="493"/>
      <c r="G89" s="493"/>
      <c r="H89" s="493"/>
      <c r="I89" s="493"/>
      <c r="J89" s="493"/>
      <c r="K89" s="493"/>
      <c r="L89" s="493"/>
      <c r="M89" s="493"/>
      <c r="N89" s="2978"/>
      <c r="O89" s="2978"/>
      <c r="P89" s="2968"/>
      <c r="Q89" s="2963"/>
      <c r="R89" s="2884"/>
      <c r="S89" s="2884"/>
      <c r="T89" s="2884"/>
      <c r="U89" s="2884"/>
      <c r="V89" s="2884"/>
      <c r="W89" s="2884"/>
      <c r="X89" s="2884"/>
      <c r="Y89" s="2884"/>
      <c r="Z89" s="2884"/>
      <c r="AA89" s="2884"/>
      <c r="AB89" s="2884"/>
      <c r="AC89" s="2884"/>
    </row>
    <row r="90" spans="1:29" s="430" customFormat="1" ht="15.75" thickTop="1">
      <c r="A90" s="510"/>
      <c r="B90" s="495" t="str">
        <f>B27</f>
        <v>人流量</v>
      </c>
      <c r="C90" s="511"/>
      <c r="D90" s="511"/>
      <c r="E90" s="511"/>
      <c r="F90" s="511"/>
      <c r="G90" s="511"/>
      <c r="H90" s="512"/>
      <c r="I90" s="512"/>
      <c r="J90" s="512"/>
      <c r="K90" s="512"/>
      <c r="L90" s="513"/>
      <c r="M90" s="514"/>
      <c r="N90" s="2979"/>
      <c r="O90" s="2979"/>
      <c r="P90" s="2969"/>
      <c r="Q90" s="2970"/>
      <c r="R90" s="2971"/>
      <c r="S90" s="2971"/>
      <c r="T90" s="2971"/>
      <c r="U90" s="2971"/>
      <c r="V90" s="2971"/>
      <c r="W90" s="2971"/>
      <c r="X90" s="2971"/>
      <c r="Y90" s="2971"/>
      <c r="Z90" s="2971"/>
      <c r="AA90" s="2971"/>
      <c r="AB90" s="2971"/>
      <c r="AC90" s="297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9"/>
      <c r="O91" s="2979"/>
      <c r="P91" s="2969"/>
      <c r="Q91" s="2970"/>
      <c r="R91" s="2971"/>
      <c r="S91" s="2971"/>
      <c r="T91" s="2971"/>
      <c r="U91" s="2971"/>
      <c r="V91" s="2971"/>
      <c r="W91" s="2971"/>
      <c r="X91" s="2971"/>
      <c r="Y91" s="2971"/>
      <c r="Z91" s="2971"/>
      <c r="AA91" s="2971"/>
      <c r="AB91" s="2971"/>
      <c r="AC91" s="2971"/>
    </row>
    <row r="92" spans="1:29" ht="15.75" thickTop="1">
      <c r="A92" s="491"/>
      <c r="B92" s="495" t="str">
        <f>B28</f>
        <v>楼层</v>
      </c>
      <c r="C92" s="511"/>
      <c r="D92" s="511"/>
      <c r="E92" s="511"/>
      <c r="F92" s="511"/>
      <c r="G92" s="511"/>
      <c r="H92" s="511"/>
      <c r="I92" s="511"/>
      <c r="J92" s="511"/>
      <c r="K92" s="511"/>
      <c r="L92" s="537"/>
      <c r="M92" s="538"/>
      <c r="N92" s="2977"/>
      <c r="O92" s="2977"/>
      <c r="P92" s="2968"/>
      <c r="Q92" s="2963"/>
      <c r="R92" s="2949"/>
      <c r="S92" s="2949"/>
      <c r="T92" s="2949"/>
      <c r="U92" s="2949"/>
      <c r="V92" s="2949"/>
      <c r="W92" s="2949"/>
      <c r="X92" s="2949"/>
      <c r="Y92" s="2949"/>
      <c r="Z92" s="2949"/>
      <c r="AA92" s="2949"/>
      <c r="AB92" s="2949"/>
      <c r="AC92" s="2949"/>
    </row>
    <row r="93" spans="1:29" ht="15.75" thickBot="1">
      <c r="A93" s="491"/>
      <c r="B93" s="500"/>
      <c r="C93" s="493"/>
      <c r="D93" s="493"/>
      <c r="E93" s="493"/>
      <c r="F93" s="493"/>
      <c r="G93" s="493"/>
      <c r="H93" s="493"/>
      <c r="I93" s="493"/>
      <c r="J93" s="493"/>
      <c r="K93" s="493"/>
      <c r="L93" s="493"/>
      <c r="M93" s="494"/>
      <c r="N93" s="2978"/>
      <c r="O93" s="2978"/>
      <c r="P93" s="2968"/>
      <c r="Q93" s="2963"/>
      <c r="R93" s="2949"/>
      <c r="S93" s="2949"/>
      <c r="T93" s="2949"/>
      <c r="U93" s="2949"/>
      <c r="V93" s="2949"/>
      <c r="W93" s="2949"/>
      <c r="X93" s="2949"/>
      <c r="Y93" s="2949"/>
      <c r="Z93" s="2949"/>
      <c r="AA93" s="2949"/>
      <c r="AB93" s="2949"/>
      <c r="AC93" s="2949"/>
    </row>
    <row r="94" spans="1:29" ht="15.75" thickTop="1">
      <c r="A94" s="491"/>
      <c r="B94" s="495">
        <f>B29</f>
        <v>111</v>
      </c>
      <c r="C94" s="511"/>
      <c r="D94" s="511"/>
      <c r="E94" s="511"/>
      <c r="F94" s="511"/>
      <c r="G94" s="540"/>
      <c r="H94" s="540"/>
      <c r="I94" s="540"/>
      <c r="J94" s="540"/>
      <c r="K94" s="541"/>
      <c r="L94" s="542"/>
      <c r="M94" s="543"/>
      <c r="N94" s="2977"/>
      <c r="O94" s="2977"/>
      <c r="P94" s="2968"/>
      <c r="Q94" s="2963"/>
      <c r="R94" s="2949"/>
      <c r="S94" s="2949"/>
      <c r="T94" s="2949"/>
      <c r="U94" s="2949"/>
      <c r="V94" s="2949"/>
      <c r="W94" s="2949"/>
      <c r="X94" s="2949"/>
      <c r="Y94" s="2949"/>
      <c r="Z94" s="2949"/>
      <c r="AA94" s="2949"/>
      <c r="AB94" s="2949"/>
      <c r="AC94" s="2949"/>
    </row>
    <row r="95" spans="1:29" ht="15.75" thickBot="1">
      <c r="A95" s="491"/>
      <c r="B95" s="500"/>
      <c r="C95" s="517"/>
      <c r="D95" s="493"/>
      <c r="E95" s="493"/>
      <c r="F95" s="493"/>
      <c r="G95" s="493"/>
      <c r="H95" s="493"/>
      <c r="I95" s="493"/>
      <c r="J95" s="493"/>
      <c r="K95" s="493"/>
      <c r="L95" s="493"/>
      <c r="M95" s="494"/>
      <c r="N95" s="2978"/>
      <c r="O95" s="2978"/>
      <c r="P95" s="2968"/>
      <c r="Q95" s="2963"/>
      <c r="R95" s="2949"/>
      <c r="S95" s="2949"/>
      <c r="T95" s="2949"/>
      <c r="U95" s="2949"/>
      <c r="V95" s="2949"/>
      <c r="W95" s="2949"/>
      <c r="X95" s="2949"/>
      <c r="Y95" s="2949"/>
      <c r="Z95" s="2949"/>
      <c r="AA95" s="2949"/>
      <c r="AB95" s="2949"/>
      <c r="AC95" s="2949"/>
    </row>
    <row r="96" spans="1:29" ht="15.75" thickTop="1">
      <c r="A96" s="491"/>
      <c r="B96" s="495">
        <f>B30</f>
        <v>111</v>
      </c>
      <c r="C96" s="511"/>
      <c r="D96" s="511"/>
      <c r="E96" s="511"/>
      <c r="F96" s="511"/>
      <c r="G96" s="540"/>
      <c r="H96" s="540"/>
      <c r="I96" s="540"/>
      <c r="J96" s="540"/>
      <c r="K96" s="541"/>
      <c r="L96" s="542"/>
      <c r="M96" s="543"/>
      <c r="N96" s="2977"/>
      <c r="O96" s="2977"/>
      <c r="P96" s="2968"/>
      <c r="Q96" s="2963"/>
      <c r="R96" s="2949"/>
      <c r="S96" s="2949"/>
      <c r="T96" s="2949"/>
      <c r="U96" s="2949"/>
      <c r="V96" s="2949"/>
      <c r="W96" s="2949"/>
      <c r="X96" s="2949"/>
      <c r="Y96" s="2949"/>
      <c r="Z96" s="2949"/>
      <c r="AA96" s="2949"/>
      <c r="AB96" s="2949"/>
      <c r="AC96" s="2949"/>
    </row>
    <row r="97" spans="1:29" ht="15.75" thickBot="1">
      <c r="A97" s="491"/>
      <c r="B97" s="500"/>
      <c r="C97" s="517"/>
      <c r="D97" s="493"/>
      <c r="E97" s="493"/>
      <c r="F97" s="493"/>
      <c r="G97" s="493"/>
      <c r="H97" s="493"/>
      <c r="I97" s="493"/>
      <c r="J97" s="493"/>
      <c r="K97" s="493"/>
      <c r="L97" s="493"/>
      <c r="M97" s="494"/>
      <c r="N97" s="2978"/>
      <c r="O97" s="2978"/>
      <c r="P97" s="2968"/>
      <c r="Q97" s="2963"/>
      <c r="R97" s="2949"/>
      <c r="S97" s="2949"/>
      <c r="T97" s="2949"/>
      <c r="U97" s="2949"/>
      <c r="V97" s="2949"/>
      <c r="W97" s="2949"/>
      <c r="X97" s="2949"/>
      <c r="Y97" s="2949"/>
      <c r="Z97" s="2949"/>
      <c r="AA97" s="2949"/>
      <c r="AB97" s="2949"/>
      <c r="AC97" s="2949"/>
    </row>
    <row r="98" spans="1:29" ht="15.75" thickTop="1">
      <c r="A98" s="491"/>
      <c r="B98" s="503">
        <f>B31</f>
        <v>111</v>
      </c>
      <c r="C98" s="511"/>
      <c r="D98" s="511"/>
      <c r="E98" s="511"/>
      <c r="F98" s="511"/>
      <c r="G98" s="544"/>
      <c r="H98" s="544"/>
      <c r="I98" s="544"/>
      <c r="J98" s="544"/>
      <c r="K98" s="545"/>
      <c r="L98" s="546"/>
      <c r="M98" s="547"/>
      <c r="N98" s="2977"/>
      <c r="O98" s="2977"/>
      <c r="P98" s="2968"/>
      <c r="Q98" s="2963"/>
      <c r="R98" s="2949"/>
      <c r="S98" s="2949"/>
      <c r="T98" s="2949"/>
      <c r="U98" s="2949"/>
      <c r="V98" s="2949"/>
      <c r="W98" s="2949"/>
      <c r="X98" s="2949"/>
      <c r="Y98" s="2949"/>
      <c r="Z98" s="2949"/>
      <c r="AA98" s="2949"/>
      <c r="AB98" s="2949"/>
      <c r="AC98" s="2949"/>
    </row>
    <row r="99" spans="1:29" ht="15.75" thickBot="1">
      <c r="A99" s="2113"/>
      <c r="B99" s="526"/>
      <c r="C99" s="527"/>
      <c r="D99" s="527"/>
      <c r="E99" s="527"/>
      <c r="F99" s="527"/>
      <c r="G99" s="548"/>
      <c r="H99" s="548"/>
      <c r="I99" s="548"/>
      <c r="J99" s="548"/>
      <c r="K99" s="548"/>
      <c r="L99" s="548"/>
      <c r="M99" s="549"/>
      <c r="N99" s="2978"/>
      <c r="O99" s="2978"/>
      <c r="P99" s="2968"/>
      <c r="Q99" s="2963"/>
      <c r="R99" s="2949"/>
      <c r="S99" s="2949"/>
      <c r="T99" s="2949"/>
      <c r="U99" s="2949"/>
      <c r="V99" s="2949"/>
      <c r="W99" s="2949"/>
      <c r="X99" s="2949"/>
      <c r="Y99" s="2949"/>
      <c r="Z99" s="2949"/>
      <c r="AA99" s="2949"/>
      <c r="AB99" s="2949"/>
      <c r="AC99" s="2949"/>
    </row>
    <row r="100" spans="1:29">
      <c r="A100" s="484" t="s">
        <v>2383</v>
      </c>
      <c r="B100" s="485" t="s">
        <v>2501</v>
      </c>
      <c r="C100" s="487"/>
      <c r="D100" s="487"/>
      <c r="E100" s="487"/>
      <c r="F100" s="487"/>
      <c r="G100" s="487"/>
      <c r="H100" s="487"/>
      <c r="I100" s="487"/>
      <c r="J100" s="487"/>
      <c r="K100" s="488"/>
      <c r="L100" s="489"/>
      <c r="M100" s="490"/>
      <c r="N100" s="2977"/>
      <c r="O100" s="2977"/>
      <c r="P100" s="2968"/>
      <c r="Q100" s="2963"/>
      <c r="R100" s="2949"/>
      <c r="S100" s="2949"/>
      <c r="T100" s="2949"/>
      <c r="U100" s="2949"/>
      <c r="V100" s="2949"/>
      <c r="W100" s="2949"/>
      <c r="X100" s="2949"/>
      <c r="Y100" s="2949"/>
      <c r="Z100" s="2949"/>
      <c r="AA100" s="2949"/>
      <c r="AB100" s="2949"/>
      <c r="AC100" s="294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8"/>
      <c r="O101" s="2978"/>
      <c r="P101" s="2968"/>
      <c r="Q101" s="2963"/>
      <c r="R101" s="2949"/>
      <c r="S101" s="2949"/>
      <c r="T101" s="2949"/>
      <c r="U101" s="2949"/>
      <c r="V101" s="2949"/>
      <c r="W101" s="2949"/>
      <c r="X101" s="2949"/>
      <c r="Y101" s="2949"/>
      <c r="Z101" s="2949"/>
      <c r="AA101" s="2949"/>
      <c r="AB101" s="2949"/>
      <c r="AC101" s="2949"/>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6"/>
      <c r="O102" s="2976"/>
      <c r="P102" s="2968"/>
      <c r="Q102" s="2963"/>
      <c r="R102" s="2949"/>
      <c r="S102" s="2949"/>
      <c r="T102" s="2949"/>
      <c r="U102" s="2949"/>
      <c r="V102" s="2949"/>
      <c r="W102" s="2949"/>
      <c r="X102" s="2949"/>
      <c r="Y102" s="2949"/>
      <c r="Z102" s="2949"/>
      <c r="AA102" s="2949"/>
      <c r="AB102" s="2949"/>
      <c r="AC102" s="2949"/>
    </row>
    <row r="103" spans="1:29" s="430" customFormat="1">
      <c r="A103" s="550"/>
      <c r="B103" s="551"/>
      <c r="C103" s="552"/>
      <c r="D103" s="552"/>
      <c r="E103" s="552"/>
      <c r="F103" s="552"/>
      <c r="G103" s="552"/>
      <c r="H103" s="552"/>
      <c r="I103" s="552"/>
      <c r="J103" s="553"/>
      <c r="K103" s="553"/>
      <c r="L103" s="554"/>
      <c r="M103" s="555"/>
      <c r="N103" s="2979"/>
      <c r="O103" s="2979"/>
      <c r="P103" s="2969"/>
      <c r="Q103" s="2970"/>
      <c r="R103" s="2971"/>
      <c r="S103" s="2971"/>
      <c r="T103" s="2971"/>
      <c r="U103" s="2971"/>
      <c r="V103" s="2971"/>
      <c r="W103" s="2971"/>
      <c r="X103" s="2971"/>
      <c r="Y103" s="2971"/>
      <c r="Z103" s="2971"/>
      <c r="AA103" s="2971"/>
      <c r="AB103" s="2971"/>
      <c r="AC103" s="2971"/>
    </row>
    <row r="104" spans="1:29" s="430" customFormat="1" ht="15.75" thickBot="1">
      <c r="A104" s="510"/>
      <c r="B104" s="500"/>
      <c r="C104" s="517"/>
      <c r="D104" s="493"/>
      <c r="E104" s="493"/>
      <c r="F104" s="493"/>
      <c r="G104" s="493"/>
      <c r="H104" s="493"/>
      <c r="I104" s="493"/>
      <c r="J104" s="493"/>
      <c r="K104" s="493"/>
      <c r="L104" s="493"/>
      <c r="M104" s="494"/>
      <c r="N104" s="2978"/>
      <c r="O104" s="2978"/>
      <c r="P104" s="2969"/>
      <c r="Q104" s="2970"/>
      <c r="R104" s="2971"/>
      <c r="S104" s="2971"/>
      <c r="T104" s="2971"/>
      <c r="U104" s="2971"/>
      <c r="V104" s="2971"/>
      <c r="W104" s="2971"/>
      <c r="X104" s="2971"/>
      <c r="Y104" s="2971"/>
      <c r="Z104" s="2971"/>
      <c r="AA104" s="2971"/>
      <c r="AB104" s="2971"/>
      <c r="AC104" s="2971"/>
    </row>
    <row r="105" spans="1:29" ht="15" thickTop="1">
      <c r="A105" s="556"/>
      <c r="B105" s="495" t="s">
        <v>2434</v>
      </c>
      <c r="C105" s="511"/>
      <c r="D105" s="511"/>
      <c r="E105" s="540"/>
      <c r="F105" s="540"/>
      <c r="G105" s="540"/>
      <c r="H105" s="540"/>
      <c r="I105" s="540"/>
      <c r="J105" s="540"/>
      <c r="K105" s="541"/>
      <c r="L105" s="542"/>
      <c r="M105" s="543"/>
      <c r="N105" s="2977"/>
      <c r="O105" s="2977"/>
      <c r="P105" s="2968"/>
      <c r="Q105" s="2963"/>
      <c r="R105" s="2949"/>
      <c r="S105" s="2949"/>
      <c r="T105" s="2949"/>
      <c r="U105" s="2949"/>
      <c r="V105" s="2949"/>
      <c r="W105" s="2949"/>
      <c r="X105" s="2949"/>
      <c r="Y105" s="2949"/>
      <c r="Z105" s="2949"/>
      <c r="AA105" s="2949"/>
      <c r="AB105" s="2949"/>
      <c r="AC105" s="294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8"/>
      <c r="O106" s="2978"/>
      <c r="P106" s="2968"/>
      <c r="Q106" s="2963"/>
      <c r="R106" s="2949"/>
      <c r="S106" s="2949"/>
      <c r="T106" s="2949"/>
      <c r="U106" s="2949"/>
      <c r="V106" s="2949"/>
      <c r="W106" s="2949"/>
      <c r="X106" s="2949"/>
      <c r="Y106" s="2949"/>
      <c r="Z106" s="2949"/>
      <c r="AA106" s="2949"/>
      <c r="AB106" s="2949"/>
      <c r="AC106" s="2949"/>
    </row>
    <row r="107" spans="1:29" ht="15" thickTop="1">
      <c r="A107" s="556"/>
      <c r="B107" s="495" t="s">
        <v>2436</v>
      </c>
      <c r="C107" s="511"/>
      <c r="D107" s="511"/>
      <c r="E107" s="511"/>
      <c r="F107" s="540"/>
      <c r="G107" s="540"/>
      <c r="H107" s="540"/>
      <c r="I107" s="540"/>
      <c r="J107" s="540"/>
      <c r="K107" s="541"/>
      <c r="L107" s="542"/>
      <c r="M107" s="543"/>
      <c r="N107" s="2977"/>
      <c r="O107" s="2977"/>
      <c r="P107" s="2968"/>
      <c r="Q107" s="2963"/>
      <c r="R107" s="2949"/>
      <c r="S107" s="2949"/>
      <c r="T107" s="2949"/>
      <c r="U107" s="2949"/>
      <c r="V107" s="2949"/>
      <c r="W107" s="2949"/>
      <c r="X107" s="2949"/>
      <c r="Y107" s="2949"/>
      <c r="Z107" s="2949"/>
      <c r="AA107" s="2949"/>
      <c r="AB107" s="2949"/>
      <c r="AC107" s="294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8"/>
      <c r="O108" s="2978"/>
      <c r="P108" s="2968"/>
      <c r="Q108" s="2963"/>
      <c r="R108" s="2949"/>
      <c r="S108" s="2949"/>
      <c r="T108" s="2949"/>
      <c r="U108" s="2949"/>
      <c r="V108" s="2949"/>
      <c r="W108" s="2949"/>
      <c r="X108" s="2949"/>
      <c r="Y108" s="2949"/>
      <c r="Z108" s="2949"/>
      <c r="AA108" s="2949"/>
      <c r="AB108" s="2949"/>
      <c r="AC108" s="2949"/>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7"/>
      <c r="O109" s="2977"/>
      <c r="P109" s="2968"/>
      <c r="Q109" s="2963"/>
      <c r="R109" s="2949"/>
      <c r="S109" s="2949"/>
      <c r="T109" s="2949"/>
      <c r="U109" s="2949"/>
      <c r="V109" s="2949"/>
      <c r="W109" s="2949"/>
      <c r="X109" s="2949"/>
      <c r="Y109" s="2949"/>
      <c r="Z109" s="2949"/>
      <c r="AA109" s="2949"/>
      <c r="AB109" s="2949"/>
      <c r="AC109" s="2949"/>
    </row>
    <row r="110" spans="1:29">
      <c r="A110" s="556"/>
      <c r="B110" s="503"/>
      <c r="C110" s="560">
        <v>0.5</v>
      </c>
      <c r="D110" s="560">
        <v>0.6</v>
      </c>
      <c r="E110" s="560">
        <v>0.7</v>
      </c>
      <c r="F110" s="560">
        <v>0.8</v>
      </c>
      <c r="G110" s="560">
        <v>0.9</v>
      </c>
      <c r="H110" s="560">
        <v>1.0001</v>
      </c>
      <c r="I110" s="579"/>
      <c r="J110" s="579"/>
      <c r="K110" s="580"/>
      <c r="L110" s="581"/>
      <c r="M110" s="582"/>
      <c r="N110" s="2977"/>
      <c r="O110" s="2977"/>
      <c r="P110" s="2968"/>
      <c r="Q110" s="2963"/>
      <c r="R110" s="2949"/>
      <c r="S110" s="2949"/>
      <c r="T110" s="2949"/>
      <c r="U110" s="2949"/>
      <c r="V110" s="2949"/>
      <c r="W110" s="2949"/>
      <c r="X110" s="2949"/>
      <c r="Y110" s="2949"/>
      <c r="Z110" s="2949"/>
      <c r="AA110" s="2949"/>
      <c r="AB110" s="2949"/>
      <c r="AC110" s="294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8"/>
      <c r="O111" s="2978"/>
      <c r="P111" s="2968"/>
      <c r="Q111" s="2963"/>
      <c r="R111" s="2949"/>
      <c r="S111" s="2949"/>
      <c r="T111" s="2949"/>
      <c r="U111" s="2949"/>
      <c r="V111" s="2949"/>
      <c r="W111" s="2949"/>
      <c r="X111" s="2949"/>
      <c r="Y111" s="2949"/>
      <c r="Z111" s="2949"/>
      <c r="AA111" s="2949"/>
      <c r="AB111" s="2949"/>
      <c r="AC111" s="2949"/>
    </row>
    <row r="112" spans="1:29" s="430" customFormat="1" ht="15" thickTop="1">
      <c r="A112" s="550"/>
      <c r="B112" s="495" t="s">
        <v>2438</v>
      </c>
      <c r="C112" s="511"/>
      <c r="D112" s="511"/>
      <c r="E112" s="511"/>
      <c r="F112" s="511"/>
      <c r="G112" s="511"/>
      <c r="H112" s="540"/>
      <c r="I112" s="540"/>
      <c r="J112" s="540"/>
      <c r="K112" s="541"/>
      <c r="L112" s="542"/>
      <c r="M112" s="543"/>
      <c r="N112" s="2979"/>
      <c r="O112" s="2979"/>
      <c r="P112" s="2969"/>
      <c r="Q112" s="2970"/>
      <c r="R112" s="2971"/>
      <c r="S112" s="2971"/>
      <c r="T112" s="2971"/>
      <c r="U112" s="2971"/>
      <c r="V112" s="2971"/>
      <c r="W112" s="2971"/>
      <c r="X112" s="2971"/>
      <c r="Y112" s="2971"/>
      <c r="Z112" s="2971"/>
      <c r="AA112" s="2971"/>
      <c r="AB112" s="2971"/>
      <c r="AC112" s="297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9"/>
      <c r="O113" s="2979"/>
      <c r="P113" s="2969"/>
      <c r="Q113" s="2970"/>
      <c r="R113" s="2971"/>
      <c r="S113" s="2971"/>
      <c r="T113" s="2971"/>
      <c r="U113" s="2971"/>
      <c r="V113" s="2971"/>
      <c r="W113" s="2971"/>
      <c r="X113" s="2971"/>
      <c r="Y113" s="2971"/>
      <c r="Z113" s="2971"/>
      <c r="AA113" s="2971"/>
      <c r="AB113" s="2971"/>
      <c r="AC113" s="2971"/>
    </row>
    <row r="114" spans="1:29" ht="15" thickTop="1">
      <c r="A114" s="556"/>
      <c r="B114" s="495" t="s">
        <v>2502</v>
      </c>
      <c r="C114" s="511"/>
      <c r="D114" s="511"/>
      <c r="E114" s="540"/>
      <c r="F114" s="540"/>
      <c r="G114" s="540"/>
      <c r="H114" s="540"/>
      <c r="I114" s="540"/>
      <c r="J114" s="540"/>
      <c r="K114" s="541"/>
      <c r="L114" s="542"/>
      <c r="M114" s="543"/>
      <c r="N114" s="2977"/>
      <c r="O114" s="2977"/>
      <c r="P114" s="2968"/>
      <c r="Q114" s="2963"/>
      <c r="R114" s="2949"/>
      <c r="S114" s="2949"/>
      <c r="T114" s="2949"/>
      <c r="U114" s="2949"/>
      <c r="V114" s="2949"/>
      <c r="W114" s="2949"/>
      <c r="X114" s="2949"/>
      <c r="Y114" s="2949"/>
      <c r="Z114" s="2949"/>
      <c r="AA114" s="2949"/>
      <c r="AB114" s="2949"/>
      <c r="AC114" s="294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8"/>
      <c r="O115" s="2978"/>
      <c r="P115" s="2968"/>
      <c r="Q115" s="2963"/>
      <c r="R115" s="2949"/>
      <c r="S115" s="2949"/>
      <c r="T115" s="2949"/>
      <c r="U115" s="2949"/>
      <c r="V115" s="2949"/>
      <c r="W115" s="2949"/>
      <c r="X115" s="2949"/>
      <c r="Y115" s="2949"/>
      <c r="Z115" s="2949"/>
      <c r="AA115" s="2949"/>
      <c r="AB115" s="2949"/>
      <c r="AC115" s="2949"/>
    </row>
    <row r="116" spans="1:29" ht="15" thickTop="1">
      <c r="A116" s="556"/>
      <c r="B116" s="495" t="s">
        <v>2503</v>
      </c>
      <c r="C116" s="511"/>
      <c r="D116" s="511"/>
      <c r="E116" s="511"/>
      <c r="F116" s="511"/>
      <c r="G116" s="511"/>
      <c r="H116" s="540"/>
      <c r="I116" s="540"/>
      <c r="J116" s="540"/>
      <c r="K116" s="541"/>
      <c r="L116" s="542"/>
      <c r="M116" s="543"/>
      <c r="N116" s="2977"/>
      <c r="O116" s="2977"/>
      <c r="P116" s="2968"/>
      <c r="Q116" s="2963"/>
      <c r="R116" s="2949"/>
      <c r="S116" s="2949"/>
      <c r="T116" s="2949"/>
      <c r="U116" s="2949"/>
      <c r="V116" s="2949"/>
      <c r="W116" s="2949"/>
      <c r="X116" s="2949"/>
      <c r="Y116" s="2949"/>
      <c r="Z116" s="2949"/>
      <c r="AA116" s="2949"/>
      <c r="AB116" s="2949"/>
      <c r="AC116" s="294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8"/>
      <c r="O117" s="2978"/>
      <c r="P117" s="2968"/>
      <c r="Q117" s="2963"/>
      <c r="R117" s="2949"/>
      <c r="S117" s="2949"/>
      <c r="T117" s="2949"/>
      <c r="U117" s="2949"/>
      <c r="V117" s="2949"/>
      <c r="W117" s="2949"/>
      <c r="X117" s="2949"/>
      <c r="Y117" s="2949"/>
      <c r="Z117" s="2949"/>
      <c r="AA117" s="2949"/>
      <c r="AB117" s="2949"/>
      <c r="AC117" s="2949"/>
    </row>
    <row r="118" spans="1:29" ht="15" thickTop="1">
      <c r="A118" s="556"/>
      <c r="B118" s="495" t="s">
        <v>2504</v>
      </c>
      <c r="C118" s="583"/>
      <c r="D118" s="583"/>
      <c r="E118" s="583"/>
      <c r="F118" s="583"/>
      <c r="G118" s="583"/>
      <c r="H118" s="512"/>
      <c r="I118" s="512"/>
      <c r="J118" s="512"/>
      <c r="K118" s="512"/>
      <c r="L118" s="513"/>
      <c r="M118" s="514"/>
      <c r="N118" s="2977"/>
      <c r="O118" s="2977"/>
      <c r="P118" s="2968"/>
      <c r="Q118" s="2963"/>
      <c r="R118" s="2949"/>
      <c r="S118" s="2949"/>
      <c r="T118" s="2949"/>
      <c r="U118" s="2949"/>
      <c r="V118" s="2949"/>
      <c r="W118" s="2949"/>
      <c r="X118" s="2949"/>
      <c r="Y118" s="2949"/>
      <c r="Z118" s="2949"/>
      <c r="AA118" s="2949"/>
      <c r="AB118" s="2949"/>
      <c r="AC118" s="2949"/>
    </row>
    <row r="119" spans="1:29" ht="15.75" thickBot="1">
      <c r="A119" s="491"/>
      <c r="B119" s="500"/>
      <c r="C119" s="517"/>
      <c r="D119" s="493"/>
      <c r="E119" s="493"/>
      <c r="F119" s="493"/>
      <c r="G119" s="493"/>
      <c r="H119" s="493"/>
      <c r="I119" s="493"/>
      <c r="J119" s="493"/>
      <c r="K119" s="493"/>
      <c r="L119" s="493"/>
      <c r="M119" s="494"/>
      <c r="N119" s="2978"/>
      <c r="O119" s="2978"/>
      <c r="P119" s="2968"/>
      <c r="Q119" s="2963"/>
      <c r="R119" s="2949"/>
      <c r="S119" s="2949"/>
      <c r="T119" s="2949"/>
      <c r="U119" s="2949"/>
      <c r="V119" s="2949"/>
      <c r="W119" s="2949"/>
      <c r="X119" s="2949"/>
      <c r="Y119" s="2949"/>
      <c r="Z119" s="2949"/>
      <c r="AA119" s="2949"/>
      <c r="AB119" s="2949"/>
      <c r="AC119" s="2949"/>
    </row>
    <row r="120" spans="1:29" s="430" customFormat="1" ht="15" thickTop="1">
      <c r="A120" s="550"/>
      <c r="B120" s="495" t="s">
        <v>2505</v>
      </c>
      <c r="C120" s="540"/>
      <c r="D120" s="540"/>
      <c r="E120" s="540"/>
      <c r="F120" s="540"/>
      <c r="G120" s="512"/>
      <c r="H120" s="512"/>
      <c r="I120" s="512"/>
      <c r="J120" s="512"/>
      <c r="K120" s="512"/>
      <c r="L120" s="513"/>
      <c r="M120" s="514"/>
      <c r="N120" s="2979"/>
      <c r="O120" s="2979"/>
      <c r="P120" s="2969"/>
      <c r="Q120" s="2970"/>
      <c r="R120" s="2971"/>
      <c r="S120" s="2971"/>
      <c r="T120" s="2971"/>
      <c r="U120" s="2971"/>
      <c r="V120" s="2971"/>
      <c r="W120" s="2971"/>
      <c r="X120" s="2971"/>
      <c r="Y120" s="2971"/>
      <c r="Z120" s="2971"/>
      <c r="AA120" s="2971"/>
      <c r="AB120" s="2971"/>
      <c r="AC120" s="297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9"/>
      <c r="O121" s="2979"/>
      <c r="P121" s="2969"/>
      <c r="Q121" s="2970"/>
      <c r="R121" s="2971"/>
      <c r="S121" s="2971"/>
      <c r="T121" s="2971"/>
      <c r="U121" s="2971"/>
      <c r="V121" s="2971"/>
      <c r="W121" s="2971"/>
      <c r="X121" s="2971"/>
      <c r="Y121" s="2971"/>
      <c r="Z121" s="2971"/>
      <c r="AA121" s="2971"/>
      <c r="AB121" s="2971"/>
      <c r="AC121" s="2971"/>
    </row>
    <row r="122" spans="1:29" ht="15" thickTop="1">
      <c r="A122" s="556"/>
      <c r="B122" s="495" t="s">
        <v>2440</v>
      </c>
      <c r="C122" s="511"/>
      <c r="D122" s="511"/>
      <c r="E122" s="511"/>
      <c r="F122" s="540"/>
      <c r="G122" s="540"/>
      <c r="H122" s="540"/>
      <c r="I122" s="540"/>
      <c r="J122" s="540"/>
      <c r="K122" s="541"/>
      <c r="L122" s="542"/>
      <c r="M122" s="543"/>
      <c r="N122" s="2977"/>
      <c r="O122" s="2977"/>
      <c r="P122" s="2968"/>
      <c r="Q122" s="2963"/>
      <c r="R122" s="2949"/>
      <c r="S122" s="2949"/>
      <c r="T122" s="2949"/>
      <c r="U122" s="2949"/>
      <c r="V122" s="2949"/>
      <c r="W122" s="2949"/>
      <c r="X122" s="2949"/>
      <c r="Y122" s="2949"/>
      <c r="Z122" s="2949"/>
      <c r="AA122" s="2949"/>
      <c r="AB122" s="2949"/>
      <c r="AC122" s="294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8"/>
      <c r="O123" s="2978"/>
      <c r="P123" s="2968"/>
      <c r="Q123" s="2963"/>
      <c r="R123" s="2949"/>
      <c r="S123" s="2949"/>
      <c r="T123" s="2949"/>
      <c r="U123" s="2949"/>
      <c r="V123" s="2949"/>
      <c r="W123" s="2949"/>
      <c r="X123" s="2949"/>
      <c r="Y123" s="2949"/>
      <c r="Z123" s="2949"/>
      <c r="AA123" s="2949"/>
      <c r="AB123" s="2949"/>
      <c r="AC123" s="2949"/>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7"/>
      <c r="O124" s="2977"/>
      <c r="P124" s="2969"/>
      <c r="Q124" s="2963"/>
      <c r="R124" s="2949"/>
      <c r="S124" s="2949"/>
      <c r="T124" s="2949"/>
      <c r="U124" s="2949"/>
      <c r="V124" s="2949"/>
      <c r="W124" s="2949"/>
      <c r="X124" s="2949"/>
      <c r="Y124" s="2949"/>
      <c r="Z124" s="2949"/>
      <c r="AA124" s="2949"/>
      <c r="AB124" s="2949"/>
      <c r="AC124" s="294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8"/>
      <c r="O125" s="2978"/>
      <c r="P125" s="2968"/>
      <c r="Q125" s="2963"/>
      <c r="R125" s="2949"/>
      <c r="S125" s="2949"/>
      <c r="T125" s="2949"/>
      <c r="U125" s="2949"/>
      <c r="V125" s="2949"/>
      <c r="W125" s="2949"/>
      <c r="X125" s="2949"/>
      <c r="Y125" s="2949"/>
      <c r="Z125" s="2949"/>
      <c r="AA125" s="2949"/>
      <c r="AB125" s="2949"/>
      <c r="AC125" s="2949"/>
    </row>
    <row r="126" spans="1:29" s="430" customFormat="1" ht="15" thickTop="1">
      <c r="A126" s="550"/>
      <c r="B126" s="495">
        <f>B44</f>
        <v>111</v>
      </c>
      <c r="C126" s="511"/>
      <c r="D126" s="511"/>
      <c r="E126" s="511"/>
      <c r="F126" s="511"/>
      <c r="G126" s="511"/>
      <c r="H126" s="512"/>
      <c r="I126" s="512"/>
      <c r="J126" s="512"/>
      <c r="K126" s="512"/>
      <c r="L126" s="513"/>
      <c r="M126" s="514"/>
      <c r="N126" s="2979"/>
      <c r="O126" s="2979"/>
      <c r="P126" s="2969"/>
      <c r="Q126" s="2970"/>
      <c r="R126" s="2971"/>
      <c r="S126" s="2971"/>
      <c r="T126" s="2971"/>
      <c r="U126" s="2971"/>
      <c r="V126" s="2971"/>
      <c r="W126" s="2971"/>
      <c r="X126" s="2971"/>
      <c r="Y126" s="2971"/>
      <c r="Z126" s="2971"/>
      <c r="AA126" s="2971"/>
      <c r="AB126" s="2971"/>
      <c r="AC126" s="2971"/>
    </row>
    <row r="127" spans="1:29" s="430" customFormat="1" ht="15.75" thickBot="1">
      <c r="A127" s="510"/>
      <c r="B127" s="500"/>
      <c r="C127" s="517"/>
      <c r="D127" s="493"/>
      <c r="E127" s="493"/>
      <c r="F127" s="493"/>
      <c r="G127" s="517"/>
      <c r="H127" s="519"/>
      <c r="I127" s="519"/>
      <c r="J127" s="519"/>
      <c r="K127" s="519"/>
      <c r="L127" s="519"/>
      <c r="M127" s="520"/>
      <c r="N127" s="2979"/>
      <c r="O127" s="2979"/>
      <c r="P127" s="2969"/>
      <c r="Q127" s="2970"/>
      <c r="R127" s="2971"/>
      <c r="S127" s="2971"/>
      <c r="T127" s="2971"/>
      <c r="U127" s="2971"/>
      <c r="V127" s="2971"/>
      <c r="W127" s="2971"/>
      <c r="X127" s="2971"/>
      <c r="Y127" s="2971"/>
      <c r="Z127" s="2971"/>
      <c r="AA127" s="2971"/>
      <c r="AB127" s="2971"/>
      <c r="AC127" s="2971"/>
    </row>
    <row r="128" spans="1:29" ht="15" thickTop="1">
      <c r="A128" s="556"/>
      <c r="B128" s="495">
        <f>B45</f>
        <v>111</v>
      </c>
      <c r="C128" s="511"/>
      <c r="D128" s="511"/>
      <c r="E128" s="511"/>
      <c r="F128" s="511"/>
      <c r="G128" s="540"/>
      <c r="H128" s="540"/>
      <c r="I128" s="540"/>
      <c r="J128" s="540"/>
      <c r="K128" s="541"/>
      <c r="L128" s="542"/>
      <c r="M128" s="543"/>
      <c r="N128" s="2977"/>
      <c r="O128" s="2977"/>
      <c r="P128" s="2968"/>
      <c r="Q128" s="2963"/>
      <c r="R128" s="2949"/>
      <c r="S128" s="2949"/>
      <c r="T128" s="2949"/>
      <c r="U128" s="2949"/>
      <c r="V128" s="2949"/>
      <c r="W128" s="2949"/>
      <c r="X128" s="2949"/>
      <c r="Y128" s="2949"/>
      <c r="Z128" s="2949"/>
      <c r="AA128" s="2949"/>
      <c r="AB128" s="2949"/>
      <c r="AC128" s="2949"/>
    </row>
    <row r="129" spans="1:29" ht="15.75" thickBot="1">
      <c r="A129" s="491"/>
      <c r="B129" s="500"/>
      <c r="C129" s="517"/>
      <c r="D129" s="493"/>
      <c r="E129" s="493"/>
      <c r="F129" s="493"/>
      <c r="G129" s="493"/>
      <c r="H129" s="493"/>
      <c r="I129" s="493"/>
      <c r="J129" s="493"/>
      <c r="K129" s="493"/>
      <c r="L129" s="493"/>
      <c r="M129" s="494"/>
      <c r="N129" s="2978"/>
      <c r="O129" s="2978"/>
      <c r="P129" s="2968"/>
      <c r="Q129" s="2963"/>
      <c r="R129" s="2949"/>
      <c r="S129" s="2949"/>
      <c r="T129" s="2949"/>
      <c r="U129" s="2949"/>
      <c r="V129" s="2949"/>
      <c r="W129" s="2949"/>
      <c r="X129" s="2949"/>
      <c r="Y129" s="2949"/>
      <c r="Z129" s="2949"/>
      <c r="AA129" s="2949"/>
      <c r="AB129" s="2949"/>
      <c r="AC129" s="2949"/>
    </row>
    <row r="130" spans="1:29" ht="15" thickTop="1">
      <c r="A130" s="556"/>
      <c r="B130" s="503">
        <f>B46</f>
        <v>111</v>
      </c>
      <c r="C130" s="511"/>
      <c r="D130" s="511"/>
      <c r="E130" s="511"/>
      <c r="F130" s="511"/>
      <c r="G130" s="544"/>
      <c r="H130" s="544"/>
      <c r="I130" s="544"/>
      <c r="J130" s="544"/>
      <c r="K130" s="480"/>
      <c r="L130" s="481"/>
      <c r="M130" s="547"/>
      <c r="N130" s="2977"/>
      <c r="O130" s="2977"/>
      <c r="P130" s="2968"/>
      <c r="Q130" s="2963"/>
      <c r="R130" s="2949"/>
      <c r="S130" s="2949"/>
      <c r="T130" s="2949"/>
      <c r="U130" s="2949"/>
      <c r="V130" s="2949"/>
      <c r="W130" s="2949"/>
      <c r="X130" s="2949"/>
      <c r="Y130" s="2949"/>
      <c r="Z130" s="2949"/>
      <c r="AA130" s="2949"/>
      <c r="AB130" s="2949"/>
      <c r="AC130" s="2949"/>
    </row>
    <row r="131" spans="1:29" ht="15.75" thickBot="1">
      <c r="A131" s="2113"/>
      <c r="B131" s="526"/>
      <c r="C131" s="527"/>
      <c r="D131" s="527"/>
      <c r="E131" s="527"/>
      <c r="F131" s="527"/>
      <c r="G131" s="548"/>
      <c r="H131" s="548"/>
      <c r="I131" s="548"/>
      <c r="J131" s="548"/>
      <c r="K131" s="548"/>
      <c r="L131" s="548"/>
      <c r="M131" s="549"/>
      <c r="N131" s="2978"/>
      <c r="O131" s="2978"/>
      <c r="P131" s="2968"/>
      <c r="Q131" s="2963"/>
      <c r="R131" s="2949"/>
      <c r="S131" s="2949"/>
      <c r="T131" s="2949"/>
      <c r="U131" s="2949"/>
      <c r="V131" s="2949"/>
      <c r="W131" s="2949"/>
      <c r="X131" s="2949"/>
      <c r="Y131" s="2949"/>
      <c r="Z131" s="2949"/>
      <c r="AA131" s="2949"/>
      <c r="AB131" s="2949"/>
      <c r="AC131"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2506</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7"/>
      <c r="D2" s="1275" t="e">
        <f ca="1">SUMIF(INDIRECT("'"&amp;F2&amp;"'"&amp;"!A:A"),"承租人权益价值",INDIRECT("'"&amp;F2&amp;"'"&amp;"!c:c"))</f>
        <v>#REF!</v>
      </c>
      <c r="E2" s="2068" t="s">
        <v>2148</v>
      </c>
      <c r="F2" s="2069"/>
      <c r="G2" s="1039"/>
      <c r="H2" s="1039"/>
      <c r="I2" s="1039"/>
      <c r="J2" s="1039"/>
      <c r="K2" s="1039"/>
      <c r="L2" s="2958"/>
      <c r="M2" s="2959"/>
      <c r="N2" s="2959"/>
      <c r="O2" s="2959"/>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519.96</v>
      </c>
      <c r="E3" s="2139"/>
      <c r="F3" s="1040"/>
      <c r="G3" s="1039"/>
      <c r="H3" s="1039"/>
      <c r="I3" s="1039"/>
      <c r="J3" s="1039"/>
      <c r="K3" s="1041"/>
      <c r="L3" s="2958"/>
      <c r="M3" s="2959"/>
      <c r="N3" s="2959"/>
      <c r="O3" s="2959"/>
      <c r="P3" s="708"/>
      <c r="Q3" s="708"/>
      <c r="R3" s="708"/>
      <c r="S3" s="708"/>
      <c r="T3" s="708"/>
      <c r="U3" s="708"/>
      <c r="V3" s="708"/>
      <c r="W3" s="708"/>
      <c r="X3" s="708"/>
      <c r="Y3" s="708"/>
      <c r="Z3" s="708"/>
      <c r="AA3" s="708"/>
      <c r="AB3" s="708"/>
      <c r="AC3" s="709"/>
    </row>
    <row r="4" spans="1:29" ht="15">
      <c r="A4" s="361" t="s">
        <v>2465</v>
      </c>
      <c r="B4" s="362"/>
      <c r="C4" s="3302" t="s">
        <v>2466</v>
      </c>
      <c r="D4" s="3303"/>
      <c r="E4" s="3304" t="s">
        <v>2467</v>
      </c>
      <c r="F4" s="3305"/>
      <c r="G4" s="3302" t="s">
        <v>2468</v>
      </c>
      <c r="H4" s="3303"/>
      <c r="I4" s="3302" t="s">
        <v>2469</v>
      </c>
      <c r="J4" s="3303"/>
      <c r="K4" s="567" t="s">
        <v>2470</v>
      </c>
      <c r="L4" s="2939"/>
      <c r="M4" s="2940"/>
      <c r="N4" s="2940"/>
      <c r="O4" s="2940"/>
      <c r="P4" s="3373" t="s">
        <v>2471</v>
      </c>
      <c r="Q4" s="3374"/>
      <c r="R4" s="3377" t="s">
        <v>2467</v>
      </c>
      <c r="S4" s="3378"/>
      <c r="T4" s="3377" t="s">
        <v>2468</v>
      </c>
      <c r="U4" s="3378"/>
      <c r="V4" s="3379" t="s">
        <v>2469</v>
      </c>
      <c r="W4" s="3379"/>
      <c r="X4" s="2143"/>
      <c r="Y4" s="3377" t="s">
        <v>2471</v>
      </c>
      <c r="Z4" s="3378"/>
      <c r="AA4" s="3381" t="s">
        <v>2467</v>
      </c>
      <c r="AB4" s="3381" t="s">
        <v>2468</v>
      </c>
      <c r="AC4" s="3370" t="s">
        <v>2469</v>
      </c>
    </row>
    <row r="5" spans="1:29" ht="15">
      <c r="A5" s="364"/>
      <c r="B5" s="365"/>
      <c r="C5" s="3362" t="s">
        <v>2362</v>
      </c>
      <c r="D5" s="3327"/>
      <c r="E5" s="3365" t="s">
        <v>2363</v>
      </c>
      <c r="F5" s="3366"/>
      <c r="G5" s="3362" t="s">
        <v>2364</v>
      </c>
      <c r="H5" s="3327"/>
      <c r="I5" s="3362" t="s">
        <v>2365</v>
      </c>
      <c r="J5" s="3327"/>
      <c r="K5" s="567"/>
      <c r="L5" s="2939"/>
      <c r="M5" s="2940"/>
      <c r="N5" s="2940"/>
      <c r="O5" s="2940"/>
      <c r="P5" s="3375"/>
      <c r="Q5" s="3309"/>
      <c r="R5" s="3314"/>
      <c r="S5" s="3315"/>
      <c r="T5" s="3314"/>
      <c r="U5" s="3315"/>
      <c r="V5" s="3318"/>
      <c r="W5" s="3318"/>
      <c r="X5" s="1539"/>
      <c r="Y5" s="3314"/>
      <c r="Z5" s="3315"/>
      <c r="AA5" s="3300"/>
      <c r="AB5" s="3300"/>
      <c r="AC5" s="3371"/>
    </row>
    <row r="6" spans="1:29" ht="15.75" thickBot="1">
      <c r="A6" s="366"/>
      <c r="B6" s="367"/>
      <c r="C6" s="3328" t="s">
        <v>2366</v>
      </c>
      <c r="D6" s="3329"/>
      <c r="E6" s="3363" t="s">
        <v>2366</v>
      </c>
      <c r="F6" s="3364"/>
      <c r="G6" s="3328" t="s">
        <v>2366</v>
      </c>
      <c r="H6" s="3329"/>
      <c r="I6" s="3328" t="s">
        <v>2366</v>
      </c>
      <c r="J6" s="3329"/>
      <c r="K6" s="567" t="s">
        <v>2367</v>
      </c>
      <c r="L6" s="2939"/>
      <c r="M6" s="2940"/>
      <c r="N6" s="2940"/>
      <c r="O6" s="2940"/>
      <c r="P6" s="3376"/>
      <c r="Q6" s="3311"/>
      <c r="R6" s="3314"/>
      <c r="S6" s="3315"/>
      <c r="T6" s="3316"/>
      <c r="U6" s="3317"/>
      <c r="V6" s="3318"/>
      <c r="W6" s="3318"/>
      <c r="X6" s="1539"/>
      <c r="Y6" s="3316"/>
      <c r="Z6" s="3317"/>
      <c r="AA6" s="3301"/>
      <c r="AB6" s="3301"/>
      <c r="AC6" s="3372"/>
    </row>
    <row r="7" spans="1:29" s="113" customFormat="1" ht="15.75" thickBot="1">
      <c r="A7" s="368" t="s">
        <v>2368</v>
      </c>
      <c r="B7" s="369"/>
      <c r="C7" s="370">
        <f>'数据-取费表'!B2</f>
        <v>44523</v>
      </c>
      <c r="D7" s="371">
        <v>100</v>
      </c>
      <c r="E7" s="372"/>
      <c r="F7" s="373">
        <f>SUMIF(59:59,YEAR(E7)&amp;"-"&amp;MONTH(E7),60:60)</f>
        <v>0</v>
      </c>
      <c r="G7" s="372"/>
      <c r="H7" s="371">
        <f>SUMIF(59:59,YEAR(G7)&amp;"-"&amp;MONTH(G7),60:60)</f>
        <v>0</v>
      </c>
      <c r="I7" s="372"/>
      <c r="J7" s="371">
        <f>SUMIF(59:59,YEAR(I7)&amp;"-"&amp;MONTH(I7),60:60)</f>
        <v>0</v>
      </c>
      <c r="K7" s="568"/>
      <c r="L7" s="2941"/>
      <c r="M7" s="2942"/>
      <c r="N7" s="2942"/>
      <c r="O7" s="2942"/>
      <c r="P7" s="3380" t="s">
        <v>2369</v>
      </c>
      <c r="Q7" s="3325"/>
      <c r="R7" s="710" t="s">
        <v>17</v>
      </c>
      <c r="S7" s="711">
        <f t="shared" ref="S7:S15" si="0">F7</f>
        <v>0</v>
      </c>
      <c r="T7" s="710" t="s">
        <v>17</v>
      </c>
      <c r="U7" s="711">
        <f t="shared" ref="U7:U15" si="1">H7</f>
        <v>0</v>
      </c>
      <c r="V7" s="710" t="s">
        <v>17</v>
      </c>
      <c r="W7" s="711">
        <f t="shared" ref="W7:W15" si="2">J7</f>
        <v>0</v>
      </c>
      <c r="X7" s="712"/>
      <c r="Y7" s="3323" t="s">
        <v>2369</v>
      </c>
      <c r="Z7" s="3324"/>
      <c r="AA7" s="713" t="e">
        <f>D7/F7</f>
        <v>#DIV/0!</v>
      </c>
      <c r="AB7" s="713" t="e">
        <f>D7/H7</f>
        <v>#DIV/0!</v>
      </c>
      <c r="AC7" s="2144"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1"/>
      <c r="M8" s="2942"/>
      <c r="N8" s="2942"/>
      <c r="O8" s="2942"/>
      <c r="P8" s="3380" t="s">
        <v>2372</v>
      </c>
      <c r="Q8" s="3324"/>
      <c r="R8" s="710" t="s">
        <v>17</v>
      </c>
      <c r="S8" s="711">
        <f t="shared" si="0"/>
        <v>0</v>
      </c>
      <c r="T8" s="710" t="s">
        <v>17</v>
      </c>
      <c r="U8" s="711">
        <f t="shared" si="1"/>
        <v>0</v>
      </c>
      <c r="V8" s="710" t="s">
        <v>17</v>
      </c>
      <c r="W8" s="711">
        <f t="shared" si="2"/>
        <v>0</v>
      </c>
      <c r="X8" s="712"/>
      <c r="Y8" s="3323" t="s">
        <v>2372</v>
      </c>
      <c r="Z8" s="3324"/>
      <c r="AA8" s="713" t="e">
        <f t="shared" ref="AA8:AA47" si="3">D8/F8</f>
        <v>#DIV/0!</v>
      </c>
      <c r="AB8" s="713" t="e">
        <f t="shared" ref="AB8:AB47" si="4">D8/H8</f>
        <v>#DIV/0!</v>
      </c>
      <c r="AC8" s="2144"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1"/>
      <c r="M9" s="2942"/>
      <c r="N9" s="2942"/>
      <c r="O9" s="2942"/>
      <c r="P9" s="3298" t="s">
        <v>2375</v>
      </c>
      <c r="Q9" s="1527" t="str">
        <f t="shared" ref="Q9:Q15" si="6">B9</f>
        <v>用途</v>
      </c>
      <c r="R9" s="710" t="s">
        <v>17</v>
      </c>
      <c r="S9" s="711">
        <f t="shared" si="0"/>
        <v>100</v>
      </c>
      <c r="T9" s="710" t="s">
        <v>17</v>
      </c>
      <c r="U9" s="711">
        <f t="shared" si="1"/>
        <v>100</v>
      </c>
      <c r="V9" s="710" t="s">
        <v>17</v>
      </c>
      <c r="W9" s="711">
        <f t="shared" si="2"/>
        <v>100</v>
      </c>
      <c r="X9" s="712"/>
      <c r="Y9" s="3185" t="s">
        <v>2376</v>
      </c>
      <c r="Z9" s="55" t="str">
        <f t="shared" ref="Z9:Z15" si="7">Q9</f>
        <v>用途</v>
      </c>
      <c r="AA9" s="713">
        <f t="shared" si="3"/>
        <v>1</v>
      </c>
      <c r="AB9" s="713">
        <f t="shared" si="4"/>
        <v>1</v>
      </c>
      <c r="AC9" s="2144">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3"/>
      <c r="M10" s="2944"/>
      <c r="N10" s="2944"/>
      <c r="O10" s="2944"/>
      <c r="P10" s="3298"/>
      <c r="Q10" s="1527"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2144">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5"/>
      <c r="M11" s="2940"/>
      <c r="N11" s="2940"/>
      <c r="O11" s="2940"/>
      <c r="P11" s="3298"/>
      <c r="Q11" s="1527" t="str">
        <f t="shared" si="6"/>
        <v>容积率</v>
      </c>
      <c r="R11" s="710" t="s">
        <v>17</v>
      </c>
      <c r="S11" s="711" t="e">
        <f t="shared" si="0"/>
        <v>#N/A</v>
      </c>
      <c r="T11" s="710" t="s">
        <v>17</v>
      </c>
      <c r="U11" s="711" t="e">
        <f t="shared" si="1"/>
        <v>#N/A</v>
      </c>
      <c r="V11" s="710" t="s">
        <v>17</v>
      </c>
      <c r="W11" s="711" t="e">
        <f t="shared" si="2"/>
        <v>#N/A</v>
      </c>
      <c r="X11" s="712"/>
      <c r="Y11" s="3185"/>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1"/>
      <c r="M12" s="2942"/>
      <c r="N12" s="2942"/>
      <c r="O12" s="2942"/>
      <c r="P12" s="3298"/>
      <c r="Q12" s="1527">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46"/>
      <c r="M13" s="2940"/>
      <c r="N13" s="2940"/>
      <c r="O13" s="2940"/>
      <c r="P13" s="3298"/>
      <c r="Q13" s="1527">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46"/>
      <c r="M14" s="2940"/>
      <c r="N14" s="2940"/>
      <c r="O14" s="2940"/>
      <c r="P14" s="3298"/>
      <c r="Q14" s="1527">
        <f t="shared" si="6"/>
        <v>111</v>
      </c>
      <c r="R14" s="710" t="s">
        <v>17</v>
      </c>
      <c r="S14" s="711">
        <f t="shared" si="0"/>
        <v>100</v>
      </c>
      <c r="T14" s="710" t="s">
        <v>17</v>
      </c>
      <c r="U14" s="711">
        <f t="shared" si="1"/>
        <v>100</v>
      </c>
      <c r="V14" s="710" t="s">
        <v>17</v>
      </c>
      <c r="W14" s="711">
        <f t="shared" si="2"/>
        <v>100</v>
      </c>
      <c r="X14" s="712"/>
      <c r="Y14" s="3185"/>
      <c r="Z14" s="55">
        <f t="shared" si="7"/>
        <v>111</v>
      </c>
      <c r="AA14" s="713">
        <f t="shared" si="3"/>
        <v>1</v>
      </c>
      <c r="AB14" s="713">
        <f t="shared" si="4"/>
        <v>1</v>
      </c>
      <c r="AC14" s="2144">
        <f t="shared" si="5"/>
        <v>1</v>
      </c>
    </row>
    <row r="15" spans="1:29" ht="71.25">
      <c r="A15" s="399" t="s">
        <v>2379</v>
      </c>
      <c r="B15" s="585" t="s">
        <v>2507</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6"/>
      <c r="M15" s="2940"/>
      <c r="N15" s="2940"/>
      <c r="O15" s="2940"/>
      <c r="P15" s="3296" t="s">
        <v>2380</v>
      </c>
      <c r="Q15" s="1536" t="str">
        <f t="shared" si="6"/>
        <v>办公集聚程度</v>
      </c>
      <c r="R15" s="714" t="s">
        <v>17</v>
      </c>
      <c r="S15" s="715">
        <f t="shared" si="0"/>
        <v>100</v>
      </c>
      <c r="T15" s="714" t="s">
        <v>17</v>
      </c>
      <c r="U15" s="715">
        <f t="shared" si="1"/>
        <v>100</v>
      </c>
      <c r="V15" s="714" t="s">
        <v>17</v>
      </c>
      <c r="W15" s="715">
        <f t="shared" si="2"/>
        <v>100</v>
      </c>
      <c r="X15" s="1539"/>
      <c r="Y15" s="3289" t="s">
        <v>2380</v>
      </c>
      <c r="Z15" s="1540" t="str">
        <f t="shared" si="7"/>
        <v>办公集聚程度</v>
      </c>
      <c r="AA15" s="1537">
        <f t="shared" si="3"/>
        <v>1</v>
      </c>
      <c r="AB15" s="1537">
        <f t="shared" si="4"/>
        <v>1</v>
      </c>
      <c r="AC15" s="2147">
        <f t="shared" si="5"/>
        <v>1</v>
      </c>
    </row>
    <row r="16" spans="1:29" ht="15">
      <c r="A16" s="387"/>
      <c r="B16" s="586"/>
      <c r="C16" s="2089"/>
      <c r="D16" s="407"/>
      <c r="E16" s="406"/>
      <c r="F16" s="407"/>
      <c r="G16" s="2089"/>
      <c r="H16" s="409"/>
      <c r="I16" s="406"/>
      <c r="J16" s="407"/>
      <c r="K16" s="572"/>
      <c r="L16" s="2946"/>
      <c r="M16" s="2940"/>
      <c r="N16" s="2940"/>
      <c r="O16" s="2940"/>
      <c r="P16" s="3297"/>
      <c r="Q16" s="1536"/>
      <c r="R16" s="714"/>
      <c r="S16" s="715"/>
      <c r="T16" s="714"/>
      <c r="U16" s="715"/>
      <c r="V16" s="714"/>
      <c r="W16" s="715"/>
      <c r="X16" s="1539"/>
      <c r="Y16" s="3290"/>
      <c r="Z16" s="1540"/>
      <c r="AA16" s="1537">
        <v>1</v>
      </c>
      <c r="AB16" s="1537">
        <v>1</v>
      </c>
      <c r="AC16" s="2147">
        <v>1</v>
      </c>
    </row>
    <row r="17" spans="1:29" ht="71.25">
      <c r="A17" s="387"/>
      <c r="B17" s="587" t="s">
        <v>1944</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6"/>
      <c r="M17" s="2940"/>
      <c r="N17" s="2940"/>
      <c r="O17" s="2940"/>
      <c r="P17" s="3297"/>
      <c r="Q17" s="1536" t="str">
        <f>B17</f>
        <v>交通便捷度</v>
      </c>
      <c r="R17" s="714" t="s">
        <v>17</v>
      </c>
      <c r="S17" s="715">
        <f>F17</f>
        <v>100</v>
      </c>
      <c r="T17" s="714" t="s">
        <v>17</v>
      </c>
      <c r="U17" s="715">
        <f>H17</f>
        <v>100</v>
      </c>
      <c r="V17" s="714" t="s">
        <v>17</v>
      </c>
      <c r="W17" s="715">
        <f>J17</f>
        <v>100</v>
      </c>
      <c r="X17" s="1539"/>
      <c r="Y17" s="3290"/>
      <c r="Z17" s="1540" t="str">
        <f>Q17</f>
        <v>交通便捷度</v>
      </c>
      <c r="AA17" s="1537">
        <f t="shared" si="3"/>
        <v>1</v>
      </c>
      <c r="AB17" s="1537">
        <f t="shared" si="4"/>
        <v>1</v>
      </c>
      <c r="AC17" s="2147">
        <f t="shared" si="5"/>
        <v>1</v>
      </c>
    </row>
    <row r="18" spans="1:29" ht="15">
      <c r="A18" s="387"/>
      <c r="B18" s="588"/>
      <c r="C18" s="2149"/>
      <c r="D18" s="409"/>
      <c r="E18" s="2087"/>
      <c r="F18" s="409"/>
      <c r="G18" s="2088"/>
      <c r="H18" s="407"/>
      <c r="I18" s="2088"/>
      <c r="J18" s="407"/>
      <c r="K18" s="572"/>
      <c r="L18" s="2946"/>
      <c r="M18" s="2940"/>
      <c r="N18" s="2940"/>
      <c r="O18" s="2940"/>
      <c r="P18" s="3297"/>
      <c r="Q18" s="1536"/>
      <c r="R18" s="714"/>
      <c r="S18" s="715"/>
      <c r="T18" s="714"/>
      <c r="U18" s="715"/>
      <c r="V18" s="714"/>
      <c r="W18" s="715"/>
      <c r="X18" s="1539"/>
      <c r="Y18" s="3290"/>
      <c r="Z18" s="1540"/>
      <c r="AA18" s="1537">
        <v>1</v>
      </c>
      <c r="AB18" s="1537">
        <v>1</v>
      </c>
      <c r="AC18" s="2147">
        <v>1</v>
      </c>
    </row>
    <row r="19" spans="1:29" ht="42.75">
      <c r="A19" s="387"/>
      <c r="B19" s="587" t="s">
        <v>2508</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6"/>
      <c r="M19" s="2940"/>
      <c r="N19" s="2940"/>
      <c r="O19" s="2940"/>
      <c r="P19" s="3297"/>
      <c r="Q19" s="1536" t="str">
        <f>B19</f>
        <v>公共配套设施</v>
      </c>
      <c r="R19" s="714" t="s">
        <v>17</v>
      </c>
      <c r="S19" s="715">
        <f>F19</f>
        <v>100</v>
      </c>
      <c r="T19" s="714" t="s">
        <v>17</v>
      </c>
      <c r="U19" s="715">
        <f>H19</f>
        <v>100</v>
      </c>
      <c r="V19" s="714" t="s">
        <v>17</v>
      </c>
      <c r="W19" s="715">
        <f>J19</f>
        <v>100</v>
      </c>
      <c r="X19" s="1539"/>
      <c r="Y19" s="3290"/>
      <c r="Z19" s="1540" t="str">
        <f>Q19</f>
        <v>公共配套设施</v>
      </c>
      <c r="AA19" s="1537">
        <f t="shared" si="3"/>
        <v>1</v>
      </c>
      <c r="AB19" s="1537">
        <f t="shared" si="4"/>
        <v>1</v>
      </c>
      <c r="AC19" s="2147">
        <f t="shared" si="5"/>
        <v>1</v>
      </c>
    </row>
    <row r="20" spans="1:29" ht="15">
      <c r="A20" s="387"/>
      <c r="B20" s="588"/>
      <c r="C20" s="2089"/>
      <c r="D20" s="407"/>
      <c r="E20" s="2082"/>
      <c r="F20" s="407"/>
      <c r="G20" s="2083"/>
      <c r="H20" s="407"/>
      <c r="I20" s="2083"/>
      <c r="J20" s="407"/>
      <c r="K20" s="572"/>
      <c r="L20" s="2946"/>
      <c r="M20" s="2940"/>
      <c r="N20" s="2940"/>
      <c r="O20" s="2940"/>
      <c r="P20" s="3297"/>
      <c r="Q20" s="1536"/>
      <c r="R20" s="714"/>
      <c r="S20" s="715"/>
      <c r="T20" s="714"/>
      <c r="U20" s="715"/>
      <c r="V20" s="714"/>
      <c r="W20" s="715"/>
      <c r="X20" s="1539"/>
      <c r="Y20" s="3290"/>
      <c r="Z20" s="1540"/>
      <c r="AA20" s="1537">
        <v>1</v>
      </c>
      <c r="AB20" s="1537">
        <v>1</v>
      </c>
      <c r="AC20" s="2147">
        <v>1</v>
      </c>
    </row>
    <row r="21" spans="1:29" ht="28.5">
      <c r="A21" s="387"/>
      <c r="B21" s="589" t="s">
        <v>2509</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6"/>
      <c r="M21" s="2940"/>
      <c r="N21" s="2940"/>
      <c r="O21" s="2940"/>
      <c r="P21" s="3297"/>
      <c r="Q21" s="1536" t="str">
        <f>B21</f>
        <v>基础设施水平</v>
      </c>
      <c r="R21" s="714" t="s">
        <v>17</v>
      </c>
      <c r="S21" s="715">
        <f>F21</f>
        <v>100</v>
      </c>
      <c r="T21" s="714" t="s">
        <v>17</v>
      </c>
      <c r="U21" s="715">
        <f>H21</f>
        <v>100</v>
      </c>
      <c r="V21" s="714" t="s">
        <v>17</v>
      </c>
      <c r="W21" s="715">
        <f>J21</f>
        <v>100</v>
      </c>
      <c r="X21" s="1539"/>
      <c r="Y21" s="3290"/>
      <c r="Z21" s="1540" t="str">
        <f>Q21</f>
        <v>基础设施水平</v>
      </c>
      <c r="AA21" s="1537">
        <f t="shared" ref="AA21" si="8">D21/F21</f>
        <v>1</v>
      </c>
      <c r="AB21" s="1537">
        <f t="shared" ref="AB21" si="9">D21/H21</f>
        <v>1</v>
      </c>
      <c r="AC21" s="2147">
        <f t="shared" ref="AC21" si="10">D21/J21</f>
        <v>1</v>
      </c>
    </row>
    <row r="22" spans="1:29" ht="15">
      <c r="A22" s="387"/>
      <c r="B22" s="589"/>
      <c r="C22" s="2149"/>
      <c r="D22" s="407"/>
      <c r="E22" s="406"/>
      <c r="F22" s="407"/>
      <c r="G22" s="2089"/>
      <c r="H22" s="407"/>
      <c r="I22" s="2089"/>
      <c r="J22" s="407"/>
      <c r="K22" s="1292"/>
      <c r="L22" s="2946"/>
      <c r="M22" s="2940"/>
      <c r="N22" s="2940"/>
      <c r="O22" s="2940"/>
      <c r="P22" s="3297"/>
      <c r="Q22" s="1536"/>
      <c r="R22" s="714"/>
      <c r="S22" s="715"/>
      <c r="T22" s="714"/>
      <c r="U22" s="715"/>
      <c r="V22" s="714"/>
      <c r="W22" s="715"/>
      <c r="X22" s="1539"/>
      <c r="Y22" s="3290"/>
      <c r="Z22" s="1540"/>
      <c r="AA22" s="1537">
        <v>1</v>
      </c>
      <c r="AB22" s="1537">
        <v>1</v>
      </c>
      <c r="AC22" s="2147">
        <v>1</v>
      </c>
    </row>
    <row r="23" spans="1:29" ht="42.75">
      <c r="A23" s="387"/>
      <c r="B23" s="587" t="s">
        <v>2510</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6"/>
      <c r="M23" s="2940"/>
      <c r="N23" s="2940"/>
      <c r="O23" s="2940"/>
      <c r="P23" s="3297"/>
      <c r="Q23" s="1536" t="str">
        <f>B23</f>
        <v>环境质量</v>
      </c>
      <c r="R23" s="714" t="s">
        <v>17</v>
      </c>
      <c r="S23" s="715">
        <f>F23</f>
        <v>100</v>
      </c>
      <c r="T23" s="714" t="s">
        <v>17</v>
      </c>
      <c r="U23" s="715">
        <f>H23</f>
        <v>100</v>
      </c>
      <c r="V23" s="714" t="s">
        <v>17</v>
      </c>
      <c r="W23" s="715">
        <f>J23</f>
        <v>100</v>
      </c>
      <c r="X23" s="1539"/>
      <c r="Y23" s="3290"/>
      <c r="Z23" s="1540" t="str">
        <f>Q23</f>
        <v>环境质量</v>
      </c>
      <c r="AA23" s="1537">
        <f t="shared" si="3"/>
        <v>1</v>
      </c>
      <c r="AB23" s="1537">
        <f t="shared" si="4"/>
        <v>1</v>
      </c>
      <c r="AC23" s="2147">
        <f t="shared" si="5"/>
        <v>1</v>
      </c>
    </row>
    <row r="24" spans="1:29" ht="15">
      <c r="A24" s="387"/>
      <c r="B24" s="589"/>
      <c r="C24" s="2089"/>
      <c r="D24" s="407"/>
      <c r="E24" s="2082"/>
      <c r="F24" s="407"/>
      <c r="G24" s="2083"/>
      <c r="H24" s="407"/>
      <c r="I24" s="2083"/>
      <c r="J24" s="407"/>
      <c r="K24" s="572"/>
      <c r="L24" s="2946"/>
      <c r="M24" s="2940"/>
      <c r="N24" s="2940"/>
      <c r="O24" s="2940"/>
      <c r="P24" s="3297"/>
      <c r="Q24" s="1536"/>
      <c r="R24" s="714"/>
      <c r="S24" s="715"/>
      <c r="T24" s="714"/>
      <c r="U24" s="715"/>
      <c r="V24" s="714"/>
      <c r="W24" s="715"/>
      <c r="X24" s="1539"/>
      <c r="Y24" s="3290"/>
      <c r="Z24" s="1540"/>
      <c r="AA24" s="1537">
        <v>1</v>
      </c>
      <c r="AB24" s="1537">
        <v>1</v>
      </c>
      <c r="AC24" s="2147">
        <v>1</v>
      </c>
    </row>
    <row r="25" spans="1:29" ht="27">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46"/>
      <c r="M25" s="2940"/>
      <c r="N25" s="2940"/>
      <c r="O25" s="2940"/>
      <c r="P25" s="3297"/>
      <c r="Q25" s="1536" t="str">
        <f>B25</f>
        <v>毗邻道路的类型与等级</v>
      </c>
      <c r="R25" s="714" t="s">
        <v>17</v>
      </c>
      <c r="S25" s="715">
        <f>F25</f>
        <v>100</v>
      </c>
      <c r="T25" s="714" t="s">
        <v>17</v>
      </c>
      <c r="U25" s="715">
        <f>H25</f>
        <v>100</v>
      </c>
      <c r="V25" s="714" t="s">
        <v>17</v>
      </c>
      <c r="W25" s="715">
        <f>J25</f>
        <v>100</v>
      </c>
      <c r="X25" s="1539"/>
      <c r="Y25" s="3290"/>
      <c r="Z25" s="1540" t="str">
        <f>Q25</f>
        <v>毗邻道路的类型与等级</v>
      </c>
      <c r="AA25" s="1537">
        <f t="shared" si="3"/>
        <v>1</v>
      </c>
      <c r="AB25" s="1537">
        <f t="shared" si="4"/>
        <v>1</v>
      </c>
      <c r="AC25" s="2147">
        <f t="shared" si="5"/>
        <v>1</v>
      </c>
    </row>
    <row r="26" spans="1:29" ht="15">
      <c r="A26" s="364"/>
      <c r="B26" s="588"/>
      <c r="C26" s="590"/>
      <c r="D26" s="394"/>
      <c r="E26" s="573"/>
      <c r="F26" s="394"/>
      <c r="G26" s="590"/>
      <c r="H26" s="394"/>
      <c r="I26" s="573"/>
      <c r="J26" s="394"/>
      <c r="K26" s="572"/>
      <c r="L26" s="2946"/>
      <c r="M26" s="2940"/>
      <c r="N26" s="2940"/>
      <c r="O26" s="2940"/>
      <c r="P26" s="3297"/>
      <c r="Q26" s="1536"/>
      <c r="R26" s="714"/>
      <c r="S26" s="715"/>
      <c r="T26" s="714"/>
      <c r="U26" s="715"/>
      <c r="V26" s="714"/>
      <c r="W26" s="715"/>
      <c r="X26" s="1539"/>
      <c r="Y26" s="3290"/>
      <c r="Z26" s="1540"/>
      <c r="AA26" s="1537">
        <v>1</v>
      </c>
      <c r="AB26" s="1537">
        <v>1</v>
      </c>
      <c r="AC26" s="2147">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6"/>
      <c r="M27" s="2940"/>
      <c r="N27" s="2940"/>
      <c r="O27" s="2940"/>
      <c r="P27" s="3297"/>
      <c r="Q27" s="1536" t="str">
        <f t="shared" ref="Q27:Q47" si="11">B27</f>
        <v>楼层</v>
      </c>
      <c r="R27" s="714" t="s">
        <v>17</v>
      </c>
      <c r="S27" s="715">
        <f>F27</f>
        <v>100</v>
      </c>
      <c r="T27" s="714" t="s">
        <v>17</v>
      </c>
      <c r="U27" s="715">
        <f>H27</f>
        <v>100</v>
      </c>
      <c r="V27" s="714" t="s">
        <v>17</v>
      </c>
      <c r="W27" s="715">
        <f>J27</f>
        <v>100</v>
      </c>
      <c r="X27" s="1539"/>
      <c r="Y27" s="3290"/>
      <c r="Z27" s="1540" t="str">
        <f>Q27</f>
        <v>楼层</v>
      </c>
      <c r="AA27" s="1537">
        <f t="shared" si="3"/>
        <v>1</v>
      </c>
      <c r="AB27" s="1537">
        <f t="shared" si="4"/>
        <v>1</v>
      </c>
      <c r="AC27" s="2147">
        <f t="shared" si="5"/>
        <v>1</v>
      </c>
    </row>
    <row r="28" spans="1:29" s="113" customFormat="1" ht="15">
      <c r="A28" s="390"/>
      <c r="B28" s="587" t="s">
        <v>2512</v>
      </c>
      <c r="C28" s="2150"/>
      <c r="D28" s="421">
        <v>100</v>
      </c>
      <c r="E28" s="2141"/>
      <c r="F28" s="421">
        <f>SUMIF(91:91,E28,92:92)-SUMIF(91:91,C28,92:92)+100</f>
        <v>100</v>
      </c>
      <c r="G28" s="2150"/>
      <c r="H28" s="421">
        <f>SUMIF(91:91,G28,92:92)-SUMIF(91:91,C28,92:92)+100</f>
        <v>100</v>
      </c>
      <c r="I28" s="2141"/>
      <c r="J28" s="421">
        <f>SUMIF(91:91,I28,92:92)-SUMIF(91:91,C28,92:92)+100</f>
        <v>100</v>
      </c>
      <c r="K28" s="569"/>
      <c r="L28" s="2941"/>
      <c r="M28" s="2942"/>
      <c r="N28" s="2942"/>
      <c r="O28" s="2942"/>
      <c r="P28" s="3297"/>
      <c r="Q28" s="1527" t="str">
        <f t="shared" si="11"/>
        <v>朝向</v>
      </c>
      <c r="R28" s="710" t="s">
        <v>17</v>
      </c>
      <c r="S28" s="711">
        <f>F28</f>
        <v>100</v>
      </c>
      <c r="T28" s="710" t="s">
        <v>17</v>
      </c>
      <c r="U28" s="711">
        <f>H28</f>
        <v>100</v>
      </c>
      <c r="V28" s="710" t="s">
        <v>17</v>
      </c>
      <c r="W28" s="711">
        <f>J28</f>
        <v>100</v>
      </c>
      <c r="X28" s="712"/>
      <c r="Y28" s="3290"/>
      <c r="Z28" s="55" t="str">
        <f>Q28</f>
        <v>朝向</v>
      </c>
      <c r="AA28" s="1537">
        <f>D28/F28</f>
        <v>1</v>
      </c>
      <c r="AB28" s="1537">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46"/>
      <c r="M29" s="2940"/>
      <c r="N29" s="2940"/>
      <c r="O29" s="2940"/>
      <c r="P29" s="3297"/>
      <c r="Q29" s="1536">
        <f t="shared" si="11"/>
        <v>111</v>
      </c>
      <c r="R29" s="714" t="s">
        <v>17</v>
      </c>
      <c r="S29" s="715">
        <f t="shared" ref="S29:S47" si="12">F29</f>
        <v>100</v>
      </c>
      <c r="T29" s="714" t="s">
        <v>17</v>
      </c>
      <c r="U29" s="715">
        <f t="shared" ref="U29:U47" si="13">H29</f>
        <v>100</v>
      </c>
      <c r="V29" s="714" t="s">
        <v>17</v>
      </c>
      <c r="W29" s="715">
        <f t="shared" ref="W29:W47" si="14">J29</f>
        <v>100</v>
      </c>
      <c r="X29" s="1539"/>
      <c r="Y29" s="3290"/>
      <c r="Z29" s="1540">
        <f t="shared" ref="Z29:Z47" si="15">Q29</f>
        <v>111</v>
      </c>
      <c r="AA29" s="1537">
        <f t="shared" si="3"/>
        <v>1</v>
      </c>
      <c r="AB29" s="1537">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46"/>
      <c r="M30" s="2940"/>
      <c r="N30" s="2940"/>
      <c r="O30" s="2940"/>
      <c r="P30" s="3297"/>
      <c r="Q30" s="1536">
        <f t="shared" si="11"/>
        <v>111</v>
      </c>
      <c r="R30" s="714" t="s">
        <v>17</v>
      </c>
      <c r="S30" s="715">
        <f t="shared" si="12"/>
        <v>100</v>
      </c>
      <c r="T30" s="714" t="s">
        <v>17</v>
      </c>
      <c r="U30" s="715">
        <f t="shared" si="13"/>
        <v>100</v>
      </c>
      <c r="V30" s="714" t="s">
        <v>17</v>
      </c>
      <c r="W30" s="715">
        <f t="shared" si="14"/>
        <v>100</v>
      </c>
      <c r="X30" s="1539"/>
      <c r="Y30" s="3290"/>
      <c r="Z30" s="1540">
        <f t="shared" si="15"/>
        <v>111</v>
      </c>
      <c r="AA30" s="1537">
        <f t="shared" si="3"/>
        <v>1</v>
      </c>
      <c r="AB30" s="1537">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46"/>
      <c r="M31" s="2940"/>
      <c r="N31" s="2940"/>
      <c r="O31" s="2940"/>
      <c r="P31" s="3297"/>
      <c r="Q31" s="1536">
        <f t="shared" si="11"/>
        <v>111</v>
      </c>
      <c r="R31" s="714" t="s">
        <v>17</v>
      </c>
      <c r="S31" s="715">
        <f t="shared" si="12"/>
        <v>100</v>
      </c>
      <c r="T31" s="714" t="s">
        <v>17</v>
      </c>
      <c r="U31" s="715">
        <f t="shared" si="13"/>
        <v>100</v>
      </c>
      <c r="V31" s="714" t="s">
        <v>17</v>
      </c>
      <c r="W31" s="715">
        <f t="shared" si="14"/>
        <v>100</v>
      </c>
      <c r="X31" s="1539"/>
      <c r="Y31" s="3290"/>
      <c r="Z31" s="1540">
        <f t="shared" si="15"/>
        <v>111</v>
      </c>
      <c r="AA31" s="1537">
        <f t="shared" si="3"/>
        <v>1</v>
      </c>
      <c r="AB31" s="1537">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46"/>
      <c r="M32" s="2940"/>
      <c r="N32" s="2940"/>
      <c r="O32" s="2940"/>
      <c r="P32" s="3297"/>
      <c r="Q32" s="1536">
        <f t="shared" si="11"/>
        <v>111</v>
      </c>
      <c r="R32" s="714" t="s">
        <v>17</v>
      </c>
      <c r="S32" s="715">
        <f t="shared" si="12"/>
        <v>100</v>
      </c>
      <c r="T32" s="714" t="s">
        <v>17</v>
      </c>
      <c r="U32" s="715">
        <f t="shared" si="13"/>
        <v>100</v>
      </c>
      <c r="V32" s="714" t="s">
        <v>17</v>
      </c>
      <c r="W32" s="715">
        <f t="shared" si="14"/>
        <v>100</v>
      </c>
      <c r="X32" s="1539"/>
      <c r="Y32" s="3290"/>
      <c r="Z32" s="1540">
        <f t="shared" si="15"/>
        <v>111</v>
      </c>
      <c r="AA32" s="1537">
        <f t="shared" si="3"/>
        <v>1</v>
      </c>
      <c r="AB32" s="1537">
        <f t="shared" si="4"/>
        <v>1</v>
      </c>
      <c r="AC32" s="2147">
        <f t="shared" si="5"/>
        <v>1</v>
      </c>
    </row>
    <row r="33" spans="1:29" ht="15">
      <c r="A33" s="399" t="s">
        <v>2383</v>
      </c>
      <c r="B33" s="67" t="s">
        <v>2513</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46"/>
      <c r="M33" s="2940"/>
      <c r="N33" s="2940"/>
      <c r="O33" s="2940"/>
      <c r="P33" s="3291" t="s">
        <v>2385</v>
      </c>
      <c r="Q33" s="1536" t="str">
        <f t="shared" si="11"/>
        <v>建筑类型</v>
      </c>
      <c r="R33" s="714" t="s">
        <v>17</v>
      </c>
      <c r="S33" s="715">
        <f t="shared" si="12"/>
        <v>100</v>
      </c>
      <c r="T33" s="714" t="s">
        <v>17</v>
      </c>
      <c r="U33" s="715">
        <f t="shared" si="13"/>
        <v>100</v>
      </c>
      <c r="V33" s="714" t="s">
        <v>17</v>
      </c>
      <c r="W33" s="715">
        <f t="shared" si="14"/>
        <v>100</v>
      </c>
      <c r="X33" s="1539"/>
      <c r="Y33" s="3294" t="s">
        <v>2385</v>
      </c>
      <c r="Z33" s="1540" t="str">
        <f t="shared" si="15"/>
        <v>建筑类型</v>
      </c>
      <c r="AA33" s="1537">
        <f t="shared" si="3"/>
        <v>1</v>
      </c>
      <c r="AB33" s="1537">
        <f t="shared" si="4"/>
        <v>1</v>
      </c>
      <c r="AC33" s="2147">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5"/>
      <c r="M34" s="2947"/>
      <c r="N34" s="2947"/>
      <c r="O34" s="2947"/>
      <c r="P34" s="3292"/>
      <c r="Q34" s="716" t="str">
        <f t="shared" si="11"/>
        <v>项目建筑规模</v>
      </c>
      <c r="R34" s="717" t="s">
        <v>17</v>
      </c>
      <c r="S34" s="718" t="e">
        <f t="shared" si="12"/>
        <v>#N/A</v>
      </c>
      <c r="T34" s="717" t="s">
        <v>17</v>
      </c>
      <c r="U34" s="718" t="e">
        <f t="shared" si="13"/>
        <v>#N/A</v>
      </c>
      <c r="V34" s="717" t="s">
        <v>17</v>
      </c>
      <c r="W34" s="718" t="e">
        <f t="shared" si="14"/>
        <v>#N/A</v>
      </c>
      <c r="X34" s="719"/>
      <c r="Y34" s="3294"/>
      <c r="Z34" s="720" t="str">
        <f t="shared" si="15"/>
        <v>项目建筑规模</v>
      </c>
      <c r="AA34" s="1537" t="e">
        <f t="shared" si="3"/>
        <v>#N/A</v>
      </c>
      <c r="AB34" s="1537" t="e">
        <f t="shared" si="4"/>
        <v>#N/A</v>
      </c>
      <c r="AC34" s="2147"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6"/>
      <c r="M35" s="2940"/>
      <c r="N35" s="2940"/>
      <c r="O35" s="2940"/>
      <c r="P35" s="3292"/>
      <c r="Q35" s="1536" t="str">
        <f t="shared" si="11"/>
        <v>建筑结构</v>
      </c>
      <c r="R35" s="714" t="s">
        <v>17</v>
      </c>
      <c r="S35" s="715">
        <f t="shared" si="12"/>
        <v>100</v>
      </c>
      <c r="T35" s="714" t="s">
        <v>17</v>
      </c>
      <c r="U35" s="715">
        <f t="shared" si="13"/>
        <v>100</v>
      </c>
      <c r="V35" s="714" t="s">
        <v>17</v>
      </c>
      <c r="W35" s="715">
        <f t="shared" si="14"/>
        <v>100</v>
      </c>
      <c r="X35" s="1539"/>
      <c r="Y35" s="3294"/>
      <c r="Z35" s="1540" t="str">
        <f t="shared" si="15"/>
        <v>建筑结构</v>
      </c>
      <c r="AA35" s="1537">
        <f t="shared" si="3"/>
        <v>1</v>
      </c>
      <c r="AB35" s="1537">
        <f t="shared" si="4"/>
        <v>1</v>
      </c>
      <c r="AC35" s="2147">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6"/>
      <c r="M36" s="2940"/>
      <c r="N36" s="2940"/>
      <c r="O36" s="2940"/>
      <c r="P36" s="3292"/>
      <c r="Q36" s="1536" t="str">
        <f t="shared" si="11"/>
        <v>公共部分装修</v>
      </c>
      <c r="R36" s="714" t="s">
        <v>17</v>
      </c>
      <c r="S36" s="715">
        <f t="shared" si="12"/>
        <v>100</v>
      </c>
      <c r="T36" s="714" t="s">
        <v>17</v>
      </c>
      <c r="U36" s="715">
        <f t="shared" si="13"/>
        <v>100</v>
      </c>
      <c r="V36" s="714" t="s">
        <v>17</v>
      </c>
      <c r="W36" s="715">
        <f t="shared" si="14"/>
        <v>100</v>
      </c>
      <c r="X36" s="1539"/>
      <c r="Y36" s="3294"/>
      <c r="Z36" s="1540" t="str">
        <f t="shared" si="15"/>
        <v>公共部分装修</v>
      </c>
      <c r="AA36" s="1537">
        <f t="shared" si="3"/>
        <v>1</v>
      </c>
      <c r="AB36" s="1537">
        <f t="shared" si="4"/>
        <v>1</v>
      </c>
      <c r="AC36" s="2147">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6"/>
      <c r="M37" s="2940"/>
      <c r="N37" s="2940"/>
      <c r="O37" s="2940"/>
      <c r="P37" s="3292"/>
      <c r="Q37" s="1536" t="str">
        <f t="shared" si="11"/>
        <v>成新度</v>
      </c>
      <c r="R37" s="714" t="s">
        <v>17</v>
      </c>
      <c r="S37" s="715" t="e">
        <f t="shared" si="12"/>
        <v>#N/A</v>
      </c>
      <c r="T37" s="714" t="s">
        <v>17</v>
      </c>
      <c r="U37" s="715" t="e">
        <f t="shared" si="13"/>
        <v>#N/A</v>
      </c>
      <c r="V37" s="714" t="s">
        <v>17</v>
      </c>
      <c r="W37" s="715" t="e">
        <f t="shared" si="14"/>
        <v>#N/A</v>
      </c>
      <c r="X37" s="1539"/>
      <c r="Y37" s="3294"/>
      <c r="Z37" s="1540" t="str">
        <f t="shared" si="15"/>
        <v>成新度</v>
      </c>
      <c r="AA37" s="1537" t="e">
        <f t="shared" si="3"/>
        <v>#N/A</v>
      </c>
      <c r="AB37" s="1537" t="e">
        <f t="shared" si="4"/>
        <v>#N/A</v>
      </c>
      <c r="AC37" s="2147"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1"/>
      <c r="M38" s="2942"/>
      <c r="N38" s="2942"/>
      <c r="O38" s="2942"/>
      <c r="P38" s="3292"/>
      <c r="Q38" s="1527" t="str">
        <f t="shared" si="11"/>
        <v>写字楼等级</v>
      </c>
      <c r="R38" s="710" t="s">
        <v>17</v>
      </c>
      <c r="S38" s="711">
        <f t="shared" si="12"/>
        <v>100</v>
      </c>
      <c r="T38" s="710" t="s">
        <v>17</v>
      </c>
      <c r="U38" s="711">
        <f t="shared" si="13"/>
        <v>100</v>
      </c>
      <c r="V38" s="710" t="s">
        <v>17</v>
      </c>
      <c r="W38" s="711">
        <f t="shared" si="14"/>
        <v>100</v>
      </c>
      <c r="X38" s="712"/>
      <c r="Y38" s="3294"/>
      <c r="Z38" s="55" t="str">
        <f t="shared" si="15"/>
        <v>写字楼等级</v>
      </c>
      <c r="AA38" s="713">
        <f t="shared" si="3"/>
        <v>1</v>
      </c>
      <c r="AB38" s="713">
        <f t="shared" si="4"/>
        <v>1</v>
      </c>
      <c r="AC38" s="2144">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6"/>
      <c r="M39" s="2940"/>
      <c r="N39" s="2940"/>
      <c r="O39" s="2940"/>
      <c r="P39" s="3292" t="s">
        <v>2385</v>
      </c>
      <c r="Q39" s="1536" t="str">
        <f t="shared" si="11"/>
        <v>物业管理</v>
      </c>
      <c r="R39" s="714" t="s">
        <v>17</v>
      </c>
      <c r="S39" s="715">
        <f t="shared" si="12"/>
        <v>100</v>
      </c>
      <c r="T39" s="714" t="s">
        <v>17</v>
      </c>
      <c r="U39" s="715">
        <f t="shared" si="13"/>
        <v>100</v>
      </c>
      <c r="V39" s="714" t="s">
        <v>17</v>
      </c>
      <c r="W39" s="715">
        <f t="shared" si="14"/>
        <v>100</v>
      </c>
      <c r="X39" s="1539"/>
      <c r="Y39" s="3294" t="s">
        <v>2385</v>
      </c>
      <c r="Z39" s="1540" t="str">
        <f t="shared" si="15"/>
        <v>物业管理</v>
      </c>
      <c r="AA39" s="1537">
        <f t="shared" si="3"/>
        <v>1</v>
      </c>
      <c r="AB39" s="1537">
        <f t="shared" si="4"/>
        <v>1</v>
      </c>
      <c r="AC39" s="2147">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6"/>
      <c r="M40" s="2940"/>
      <c r="N40" s="2940"/>
      <c r="O40" s="2940"/>
      <c r="P40" s="3292"/>
      <c r="Q40" s="1536" t="str">
        <f t="shared" si="11"/>
        <v>市政基础设施</v>
      </c>
      <c r="R40" s="714" t="s">
        <v>17</v>
      </c>
      <c r="S40" s="715">
        <f t="shared" si="12"/>
        <v>100</v>
      </c>
      <c r="T40" s="714" t="s">
        <v>17</v>
      </c>
      <c r="U40" s="715">
        <f t="shared" si="13"/>
        <v>100</v>
      </c>
      <c r="V40" s="714" t="s">
        <v>17</v>
      </c>
      <c r="W40" s="715">
        <f t="shared" si="14"/>
        <v>100</v>
      </c>
      <c r="X40" s="1539"/>
      <c r="Y40" s="3294"/>
      <c r="Z40" s="1540" t="str">
        <f t="shared" si="15"/>
        <v>市政基础设施</v>
      </c>
      <c r="AA40" s="1537">
        <f t="shared" si="3"/>
        <v>1</v>
      </c>
      <c r="AB40" s="1537">
        <f t="shared" si="4"/>
        <v>1</v>
      </c>
      <c r="AC40" s="2147">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6"/>
      <c r="M41" s="2940"/>
      <c r="N41" s="2940"/>
      <c r="O41" s="2940"/>
      <c r="P41" s="3292"/>
      <c r="Q41" s="1536" t="str">
        <f t="shared" si="11"/>
        <v>层高</v>
      </c>
      <c r="R41" s="714" t="s">
        <v>17</v>
      </c>
      <c r="S41" s="715">
        <f t="shared" si="12"/>
        <v>100</v>
      </c>
      <c r="T41" s="714" t="s">
        <v>17</v>
      </c>
      <c r="U41" s="715">
        <f t="shared" si="13"/>
        <v>100</v>
      </c>
      <c r="V41" s="714" t="s">
        <v>17</v>
      </c>
      <c r="W41" s="715">
        <f t="shared" si="14"/>
        <v>100</v>
      </c>
      <c r="X41" s="1539"/>
      <c r="Y41" s="3294"/>
      <c r="Z41" s="1540" t="str">
        <f t="shared" si="15"/>
        <v>层高</v>
      </c>
      <c r="AA41" s="1537">
        <f t="shared" si="3"/>
        <v>1</v>
      </c>
      <c r="AB41" s="1537">
        <f t="shared" si="4"/>
        <v>1</v>
      </c>
      <c r="AC41" s="2147">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5"/>
      <c r="M42" s="2947"/>
      <c r="N42" s="2947"/>
      <c r="O42" s="2947"/>
      <c r="P42" s="3292"/>
      <c r="Q42" s="716" t="str">
        <f t="shared" si="11"/>
        <v>单套建筑面积</v>
      </c>
      <c r="R42" s="717" t="s">
        <v>17</v>
      </c>
      <c r="S42" s="718">
        <f t="shared" si="12"/>
        <v>100</v>
      </c>
      <c r="T42" s="717" t="s">
        <v>17</v>
      </c>
      <c r="U42" s="718">
        <f t="shared" si="13"/>
        <v>100</v>
      </c>
      <c r="V42" s="717" t="s">
        <v>17</v>
      </c>
      <c r="W42" s="718">
        <f t="shared" si="14"/>
        <v>100</v>
      </c>
      <c r="X42" s="719"/>
      <c r="Y42" s="3294"/>
      <c r="Z42" s="720" t="str">
        <f t="shared" si="15"/>
        <v>单套建筑面积</v>
      </c>
      <c r="AA42" s="1537">
        <f t="shared" si="3"/>
        <v>1</v>
      </c>
      <c r="AB42" s="1537">
        <f t="shared" si="4"/>
        <v>1</v>
      </c>
      <c r="AC42" s="2147">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6"/>
      <c r="M43" s="2940"/>
      <c r="N43" s="2940"/>
      <c r="O43" s="2940"/>
      <c r="P43" s="3292"/>
      <c r="Q43" s="1536" t="str">
        <f t="shared" si="11"/>
        <v>内部装修</v>
      </c>
      <c r="R43" s="714" t="s">
        <v>17</v>
      </c>
      <c r="S43" s="715">
        <f t="shared" si="12"/>
        <v>100</v>
      </c>
      <c r="T43" s="714" t="s">
        <v>17</v>
      </c>
      <c r="U43" s="715">
        <f t="shared" si="13"/>
        <v>100</v>
      </c>
      <c r="V43" s="714" t="s">
        <v>17</v>
      </c>
      <c r="W43" s="715">
        <f t="shared" si="14"/>
        <v>100</v>
      </c>
      <c r="X43" s="1539"/>
      <c r="Y43" s="3294"/>
      <c r="Z43" s="1540" t="str">
        <f t="shared" si="15"/>
        <v>内部装修</v>
      </c>
      <c r="AA43" s="1537">
        <f t="shared" si="3"/>
        <v>1</v>
      </c>
      <c r="AB43" s="1537">
        <f t="shared" si="4"/>
        <v>1</v>
      </c>
      <c r="AC43" s="2147">
        <f t="shared" si="5"/>
        <v>1</v>
      </c>
    </row>
    <row r="44" spans="1:29" ht="15">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46"/>
      <c r="M44" s="2940"/>
      <c r="N44" s="2940"/>
      <c r="O44" s="2940"/>
      <c r="P44" s="3292"/>
      <c r="Q44" s="1536" t="str">
        <f t="shared" si="11"/>
        <v>内部装修维护情况</v>
      </c>
      <c r="R44" s="714" t="s">
        <v>17</v>
      </c>
      <c r="S44" s="715">
        <f t="shared" si="12"/>
        <v>100</v>
      </c>
      <c r="T44" s="714" t="s">
        <v>17</v>
      </c>
      <c r="U44" s="715">
        <f t="shared" si="13"/>
        <v>100</v>
      </c>
      <c r="V44" s="714" t="s">
        <v>17</v>
      </c>
      <c r="W44" s="715">
        <f t="shared" si="14"/>
        <v>100</v>
      </c>
      <c r="X44" s="1539"/>
      <c r="Y44" s="3294"/>
      <c r="Z44" s="1540" t="str">
        <f t="shared" si="15"/>
        <v>内部装修维护情况</v>
      </c>
      <c r="AA44" s="1537">
        <f t="shared" si="3"/>
        <v>1</v>
      </c>
      <c r="AB44" s="1537">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1"/>
      <c r="M45" s="2942"/>
      <c r="N45" s="2942"/>
      <c r="O45" s="2942"/>
      <c r="P45" s="3292"/>
      <c r="Q45" s="1527">
        <f t="shared" si="11"/>
        <v>111</v>
      </c>
      <c r="R45" s="710" t="s">
        <v>17</v>
      </c>
      <c r="S45" s="711">
        <f t="shared" si="12"/>
        <v>100</v>
      </c>
      <c r="T45" s="710" t="s">
        <v>17</v>
      </c>
      <c r="U45" s="711">
        <f t="shared" si="13"/>
        <v>100</v>
      </c>
      <c r="V45" s="710" t="s">
        <v>17</v>
      </c>
      <c r="W45" s="711">
        <f t="shared" si="14"/>
        <v>100</v>
      </c>
      <c r="X45" s="712"/>
      <c r="Y45" s="3294"/>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6"/>
      <c r="M46" s="2940"/>
      <c r="N46" s="2940"/>
      <c r="O46" s="2940"/>
      <c r="P46" s="3292"/>
      <c r="Q46" s="1536">
        <f t="shared" si="11"/>
        <v>111</v>
      </c>
      <c r="R46" s="714" t="s">
        <v>17</v>
      </c>
      <c r="S46" s="715">
        <f t="shared" si="12"/>
        <v>100</v>
      </c>
      <c r="T46" s="714" t="s">
        <v>17</v>
      </c>
      <c r="U46" s="715">
        <f t="shared" si="13"/>
        <v>100</v>
      </c>
      <c r="V46" s="714" t="s">
        <v>17</v>
      </c>
      <c r="W46" s="715">
        <f t="shared" si="14"/>
        <v>100</v>
      </c>
      <c r="X46" s="1539"/>
      <c r="Y46" s="3294"/>
      <c r="Z46" s="1540">
        <f t="shared" si="15"/>
        <v>111</v>
      </c>
      <c r="AA46" s="1537">
        <f t="shared" si="3"/>
        <v>1</v>
      </c>
      <c r="AB46" s="1537">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6"/>
      <c r="M47" s="2940"/>
      <c r="N47" s="2940"/>
      <c r="O47" s="2940"/>
      <c r="P47" s="3293"/>
      <c r="Q47" s="1536">
        <f t="shared" si="11"/>
        <v>111</v>
      </c>
      <c r="R47" s="714" t="s">
        <v>17</v>
      </c>
      <c r="S47" s="715">
        <f t="shared" si="12"/>
        <v>100</v>
      </c>
      <c r="T47" s="714" t="s">
        <v>17</v>
      </c>
      <c r="U47" s="715">
        <f t="shared" si="13"/>
        <v>100</v>
      </c>
      <c r="V47" s="714" t="s">
        <v>17</v>
      </c>
      <c r="W47" s="715">
        <f t="shared" si="14"/>
        <v>100</v>
      </c>
      <c r="X47" s="1539"/>
      <c r="Y47" s="3295"/>
      <c r="Z47" s="1540">
        <f t="shared" si="15"/>
        <v>111</v>
      </c>
      <c r="AA47" s="1537">
        <f t="shared" si="3"/>
        <v>1</v>
      </c>
      <c r="AB47" s="1537">
        <f t="shared" si="4"/>
        <v>1</v>
      </c>
      <c r="AC47" s="2147">
        <f t="shared" si="5"/>
        <v>1</v>
      </c>
    </row>
    <row r="48" spans="1:29" ht="15">
      <c r="A48" s="438" t="s">
        <v>2397</v>
      </c>
      <c r="B48" s="439"/>
      <c r="C48" s="1316" t="s">
        <v>1</v>
      </c>
      <c r="D48" s="1317"/>
      <c r="E48" s="1318"/>
      <c r="F48" s="1319"/>
      <c r="G48" s="1320"/>
      <c r="H48" s="1321"/>
      <c r="I48" s="1318"/>
      <c r="J48" s="444"/>
      <c r="K48" s="723"/>
      <c r="L48" s="2948"/>
      <c r="M48" s="2940"/>
      <c r="N48" s="2940"/>
      <c r="O48" s="2940"/>
      <c r="P48" s="3298" t="str">
        <f>A48</f>
        <v>成交单价（元/平方米）</v>
      </c>
      <c r="Q48" s="3287"/>
      <c r="R48" s="3288">
        <f>E48</f>
        <v>0</v>
      </c>
      <c r="S48" s="3288"/>
      <c r="T48" s="3288">
        <f>G48</f>
        <v>0</v>
      </c>
      <c r="U48" s="3288"/>
      <c r="V48" s="3288">
        <f>I48</f>
        <v>0</v>
      </c>
      <c r="W48" s="3288"/>
      <c r="X48" s="405"/>
      <c r="Y48" s="721"/>
      <c r="Z48" s="405"/>
      <c r="AA48" s="405"/>
      <c r="AB48" s="405"/>
      <c r="AC48" s="586"/>
    </row>
    <row r="49" spans="1:29" ht="15.75" thickBot="1">
      <c r="A49" s="445" t="s">
        <v>2489</v>
      </c>
      <c r="B49" s="446"/>
      <c r="C49" s="1322" t="e">
        <f>R50</f>
        <v>#DIV/0!</v>
      </c>
      <c r="D49" s="2537" t="s">
        <v>2880</v>
      </c>
      <c r="E49" s="1323" t="e">
        <f>R49</f>
        <v>#DIV/0!</v>
      </c>
      <c r="F49" s="2538"/>
      <c r="G49" s="1322" t="e">
        <f>T49</f>
        <v>#DIV/0!</v>
      </c>
      <c r="H49" s="2538"/>
      <c r="I49" s="1323" t="e">
        <f>V49</f>
        <v>#DIV/0!</v>
      </c>
      <c r="J49" s="2538"/>
      <c r="K49" s="2540">
        <f>F49+H49+J49</f>
        <v>0</v>
      </c>
      <c r="L49" s="2948"/>
      <c r="M49" s="2940"/>
      <c r="N49" s="2940"/>
      <c r="O49" s="2940"/>
      <c r="P49" s="3298" t="str">
        <f>A49</f>
        <v>比较价值（元/平方米）</v>
      </c>
      <c r="Q49" s="3287"/>
      <c r="R49" s="3288" t="e">
        <f>IF(F1="售价",ROUND(PRODUCT(R48,AA7:AA47),0),ROUND(PRODUCT(R48,AA7:AA47),1))</f>
        <v>#DIV/0!</v>
      </c>
      <c r="S49" s="3288"/>
      <c r="T49" s="3288" t="e">
        <f>IF(F1="售价",ROUND(PRODUCT(T48,AB7:AB47),0),ROUND(PRODUCT(T48,AB7:AB47),1))</f>
        <v>#DIV/0!</v>
      </c>
      <c r="U49" s="3288"/>
      <c r="V49" s="3288" t="e">
        <f>IF(F1="售价",ROUND(PRODUCT(V48,AC7:AC47),0),ROUND(PRODUCT(V48,AC7:AC47),1))</f>
        <v>#DIV/0!</v>
      </c>
      <c r="W49" s="3288"/>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48"/>
      <c r="M50" s="2940"/>
      <c r="N50" s="2940"/>
      <c r="O50" s="2940"/>
      <c r="P50" s="3367" t="str">
        <f>A50</f>
        <v>估价对象XX用房的比较价值（楼面单价，元/平方米）</v>
      </c>
      <c r="Q50" s="3368"/>
      <c r="R50" s="3369" t="e">
        <f>IF(F1="售价",ROUND(IF(D49="简单平均",AVERAGE(R49:V49),R49*F49+T49*H49+V49*J49),0),ROUND(IF(D49="简单平均",AVERAGE(R49:V49),R49*F49+T49*H49+V49*J49),1))</f>
        <v>#DIV/0!</v>
      </c>
      <c r="S50" s="3369"/>
      <c r="T50" s="3369"/>
      <c r="U50" s="3369"/>
      <c r="V50" s="3369"/>
      <c r="W50" s="3369"/>
      <c r="X50" s="2131"/>
      <c r="Y50" s="2131"/>
      <c r="Z50" s="2131"/>
      <c r="AA50" s="2131"/>
      <c r="AB50" s="2131"/>
      <c r="AC50" s="2132"/>
    </row>
    <row r="51" spans="1:29">
      <c r="A51" s="2949"/>
      <c r="B51" s="2949"/>
      <c r="C51" s="2949"/>
      <c r="D51" s="2949"/>
      <c r="E51" s="2949"/>
      <c r="F51" s="2949"/>
      <c r="G51" s="2953"/>
      <c r="H51" s="2949"/>
      <c r="I51" s="2949"/>
      <c r="J51" s="2949"/>
      <c r="K51" s="2954"/>
      <c r="L51" s="2950"/>
      <c r="M51" s="2949"/>
      <c r="N51" s="2949"/>
      <c r="O51" s="2949"/>
      <c r="P51" s="2980"/>
      <c r="Q51" s="2949"/>
      <c r="R51" s="2949"/>
      <c r="S51" s="2949"/>
      <c r="T51" s="2949"/>
      <c r="U51" s="2949"/>
      <c r="V51" s="2949"/>
      <c r="W51" s="2949"/>
      <c r="X51" s="2949"/>
      <c r="Y51" s="2949"/>
      <c r="Z51" s="2949"/>
      <c r="AA51" s="2949"/>
      <c r="AB51" s="2949"/>
      <c r="AC51" s="2949"/>
    </row>
    <row r="52" spans="1:29">
      <c r="A52" s="2949"/>
      <c r="B52" s="2949"/>
      <c r="C52" s="2949"/>
      <c r="D52" s="2949"/>
      <c r="E52" s="2949"/>
      <c r="F52" s="2949"/>
      <c r="G52" s="2949"/>
      <c r="H52" s="2949"/>
      <c r="I52" s="2949"/>
      <c r="J52" s="2949"/>
      <c r="K52" s="2954"/>
      <c r="L52" s="2950"/>
      <c r="M52" s="2949"/>
      <c r="N52" s="2949"/>
      <c r="O52" s="2949"/>
      <c r="P52" s="2980"/>
      <c r="Q52" s="2949"/>
      <c r="R52" s="2949"/>
      <c r="S52" s="2949"/>
      <c r="T52" s="2949"/>
      <c r="U52" s="2949"/>
      <c r="V52" s="2949"/>
      <c r="W52" s="2949"/>
      <c r="X52" s="2949"/>
      <c r="Y52" s="2949"/>
      <c r="Z52" s="2949"/>
      <c r="AA52" s="2949"/>
      <c r="AB52" s="2949"/>
      <c r="AC52" s="2949"/>
    </row>
    <row r="53" spans="1:29" ht="13.5" customHeight="1">
      <c r="A53" s="2949"/>
      <c r="B53" s="2949"/>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4"/>
      <c r="L53" s="2950"/>
      <c r="M53" s="2949"/>
      <c r="N53" s="2949"/>
      <c r="O53" s="2949"/>
      <c r="P53" s="2980"/>
      <c r="Q53" s="2949"/>
      <c r="R53" s="2949"/>
      <c r="S53" s="2949"/>
      <c r="T53" s="2949"/>
      <c r="U53" s="2949"/>
      <c r="V53" s="2949"/>
      <c r="W53" s="2949"/>
      <c r="X53" s="2949"/>
      <c r="Y53" s="2949"/>
      <c r="Z53" s="2949"/>
      <c r="AA53" s="2949"/>
      <c r="AB53" s="2949"/>
      <c r="AC53" s="2949"/>
    </row>
    <row r="54" spans="1:29" ht="13.5" customHeight="1">
      <c r="A54" s="2949"/>
      <c r="B54" s="2949"/>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4"/>
      <c r="L54" s="2950"/>
      <c r="M54" s="2949"/>
      <c r="N54" s="2949"/>
      <c r="O54" s="2949"/>
      <c r="P54" s="2980"/>
      <c r="Q54" s="2949"/>
      <c r="R54" s="2949"/>
      <c r="S54" s="2949"/>
      <c r="T54" s="2949"/>
      <c r="U54" s="2949"/>
      <c r="V54" s="2949"/>
      <c r="W54" s="2949"/>
      <c r="X54" s="2949"/>
      <c r="Y54" s="2949"/>
      <c r="Z54" s="2949"/>
      <c r="AA54" s="2949"/>
      <c r="AB54" s="2949"/>
      <c r="AC54" s="2949"/>
    </row>
    <row r="55" spans="1:29" s="459" customFormat="1" ht="13.5" customHeight="1">
      <c r="A55" s="2952"/>
      <c r="B55" s="2952"/>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7"/>
      <c r="L55" s="2951"/>
      <c r="M55" s="2952"/>
      <c r="N55" s="2952"/>
      <c r="O55" s="2952"/>
      <c r="P55" s="2981"/>
      <c r="Q55" s="2952"/>
      <c r="R55" s="2952"/>
      <c r="S55" s="2952"/>
      <c r="T55" s="2952"/>
      <c r="U55" s="2952"/>
      <c r="V55" s="2952"/>
      <c r="W55" s="2952"/>
      <c r="X55" s="2952"/>
      <c r="Y55" s="2952"/>
      <c r="Z55" s="2952"/>
      <c r="AA55" s="2952"/>
      <c r="AB55" s="2952"/>
      <c r="AC55" s="2952"/>
    </row>
    <row r="56" spans="1:29" s="459" customFormat="1">
      <c r="A56" s="2952"/>
      <c r="B56" s="2955"/>
      <c r="C56" s="2956"/>
      <c r="D56" s="2952"/>
      <c r="E56" s="2952"/>
      <c r="F56" s="2952"/>
      <c r="G56" s="2952"/>
      <c r="H56" s="2952"/>
      <c r="I56" s="2952"/>
      <c r="J56" s="2952"/>
      <c r="K56" s="2957"/>
      <c r="L56" s="2951"/>
      <c r="M56" s="2952"/>
      <c r="N56" s="2952"/>
      <c r="O56" s="2952"/>
      <c r="P56" s="2981"/>
      <c r="Q56" s="2952"/>
      <c r="R56" s="2952"/>
      <c r="S56" s="2952"/>
      <c r="T56" s="2952"/>
      <c r="U56" s="2952"/>
      <c r="V56" s="2952"/>
      <c r="W56" s="2952"/>
      <c r="X56" s="2952"/>
      <c r="Y56" s="2952"/>
      <c r="Z56" s="2952"/>
      <c r="AA56" s="2952"/>
      <c r="AB56" s="2952"/>
      <c r="AC56" s="2952"/>
    </row>
    <row r="57" spans="1:29">
      <c r="A57" s="2949"/>
      <c r="B57" s="2955"/>
      <c r="C57" s="2956"/>
      <c r="D57" s="2949"/>
      <c r="E57" s="2949"/>
      <c r="F57" s="2949"/>
      <c r="G57" s="2949"/>
      <c r="H57" s="2949"/>
      <c r="I57" s="2949"/>
      <c r="J57" s="2949"/>
      <c r="K57" s="2954"/>
      <c r="L57" s="2950"/>
      <c r="M57" s="2949"/>
      <c r="N57" s="2949"/>
      <c r="O57" s="2949"/>
      <c r="P57" s="2980"/>
      <c r="Q57" s="2949"/>
      <c r="R57" s="2949"/>
      <c r="S57" s="2949"/>
      <c r="T57" s="2949"/>
      <c r="U57" s="2949"/>
      <c r="V57" s="2949"/>
      <c r="W57" s="2949"/>
      <c r="X57" s="2949"/>
      <c r="Y57" s="2949"/>
      <c r="Z57" s="2949"/>
      <c r="AA57" s="2949"/>
      <c r="AB57" s="2949"/>
      <c r="AC57" s="2949"/>
    </row>
    <row r="58" spans="1:29" ht="21.75" thickBot="1">
      <c r="A58" s="703" t="s">
        <v>2494</v>
      </c>
      <c r="B58" s="699"/>
      <c r="C58" s="704"/>
      <c r="D58" s="704"/>
      <c r="E58" s="704"/>
      <c r="F58" s="705"/>
      <c r="G58" s="705"/>
      <c r="H58" s="704"/>
      <c r="I58" s="704"/>
      <c r="J58" s="704"/>
      <c r="K58" s="706"/>
      <c r="L58" s="1073"/>
      <c r="M58" s="1071"/>
      <c r="N58" s="2993"/>
      <c r="O58" s="2993"/>
      <c r="P58" s="2982"/>
      <c r="Q58" s="2963"/>
      <c r="R58" s="2949"/>
      <c r="S58" s="2949"/>
      <c r="T58" s="2949"/>
      <c r="U58" s="2949"/>
      <c r="V58" s="2949"/>
      <c r="W58" s="2949"/>
      <c r="X58" s="2949"/>
      <c r="Y58" s="2949"/>
      <c r="Z58" s="2949"/>
      <c r="AA58" s="2949"/>
      <c r="AB58" s="2949"/>
      <c r="AC58" s="2949"/>
    </row>
    <row r="59" spans="1:29" s="465" customFormat="1" ht="15">
      <c r="A59" s="462" t="s">
        <v>2368</v>
      </c>
      <c r="B59" s="463"/>
      <c r="C59" s="1346" t="str">
        <f>YEAR(C7)&amp;"-"&amp;MONTH(C7)</f>
        <v>2021-11</v>
      </c>
      <c r="D59" s="1347">
        <f>EDATE(C59,-1)</f>
        <v>44470</v>
      </c>
      <c r="E59" s="1347">
        <f>EDATE(D59,-1)</f>
        <v>44440</v>
      </c>
      <c r="F59" s="1347">
        <f t="shared" ref="F59:O59" si="16">EDATE(E59,-1)</f>
        <v>44409</v>
      </c>
      <c r="G59" s="1347">
        <f t="shared" si="16"/>
        <v>44378</v>
      </c>
      <c r="H59" s="1347">
        <f t="shared" si="16"/>
        <v>44348</v>
      </c>
      <c r="I59" s="1347">
        <f t="shared" si="16"/>
        <v>44317</v>
      </c>
      <c r="J59" s="1347">
        <f t="shared" si="16"/>
        <v>44287</v>
      </c>
      <c r="K59" s="1347">
        <f t="shared" si="16"/>
        <v>44256</v>
      </c>
      <c r="L59" s="1347">
        <f t="shared" si="16"/>
        <v>44228</v>
      </c>
      <c r="M59" s="1347">
        <f t="shared" si="16"/>
        <v>44197</v>
      </c>
      <c r="N59" s="1347">
        <f t="shared" si="16"/>
        <v>44166</v>
      </c>
      <c r="O59" s="1347">
        <f t="shared" si="16"/>
        <v>44136</v>
      </c>
      <c r="P59" s="2983"/>
      <c r="Q59" s="2965"/>
      <c r="R59" s="2965"/>
      <c r="S59" s="2965"/>
      <c r="T59" s="2965"/>
      <c r="U59" s="2965"/>
      <c r="V59" s="2965"/>
      <c r="W59" s="2965"/>
      <c r="X59" s="2965"/>
      <c r="Y59" s="2965"/>
      <c r="Z59" s="2965"/>
      <c r="AA59" s="2965"/>
      <c r="AB59" s="2965"/>
      <c r="AC59" s="2965"/>
    </row>
    <row r="60" spans="1:29" s="113" customFormat="1" ht="15">
      <c r="A60" s="466"/>
      <c r="B60" s="467"/>
      <c r="C60" s="1345">
        <v>100</v>
      </c>
      <c r="D60" s="469"/>
      <c r="E60" s="469"/>
      <c r="F60" s="469"/>
      <c r="G60" s="469"/>
      <c r="H60" s="469"/>
      <c r="I60" s="469"/>
      <c r="J60" s="469"/>
      <c r="K60" s="469"/>
      <c r="L60" s="469"/>
      <c r="M60" s="470"/>
      <c r="N60" s="469"/>
      <c r="O60" s="470"/>
      <c r="P60" s="2984"/>
      <c r="Q60" s="2884"/>
      <c r="R60" s="2884"/>
      <c r="S60" s="2884"/>
      <c r="T60" s="2884"/>
      <c r="U60" s="2884"/>
      <c r="V60" s="2884"/>
      <c r="W60" s="2884"/>
      <c r="X60" s="2884"/>
      <c r="Y60" s="2884"/>
      <c r="Z60" s="2884"/>
      <c r="AA60" s="2884"/>
      <c r="AB60" s="2884"/>
      <c r="AC60" s="2884"/>
    </row>
    <row r="61" spans="1:29" s="113" customFormat="1" ht="15.75" thickBot="1">
      <c r="A61" s="472" t="s">
        <v>2405</v>
      </c>
      <c r="B61" s="473"/>
      <c r="C61" s="474"/>
      <c r="D61" s="475"/>
      <c r="E61" s="475"/>
      <c r="F61" s="475"/>
      <c r="G61" s="475"/>
      <c r="H61" s="475"/>
      <c r="I61" s="475"/>
      <c r="J61" s="475"/>
      <c r="K61" s="475"/>
      <c r="L61" s="475"/>
      <c r="M61" s="476"/>
      <c r="N61" s="475"/>
      <c r="O61" s="476"/>
      <c r="P61" s="2984"/>
      <c r="Q61" s="2963"/>
      <c r="R61" s="2884"/>
      <c r="S61" s="2884"/>
      <c r="T61" s="2884"/>
      <c r="U61" s="2884"/>
      <c r="V61" s="2884"/>
      <c r="W61" s="2884"/>
      <c r="X61" s="2884"/>
      <c r="Y61" s="2884"/>
      <c r="Z61" s="2884"/>
      <c r="AA61" s="2884"/>
      <c r="AB61" s="2884"/>
      <c r="AC61" s="2884"/>
    </row>
    <row r="62" spans="1:29" s="113" customFormat="1" ht="15">
      <c r="A62" s="478" t="s">
        <v>2370</v>
      </c>
      <c r="B62" s="467"/>
      <c r="C62" s="479" t="s">
        <v>2472</v>
      </c>
      <c r="D62" s="480"/>
      <c r="E62" s="480"/>
      <c r="F62" s="480"/>
      <c r="G62" s="480"/>
      <c r="H62" s="480"/>
      <c r="I62" s="480"/>
      <c r="J62" s="480"/>
      <c r="K62" s="480"/>
      <c r="L62" s="481"/>
      <c r="M62" s="482"/>
      <c r="N62" s="2976"/>
      <c r="O62" s="2976"/>
      <c r="P62" s="2985"/>
      <c r="Q62" s="2963"/>
      <c r="R62" s="2884"/>
      <c r="S62" s="2884"/>
      <c r="T62" s="2884"/>
      <c r="U62" s="2884"/>
      <c r="V62" s="2884"/>
      <c r="W62" s="2884"/>
      <c r="X62" s="2884"/>
      <c r="Y62" s="2884"/>
      <c r="Z62" s="2884"/>
      <c r="AA62" s="2884"/>
      <c r="AB62" s="2884"/>
      <c r="AC62" s="2884"/>
    </row>
    <row r="63" spans="1:29" s="113" customFormat="1" ht="15.75" thickBot="1">
      <c r="A63" s="478"/>
      <c r="B63" s="467"/>
      <c r="C63" s="468">
        <v>100</v>
      </c>
      <c r="D63" s="469"/>
      <c r="E63" s="469"/>
      <c r="F63" s="469"/>
      <c r="G63" s="469"/>
      <c r="H63" s="469"/>
      <c r="I63" s="469"/>
      <c r="J63" s="469"/>
      <c r="K63" s="469"/>
      <c r="L63" s="469"/>
      <c r="M63" s="471"/>
      <c r="N63" s="2976"/>
      <c r="O63" s="2976"/>
      <c r="P63" s="2984"/>
      <c r="Q63" s="2963"/>
      <c r="R63" s="2884"/>
      <c r="S63" s="2884"/>
      <c r="T63" s="2884"/>
      <c r="U63" s="2884"/>
      <c r="V63" s="2884"/>
      <c r="W63" s="2884"/>
      <c r="X63" s="2884"/>
      <c r="Y63" s="2884"/>
      <c r="Z63" s="2884"/>
      <c r="AA63" s="2884"/>
      <c r="AB63" s="2884"/>
      <c r="AC63" s="2884"/>
    </row>
    <row r="64" spans="1:29">
      <c r="A64" s="484" t="s">
        <v>2408</v>
      </c>
      <c r="B64" s="485" t="s">
        <v>2374</v>
      </c>
      <c r="C64" s="486">
        <f>C9</f>
        <v>0</v>
      </c>
      <c r="D64" s="487"/>
      <c r="E64" s="487"/>
      <c r="F64" s="487"/>
      <c r="G64" s="487"/>
      <c r="H64" s="487"/>
      <c r="I64" s="487"/>
      <c r="J64" s="487"/>
      <c r="K64" s="488"/>
      <c r="L64" s="489"/>
      <c r="M64" s="490"/>
      <c r="N64" s="2977"/>
      <c r="O64" s="2977"/>
      <c r="P64" s="2986"/>
      <c r="Q64" s="2963"/>
      <c r="R64" s="2949"/>
      <c r="S64" s="2949"/>
      <c r="T64" s="2949"/>
      <c r="U64" s="2949"/>
      <c r="V64" s="2949"/>
      <c r="W64" s="2949"/>
      <c r="X64" s="2949"/>
      <c r="Y64" s="2949"/>
      <c r="Z64" s="2949"/>
      <c r="AA64" s="2949"/>
      <c r="AB64" s="2949"/>
      <c r="AC64" s="2949"/>
    </row>
    <row r="65" spans="1:29" ht="15.75" thickBot="1">
      <c r="A65" s="491"/>
      <c r="B65" s="492"/>
      <c r="C65" s="493">
        <v>100</v>
      </c>
      <c r="D65" s="493"/>
      <c r="E65" s="493"/>
      <c r="F65" s="493"/>
      <c r="G65" s="493"/>
      <c r="H65" s="493"/>
      <c r="I65" s="493"/>
      <c r="J65" s="493"/>
      <c r="K65" s="493"/>
      <c r="L65" s="493"/>
      <c r="M65" s="494"/>
      <c r="N65" s="2978"/>
      <c r="O65" s="2978"/>
      <c r="P65" s="2986"/>
      <c r="Q65" s="2963"/>
      <c r="R65" s="2949"/>
      <c r="S65" s="2949"/>
      <c r="T65" s="2949"/>
      <c r="U65" s="2949"/>
      <c r="V65" s="2949"/>
      <c r="W65" s="2949"/>
      <c r="X65" s="2949"/>
      <c r="Y65" s="2949"/>
      <c r="Z65" s="2949"/>
      <c r="AA65" s="2949"/>
      <c r="AB65" s="2949"/>
      <c r="AC65" s="2949"/>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7"/>
      <c r="O66" s="2977"/>
      <c r="P66" s="2986"/>
      <c r="Q66" s="2963"/>
      <c r="R66" s="2949"/>
      <c r="S66" s="2949"/>
      <c r="T66" s="2949"/>
      <c r="U66" s="2949"/>
      <c r="V66" s="2949"/>
      <c r="W66" s="2949"/>
      <c r="X66" s="2949"/>
      <c r="Y66" s="2949"/>
      <c r="Z66" s="2949"/>
      <c r="AA66" s="2949"/>
      <c r="AB66" s="2949"/>
      <c r="AC66" s="294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8"/>
      <c r="O67" s="2978"/>
      <c r="P67" s="2986"/>
      <c r="Q67" s="2963"/>
      <c r="R67" s="2949"/>
      <c r="S67" s="2949"/>
      <c r="T67" s="2949"/>
      <c r="U67" s="2949"/>
      <c r="V67" s="2949"/>
      <c r="W67" s="2949"/>
      <c r="X67" s="2949"/>
      <c r="Y67" s="2949"/>
      <c r="Z67" s="2949"/>
      <c r="AA67" s="2949"/>
      <c r="AB67" s="2949"/>
      <c r="AC67" s="2949"/>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8"/>
      <c r="O68" s="2978"/>
      <c r="P68" s="2986"/>
      <c r="Q68" s="2963"/>
      <c r="R68" s="2949"/>
      <c r="S68" s="2949"/>
      <c r="T68" s="2949"/>
      <c r="U68" s="2949"/>
      <c r="V68" s="2949"/>
      <c r="W68" s="2949"/>
      <c r="X68" s="2949"/>
      <c r="Y68" s="2949"/>
      <c r="Z68" s="2949"/>
      <c r="AA68" s="2949"/>
      <c r="AB68" s="2949"/>
      <c r="AC68" s="2949"/>
    </row>
    <row r="69" spans="1:29" ht="15">
      <c r="A69" s="491"/>
      <c r="B69" s="505"/>
      <c r="C69" s="506"/>
      <c r="D69" s="506"/>
      <c r="E69" s="506"/>
      <c r="F69" s="506"/>
      <c r="G69" s="506"/>
      <c r="H69" s="506"/>
      <c r="I69" s="506"/>
      <c r="J69" s="506"/>
      <c r="K69" s="507"/>
      <c r="L69" s="508"/>
      <c r="M69" s="509"/>
      <c r="N69" s="2977"/>
      <c r="O69" s="2977"/>
      <c r="P69" s="2986"/>
      <c r="Q69" s="2963"/>
      <c r="R69" s="2949"/>
      <c r="S69" s="2949"/>
      <c r="T69" s="2949"/>
      <c r="U69" s="2949"/>
      <c r="V69" s="2949"/>
      <c r="W69" s="2949"/>
      <c r="X69" s="2949"/>
      <c r="Y69" s="2949"/>
      <c r="Z69" s="2949"/>
      <c r="AA69" s="2949"/>
      <c r="AB69" s="2949"/>
      <c r="AC69" s="294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8"/>
      <c r="O70" s="2978"/>
      <c r="P70" s="2986"/>
      <c r="Q70" s="2963"/>
      <c r="R70" s="2949"/>
      <c r="S70" s="2949"/>
      <c r="T70" s="2949"/>
      <c r="U70" s="2949"/>
      <c r="V70" s="2949"/>
      <c r="W70" s="2949"/>
      <c r="X70" s="2949"/>
      <c r="Y70" s="2949"/>
      <c r="Z70" s="2949"/>
      <c r="AA70" s="2949"/>
      <c r="AB70" s="2949"/>
      <c r="AC70" s="2949"/>
    </row>
    <row r="71" spans="1:29" s="430" customFormat="1" ht="15.75" thickTop="1">
      <c r="A71" s="510"/>
      <c r="B71" s="495">
        <f>B12</f>
        <v>111</v>
      </c>
      <c r="C71" s="511"/>
      <c r="D71" s="511"/>
      <c r="E71" s="511"/>
      <c r="F71" s="511"/>
      <c r="G71" s="511"/>
      <c r="H71" s="512"/>
      <c r="I71" s="512"/>
      <c r="J71" s="512"/>
      <c r="K71" s="512"/>
      <c r="L71" s="513"/>
      <c r="M71" s="514"/>
      <c r="N71" s="2979"/>
      <c r="O71" s="2979"/>
      <c r="P71" s="2987"/>
      <c r="Q71" s="2970"/>
      <c r="R71" s="2971"/>
      <c r="S71" s="2971"/>
      <c r="T71" s="2971"/>
      <c r="U71" s="2971"/>
      <c r="V71" s="2971"/>
      <c r="W71" s="2971"/>
      <c r="X71" s="2971"/>
      <c r="Y71" s="2971"/>
      <c r="Z71" s="2971"/>
      <c r="AA71" s="2971"/>
      <c r="AB71" s="2971"/>
      <c r="AC71" s="2971"/>
    </row>
    <row r="72" spans="1:29" s="430" customFormat="1" ht="15.75" thickBot="1">
      <c r="A72" s="510"/>
      <c r="B72" s="500"/>
      <c r="C72" s="517"/>
      <c r="D72" s="493"/>
      <c r="E72" s="493"/>
      <c r="F72" s="493"/>
      <c r="G72" s="493"/>
      <c r="H72" s="493"/>
      <c r="I72" s="493"/>
      <c r="J72" s="493"/>
      <c r="K72" s="493"/>
      <c r="L72" s="493"/>
      <c r="M72" s="494"/>
      <c r="N72" s="2978"/>
      <c r="O72" s="2978"/>
      <c r="P72" s="2987"/>
      <c r="Q72" s="2970"/>
      <c r="R72" s="2971"/>
      <c r="S72" s="2971"/>
      <c r="T72" s="2971"/>
      <c r="U72" s="2971"/>
      <c r="V72" s="2971"/>
      <c r="W72" s="2971"/>
      <c r="X72" s="2971"/>
      <c r="Y72" s="2971"/>
      <c r="Z72" s="2971"/>
      <c r="AA72" s="2971"/>
      <c r="AB72" s="2971"/>
      <c r="AC72" s="2971"/>
    </row>
    <row r="73" spans="1:29" s="430" customFormat="1" ht="15.75" thickTop="1">
      <c r="A73" s="510"/>
      <c r="B73" s="495">
        <f>B13</f>
        <v>111</v>
      </c>
      <c r="C73" s="511"/>
      <c r="D73" s="511"/>
      <c r="E73" s="511"/>
      <c r="F73" s="511"/>
      <c r="G73" s="511"/>
      <c r="H73" s="512"/>
      <c r="I73" s="512"/>
      <c r="J73" s="512"/>
      <c r="K73" s="512"/>
      <c r="L73" s="513"/>
      <c r="M73" s="514"/>
      <c r="N73" s="2979"/>
      <c r="O73" s="2979"/>
      <c r="P73" s="2988"/>
      <c r="Q73" s="2973"/>
      <c r="R73" s="2971"/>
      <c r="S73" s="2971"/>
      <c r="T73" s="2971"/>
      <c r="U73" s="2971"/>
      <c r="V73" s="2971"/>
      <c r="W73" s="2971"/>
      <c r="X73" s="2971"/>
      <c r="Y73" s="2971"/>
      <c r="Z73" s="2971"/>
      <c r="AA73" s="2971"/>
      <c r="AB73" s="2971"/>
      <c r="AC73" s="2971"/>
    </row>
    <row r="74" spans="1:29" s="430" customFormat="1" ht="15.75" thickBot="1">
      <c r="A74" s="510"/>
      <c r="B74" s="500"/>
      <c r="C74" s="517"/>
      <c r="D74" s="517"/>
      <c r="E74" s="517"/>
      <c r="F74" s="517"/>
      <c r="G74" s="517"/>
      <c r="H74" s="519"/>
      <c r="I74" s="519"/>
      <c r="J74" s="519"/>
      <c r="K74" s="519"/>
      <c r="L74" s="519"/>
      <c r="M74" s="520"/>
      <c r="N74" s="2979"/>
      <c r="O74" s="2979"/>
      <c r="P74" s="2987"/>
      <c r="Q74" s="2970"/>
      <c r="R74" s="2971"/>
      <c r="S74" s="2971"/>
      <c r="T74" s="2971"/>
      <c r="U74" s="2971"/>
      <c r="V74" s="2971"/>
      <c r="W74" s="2971"/>
      <c r="X74" s="2971"/>
      <c r="Y74" s="2971"/>
      <c r="Z74" s="2971"/>
      <c r="AA74" s="2971"/>
      <c r="AB74" s="2971"/>
      <c r="AC74" s="2971"/>
    </row>
    <row r="75" spans="1:29" s="430" customFormat="1" ht="15.75" thickTop="1">
      <c r="A75" s="510"/>
      <c r="B75" s="503">
        <f>B14</f>
        <v>111</v>
      </c>
      <c r="C75" s="480"/>
      <c r="D75" s="480"/>
      <c r="E75" s="480"/>
      <c r="F75" s="480"/>
      <c r="G75" s="480"/>
      <c r="H75" s="521"/>
      <c r="I75" s="521"/>
      <c r="J75" s="521"/>
      <c r="K75" s="521"/>
      <c r="L75" s="522"/>
      <c r="M75" s="523"/>
      <c r="N75" s="2979"/>
      <c r="O75" s="2979"/>
      <c r="P75" s="2989"/>
      <c r="Q75" s="2970"/>
      <c r="R75" s="2971"/>
      <c r="S75" s="2971"/>
      <c r="T75" s="2971"/>
      <c r="U75" s="2971"/>
      <c r="V75" s="2971"/>
      <c r="W75" s="2971"/>
      <c r="X75" s="2971"/>
      <c r="Y75" s="2971"/>
      <c r="Z75" s="2971"/>
      <c r="AA75" s="2971"/>
      <c r="AB75" s="2971"/>
      <c r="AC75" s="2971"/>
    </row>
    <row r="76" spans="1:29" s="430" customFormat="1" ht="15.75" thickBot="1">
      <c r="A76" s="525"/>
      <c r="B76" s="526"/>
      <c r="C76" s="527"/>
      <c r="D76" s="527"/>
      <c r="E76" s="527"/>
      <c r="F76" s="527"/>
      <c r="G76" s="527"/>
      <c r="H76" s="528"/>
      <c r="I76" s="528"/>
      <c r="J76" s="528"/>
      <c r="K76" s="528"/>
      <c r="L76" s="528"/>
      <c r="M76" s="529"/>
      <c r="N76" s="2979"/>
      <c r="O76" s="2979"/>
      <c r="P76" s="2987"/>
      <c r="Q76" s="2970"/>
      <c r="R76" s="2971"/>
      <c r="S76" s="2971"/>
      <c r="T76" s="2971"/>
      <c r="U76" s="2971"/>
      <c r="V76" s="2971"/>
      <c r="W76" s="2971"/>
      <c r="X76" s="2971"/>
      <c r="Y76" s="2971"/>
      <c r="Z76" s="2971"/>
      <c r="AA76" s="2971"/>
      <c r="AB76" s="2971"/>
      <c r="AC76" s="2971"/>
    </row>
    <row r="77" spans="1:29">
      <c r="A77" s="484" t="s">
        <v>2379</v>
      </c>
      <c r="B77" s="485" t="s">
        <v>2517</v>
      </c>
      <c r="C77" s="530" t="s">
        <v>2417</v>
      </c>
      <c r="D77" s="530" t="s">
        <v>2418</v>
      </c>
      <c r="E77" s="530" t="s">
        <v>2419</v>
      </c>
      <c r="F77" s="530" t="s">
        <v>2420</v>
      </c>
      <c r="G77" s="530" t="s">
        <v>2421</v>
      </c>
      <c r="H77" s="486"/>
      <c r="I77" s="486"/>
      <c r="J77" s="486"/>
      <c r="K77" s="531"/>
      <c r="L77" s="532"/>
      <c r="M77" s="533"/>
      <c r="N77" s="2977"/>
      <c r="O77" s="2977"/>
      <c r="P77" s="2990"/>
      <c r="Q77" s="2963"/>
      <c r="R77" s="2949"/>
      <c r="S77" s="2949"/>
      <c r="T77" s="2949"/>
      <c r="U77" s="2949"/>
      <c r="V77" s="2949"/>
      <c r="W77" s="2949"/>
      <c r="X77" s="2949"/>
      <c r="Y77" s="2949"/>
      <c r="Z77" s="2949"/>
      <c r="AA77" s="2949"/>
      <c r="AB77" s="2949"/>
      <c r="AC77" s="294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8"/>
      <c r="O78" s="2978"/>
      <c r="P78" s="2986"/>
      <c r="Q78" s="2963"/>
      <c r="R78" s="2949"/>
      <c r="S78" s="2949"/>
      <c r="T78" s="2949"/>
      <c r="U78" s="2949"/>
      <c r="V78" s="2949"/>
      <c r="W78" s="2949"/>
      <c r="X78" s="2949"/>
      <c r="Y78" s="2949"/>
      <c r="Z78" s="2949"/>
      <c r="AA78" s="2949"/>
      <c r="AB78" s="2949"/>
      <c r="AC78" s="2949"/>
    </row>
    <row r="79" spans="1:29" ht="15.75" thickTop="1">
      <c r="A79" s="491"/>
      <c r="B79" s="495" t="s">
        <v>2422</v>
      </c>
      <c r="C79" s="535" t="s">
        <v>2417</v>
      </c>
      <c r="D79" s="535" t="s">
        <v>2418</v>
      </c>
      <c r="E79" s="535" t="s">
        <v>2419</v>
      </c>
      <c r="F79" s="535" t="s">
        <v>2420</v>
      </c>
      <c r="G79" s="535" t="s">
        <v>2421</v>
      </c>
      <c r="H79" s="496"/>
      <c r="I79" s="496"/>
      <c r="J79" s="496"/>
      <c r="K79" s="497"/>
      <c r="L79" s="498"/>
      <c r="M79" s="499"/>
      <c r="N79" s="2977"/>
      <c r="O79" s="2977"/>
      <c r="P79" s="2986"/>
      <c r="Q79" s="2963"/>
      <c r="R79" s="2949"/>
      <c r="S79" s="2949"/>
      <c r="T79" s="2949"/>
      <c r="U79" s="2949"/>
      <c r="V79" s="2949"/>
      <c r="W79" s="2949"/>
      <c r="X79" s="2949"/>
      <c r="Y79" s="2949"/>
      <c r="Z79" s="2949"/>
      <c r="AA79" s="2949"/>
      <c r="AB79" s="2949"/>
      <c r="AC79" s="294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8"/>
      <c r="O80" s="2978"/>
      <c r="P80" s="2986"/>
      <c r="Q80" s="2963"/>
      <c r="R80" s="2949"/>
      <c r="S80" s="2949"/>
      <c r="T80" s="2949"/>
      <c r="U80" s="2949"/>
      <c r="V80" s="2949"/>
      <c r="W80" s="2949"/>
      <c r="X80" s="2949"/>
      <c r="Y80" s="2949"/>
      <c r="Z80" s="2949"/>
      <c r="AA80" s="2949"/>
      <c r="AB80" s="2949"/>
      <c r="AC80" s="2949"/>
    </row>
    <row r="81" spans="1:29" ht="15.75" thickTop="1">
      <c r="A81" s="491"/>
      <c r="B81" s="495" t="s">
        <v>2423</v>
      </c>
      <c r="C81" s="535" t="s">
        <v>2417</v>
      </c>
      <c r="D81" s="535" t="s">
        <v>2418</v>
      </c>
      <c r="E81" s="535" t="s">
        <v>2419</v>
      </c>
      <c r="F81" s="535" t="s">
        <v>2420</v>
      </c>
      <c r="G81" s="535" t="s">
        <v>2421</v>
      </c>
      <c r="H81" s="496"/>
      <c r="I81" s="496"/>
      <c r="J81" s="496"/>
      <c r="K81" s="497"/>
      <c r="L81" s="498"/>
      <c r="M81" s="499"/>
      <c r="N81" s="2977"/>
      <c r="O81" s="2977"/>
      <c r="P81" s="2986"/>
      <c r="Q81" s="2963"/>
      <c r="R81" s="2949"/>
      <c r="S81" s="2949"/>
      <c r="T81" s="2949"/>
      <c r="U81" s="2949"/>
      <c r="V81" s="2949"/>
      <c r="W81" s="2949"/>
      <c r="X81" s="2949"/>
      <c r="Y81" s="2949"/>
      <c r="Z81" s="2949"/>
      <c r="AA81" s="2949"/>
      <c r="AB81" s="2949"/>
      <c r="AC81" s="294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8"/>
      <c r="O82" s="2978"/>
      <c r="P82" s="2986"/>
      <c r="Q82" s="2963"/>
      <c r="R82" s="2949"/>
      <c r="S82" s="2949"/>
      <c r="T82" s="2949"/>
      <c r="U82" s="2949"/>
      <c r="V82" s="2949"/>
      <c r="W82" s="2949"/>
      <c r="X82" s="2949"/>
      <c r="Y82" s="2949"/>
      <c r="Z82" s="2949"/>
      <c r="AA82" s="2949"/>
      <c r="AB82" s="2949"/>
      <c r="AC82" s="2949"/>
    </row>
    <row r="83" spans="1:29" ht="15.75" thickTop="1">
      <c r="A83" s="491"/>
      <c r="B83" s="503" t="s">
        <v>2509</v>
      </c>
      <c r="C83" s="616" t="s">
        <v>2495</v>
      </c>
      <c r="D83" s="616" t="s">
        <v>2496</v>
      </c>
      <c r="E83" s="616" t="s">
        <v>2497</v>
      </c>
      <c r="F83" s="616" t="s">
        <v>2498</v>
      </c>
      <c r="G83" s="616" t="s">
        <v>2499</v>
      </c>
      <c r="H83" s="496"/>
      <c r="I83" s="496"/>
      <c r="J83" s="496"/>
      <c r="K83" s="496"/>
      <c r="L83" s="496"/>
      <c r="M83" s="1291"/>
      <c r="N83" s="2978"/>
      <c r="O83" s="2978"/>
      <c r="P83" s="2986"/>
      <c r="Q83" s="2963"/>
      <c r="R83" s="2949"/>
      <c r="S83" s="2949"/>
      <c r="T83" s="2949"/>
      <c r="U83" s="2949"/>
      <c r="V83" s="2949"/>
      <c r="W83" s="2949"/>
      <c r="X83" s="2949"/>
      <c r="Y83" s="2949"/>
      <c r="Z83" s="2949"/>
      <c r="AA83" s="2949"/>
      <c r="AB83" s="2949"/>
      <c r="AC83" s="294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8"/>
      <c r="O84" s="2978"/>
      <c r="P84" s="2986"/>
      <c r="Q84" s="2963"/>
      <c r="R84" s="2949"/>
      <c r="S84" s="2949"/>
      <c r="T84" s="2949"/>
      <c r="U84" s="2949"/>
      <c r="V84" s="2949"/>
      <c r="W84" s="2949"/>
      <c r="X84" s="2949"/>
      <c r="Y84" s="2949"/>
      <c r="Z84" s="2949"/>
      <c r="AA84" s="2949"/>
      <c r="AB84" s="2949"/>
      <c r="AC84" s="2949"/>
    </row>
    <row r="85" spans="1:29" ht="15.75" thickTop="1">
      <c r="A85" s="491"/>
      <c r="B85" s="495" t="s">
        <v>2518</v>
      </c>
      <c r="C85" s="535" t="s">
        <v>2417</v>
      </c>
      <c r="D85" s="535" t="s">
        <v>2418</v>
      </c>
      <c r="E85" s="535" t="s">
        <v>2419</v>
      </c>
      <c r="F85" s="535" t="s">
        <v>2420</v>
      </c>
      <c r="G85" s="535" t="s">
        <v>2421</v>
      </c>
      <c r="H85" s="496"/>
      <c r="I85" s="496"/>
      <c r="J85" s="496"/>
      <c r="K85" s="497"/>
      <c r="L85" s="498"/>
      <c r="M85" s="499"/>
      <c r="N85" s="2977"/>
      <c r="O85" s="2977"/>
      <c r="P85" s="2986"/>
      <c r="Q85" s="2963"/>
      <c r="R85" s="2949"/>
      <c r="S85" s="2949"/>
      <c r="T85" s="2949"/>
      <c r="U85" s="2949"/>
      <c r="V85" s="2949"/>
      <c r="W85" s="2949"/>
      <c r="X85" s="2949"/>
      <c r="Y85" s="2949"/>
      <c r="Z85" s="2949"/>
      <c r="AA85" s="2949"/>
      <c r="AB85" s="2949"/>
      <c r="AC85" s="294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8"/>
      <c r="O86" s="2978"/>
      <c r="P86" s="2986"/>
      <c r="Q86" s="2963"/>
      <c r="R86" s="2949"/>
      <c r="S86" s="2949"/>
      <c r="T86" s="2949"/>
      <c r="U86" s="2949"/>
      <c r="V86" s="2949"/>
      <c r="W86" s="2949"/>
      <c r="X86" s="2949"/>
      <c r="Y86" s="2949"/>
      <c r="Z86" s="2949"/>
      <c r="AA86" s="2949"/>
      <c r="AB86" s="2949"/>
      <c r="AC86" s="2949"/>
    </row>
    <row r="87" spans="1:29" s="113" customFormat="1" ht="27.75" thickTop="1">
      <c r="A87" s="536"/>
      <c r="B87" s="495" t="s">
        <v>2519</v>
      </c>
      <c r="C87" s="511"/>
      <c r="D87" s="511"/>
      <c r="E87" s="511"/>
      <c r="F87" s="511"/>
      <c r="G87" s="511"/>
      <c r="H87" s="511"/>
      <c r="I87" s="511"/>
      <c r="J87" s="511"/>
      <c r="K87" s="511"/>
      <c r="L87" s="537"/>
      <c r="M87" s="538"/>
      <c r="N87" s="2976"/>
      <c r="O87" s="2976"/>
      <c r="P87" s="2986"/>
      <c r="Q87" s="2963"/>
      <c r="R87" s="2884"/>
      <c r="S87" s="2884"/>
      <c r="T87" s="2884"/>
      <c r="U87" s="2884"/>
      <c r="V87" s="2884"/>
      <c r="W87" s="2884"/>
      <c r="X87" s="2884"/>
      <c r="Y87" s="2884"/>
      <c r="Z87" s="2884"/>
      <c r="AA87" s="2884"/>
      <c r="AB87" s="2884"/>
      <c r="AC87" s="288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8"/>
      <c r="O88" s="2978"/>
      <c r="P88" s="2986"/>
      <c r="Q88" s="2963"/>
      <c r="R88" s="2884"/>
      <c r="S88" s="2884"/>
      <c r="T88" s="2884"/>
      <c r="U88" s="2884"/>
      <c r="V88" s="2884"/>
      <c r="W88" s="2884"/>
      <c r="X88" s="2884"/>
      <c r="Y88" s="2884"/>
      <c r="Z88" s="2884"/>
      <c r="AA88" s="2884"/>
      <c r="AB88" s="2884"/>
      <c r="AC88" s="2884"/>
    </row>
    <row r="89" spans="1:29" s="113" customFormat="1" ht="15.75" thickTop="1">
      <c r="A89" s="536"/>
      <c r="B89" s="495" t="str">
        <f>B27</f>
        <v>楼层</v>
      </c>
      <c r="C89" s="511"/>
      <c r="D89" s="511"/>
      <c r="E89" s="511"/>
      <c r="F89" s="2112"/>
      <c r="G89" s="511"/>
      <c r="H89" s="511"/>
      <c r="I89" s="511"/>
      <c r="J89" s="511"/>
      <c r="K89" s="511"/>
      <c r="L89" s="511"/>
      <c r="M89" s="538"/>
      <c r="N89" s="2976"/>
      <c r="O89" s="2976"/>
      <c r="P89" s="2986"/>
      <c r="Q89" s="2963"/>
      <c r="R89" s="2884"/>
      <c r="S89" s="2884"/>
      <c r="T89" s="2884"/>
      <c r="U89" s="2884"/>
      <c r="V89" s="2884"/>
      <c r="W89" s="2884"/>
      <c r="X89" s="2884"/>
      <c r="Y89" s="2884"/>
      <c r="Z89" s="2884"/>
      <c r="AA89" s="2884"/>
      <c r="AB89" s="2884"/>
      <c r="AC89" s="288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8"/>
      <c r="O90" s="2978"/>
      <c r="P90" s="2986"/>
      <c r="Q90" s="2963"/>
      <c r="R90" s="2884"/>
      <c r="S90" s="2884"/>
      <c r="T90" s="2884"/>
      <c r="U90" s="2884"/>
      <c r="V90" s="2884"/>
      <c r="W90" s="2884"/>
      <c r="X90" s="2884"/>
      <c r="Y90" s="2884"/>
      <c r="Z90" s="2884"/>
      <c r="AA90" s="2884"/>
      <c r="AB90" s="2884"/>
      <c r="AC90" s="2884"/>
    </row>
    <row r="91" spans="1:29" s="430" customFormat="1" ht="15.75" thickTop="1">
      <c r="A91" s="510"/>
      <c r="B91" s="495" t="str">
        <f>B28</f>
        <v>朝向</v>
      </c>
      <c r="C91" s="511"/>
      <c r="D91" s="511"/>
      <c r="E91" s="511"/>
      <c r="F91" s="511"/>
      <c r="G91" s="511"/>
      <c r="H91" s="512"/>
      <c r="I91" s="512"/>
      <c r="J91" s="512"/>
      <c r="K91" s="512"/>
      <c r="L91" s="513"/>
      <c r="M91" s="514"/>
      <c r="N91" s="2979"/>
      <c r="O91" s="2979"/>
      <c r="P91" s="2987"/>
      <c r="Q91" s="2970"/>
      <c r="R91" s="2971"/>
      <c r="S91" s="2971"/>
      <c r="T91" s="2971"/>
      <c r="U91" s="2971"/>
      <c r="V91" s="2971"/>
      <c r="W91" s="2971"/>
      <c r="X91" s="2971"/>
      <c r="Y91" s="2971"/>
      <c r="Z91" s="2971"/>
      <c r="AA91" s="2971"/>
      <c r="AB91" s="2971"/>
      <c r="AC91" s="297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9"/>
      <c r="O92" s="2979"/>
      <c r="P92" s="2987"/>
      <c r="Q92" s="2970"/>
      <c r="R92" s="2971"/>
      <c r="S92" s="2971"/>
      <c r="T92" s="2971"/>
      <c r="U92" s="2971"/>
      <c r="V92" s="2971"/>
      <c r="W92" s="2971"/>
      <c r="X92" s="2971"/>
      <c r="Y92" s="2971"/>
      <c r="Z92" s="2971"/>
      <c r="AA92" s="2971"/>
      <c r="AB92" s="2971"/>
      <c r="AC92" s="2971"/>
    </row>
    <row r="93" spans="1:29" ht="15.75" thickTop="1">
      <c r="A93" s="491"/>
      <c r="B93" s="495">
        <f>B29</f>
        <v>111</v>
      </c>
      <c r="C93" s="511"/>
      <c r="D93" s="511"/>
      <c r="E93" s="511"/>
      <c r="F93" s="511"/>
      <c r="G93" s="511"/>
      <c r="H93" s="511"/>
      <c r="I93" s="511"/>
      <c r="J93" s="511"/>
      <c r="K93" s="511"/>
      <c r="L93" s="537"/>
      <c r="M93" s="538"/>
      <c r="N93" s="2977"/>
      <c r="O93" s="2977"/>
      <c r="P93" s="2986"/>
      <c r="Q93" s="2963"/>
      <c r="R93" s="2949"/>
      <c r="S93" s="2949"/>
      <c r="T93" s="2949"/>
      <c r="U93" s="2949"/>
      <c r="V93" s="2949"/>
      <c r="W93" s="2949"/>
      <c r="X93" s="2949"/>
      <c r="Y93" s="2949"/>
      <c r="Z93" s="2949"/>
      <c r="AA93" s="2949"/>
      <c r="AB93" s="2949"/>
      <c r="AC93" s="2949"/>
    </row>
    <row r="94" spans="1:29" ht="15.75" thickBot="1">
      <c r="A94" s="491"/>
      <c r="B94" s="500"/>
      <c r="C94" s="517"/>
      <c r="D94" s="493"/>
      <c r="E94" s="493"/>
      <c r="F94" s="493"/>
      <c r="G94" s="493"/>
      <c r="H94" s="493"/>
      <c r="I94" s="493"/>
      <c r="J94" s="493"/>
      <c r="K94" s="493"/>
      <c r="L94" s="493"/>
      <c r="M94" s="494"/>
      <c r="N94" s="2978"/>
      <c r="O94" s="2978"/>
      <c r="P94" s="2986"/>
      <c r="Q94" s="2963"/>
      <c r="R94" s="2949"/>
      <c r="S94" s="2949"/>
      <c r="T94" s="2949"/>
      <c r="U94" s="2949"/>
      <c r="V94" s="2949"/>
      <c r="W94" s="2949"/>
      <c r="X94" s="2949"/>
      <c r="Y94" s="2949"/>
      <c r="Z94" s="2949"/>
      <c r="AA94" s="2949"/>
      <c r="AB94" s="2949"/>
      <c r="AC94" s="2949"/>
    </row>
    <row r="95" spans="1:29" ht="15.75" thickTop="1">
      <c r="A95" s="491"/>
      <c r="B95" s="495">
        <f>B30</f>
        <v>111</v>
      </c>
      <c r="C95" s="511"/>
      <c r="D95" s="511"/>
      <c r="E95" s="511"/>
      <c r="F95" s="511"/>
      <c r="G95" s="540"/>
      <c r="H95" s="540"/>
      <c r="I95" s="540"/>
      <c r="J95" s="540"/>
      <c r="K95" s="541"/>
      <c r="L95" s="542"/>
      <c r="M95" s="543"/>
      <c r="N95" s="2977"/>
      <c r="O95" s="2977"/>
      <c r="P95" s="2986"/>
      <c r="Q95" s="2963"/>
      <c r="R95" s="2949"/>
      <c r="S95" s="2949"/>
      <c r="T95" s="2949"/>
      <c r="U95" s="2949"/>
      <c r="V95" s="2949"/>
      <c r="W95" s="2949"/>
      <c r="X95" s="2949"/>
      <c r="Y95" s="2949"/>
      <c r="Z95" s="2949"/>
      <c r="AA95" s="2949"/>
      <c r="AB95" s="2949"/>
      <c r="AC95" s="2949"/>
    </row>
    <row r="96" spans="1:29" ht="15.75" thickBot="1">
      <c r="A96" s="491"/>
      <c r="B96" s="500"/>
      <c r="C96" s="517"/>
      <c r="D96" s="517"/>
      <c r="E96" s="517"/>
      <c r="F96" s="517"/>
      <c r="G96" s="493"/>
      <c r="H96" s="493"/>
      <c r="I96" s="493"/>
      <c r="J96" s="493"/>
      <c r="K96" s="493"/>
      <c r="L96" s="493"/>
      <c r="M96" s="494"/>
      <c r="N96" s="2978"/>
      <c r="O96" s="2978"/>
      <c r="P96" s="2986"/>
      <c r="Q96" s="2963"/>
      <c r="R96" s="2949"/>
      <c r="S96" s="2949"/>
      <c r="T96" s="2949"/>
      <c r="U96" s="2949"/>
      <c r="V96" s="2949"/>
      <c r="W96" s="2949"/>
      <c r="X96" s="2949"/>
      <c r="Y96" s="2949"/>
      <c r="Z96" s="2949"/>
      <c r="AA96" s="2949"/>
      <c r="AB96" s="2949"/>
      <c r="AC96" s="2949"/>
    </row>
    <row r="97" spans="1:29" ht="15.75" thickTop="1">
      <c r="A97" s="491"/>
      <c r="B97" s="495">
        <f>B31</f>
        <v>111</v>
      </c>
      <c r="C97" s="511"/>
      <c r="D97" s="511"/>
      <c r="E97" s="511"/>
      <c r="F97" s="511"/>
      <c r="G97" s="540"/>
      <c r="H97" s="540"/>
      <c r="I97" s="540"/>
      <c r="J97" s="540"/>
      <c r="K97" s="541"/>
      <c r="L97" s="542"/>
      <c r="M97" s="543"/>
      <c r="N97" s="2977"/>
      <c r="O97" s="2977"/>
      <c r="P97" s="2986"/>
      <c r="Q97" s="2963"/>
      <c r="R97" s="2949"/>
      <c r="S97" s="2949"/>
      <c r="T97" s="2949"/>
      <c r="U97" s="2949"/>
      <c r="V97" s="2949"/>
      <c r="W97" s="2949"/>
      <c r="X97" s="2949"/>
      <c r="Y97" s="2949"/>
      <c r="Z97" s="2949"/>
      <c r="AA97" s="2949"/>
      <c r="AB97" s="2949"/>
      <c r="AC97" s="2949"/>
    </row>
    <row r="98" spans="1:29" ht="15.75" thickBot="1">
      <c r="A98" s="491"/>
      <c r="B98" s="500"/>
      <c r="C98" s="517"/>
      <c r="D98" s="493"/>
      <c r="E98" s="493"/>
      <c r="F98" s="493"/>
      <c r="G98" s="493"/>
      <c r="H98" s="493"/>
      <c r="I98" s="493"/>
      <c r="J98" s="493"/>
      <c r="K98" s="493"/>
      <c r="L98" s="493"/>
      <c r="M98" s="494"/>
      <c r="N98" s="2978"/>
      <c r="O98" s="2978"/>
      <c r="P98" s="2986"/>
      <c r="Q98" s="2963"/>
      <c r="R98" s="2949"/>
      <c r="S98" s="2949"/>
      <c r="T98" s="2949"/>
      <c r="U98" s="2949"/>
      <c r="V98" s="2949"/>
      <c r="W98" s="2949"/>
      <c r="X98" s="2949"/>
      <c r="Y98" s="2949"/>
      <c r="Z98" s="2949"/>
      <c r="AA98" s="2949"/>
      <c r="AB98" s="2949"/>
      <c r="AC98" s="2949"/>
    </row>
    <row r="99" spans="1:29" ht="15.75" thickTop="1">
      <c r="A99" s="491"/>
      <c r="B99" s="503">
        <f>B32</f>
        <v>111</v>
      </c>
      <c r="C99" s="480"/>
      <c r="D99" s="480"/>
      <c r="E99" s="480"/>
      <c r="F99" s="480"/>
      <c r="G99" s="544"/>
      <c r="H99" s="544"/>
      <c r="I99" s="544"/>
      <c r="J99" s="544"/>
      <c r="K99" s="545"/>
      <c r="L99" s="546"/>
      <c r="M99" s="547"/>
      <c r="N99" s="2977"/>
      <c r="O99" s="2977"/>
      <c r="P99" s="2986"/>
      <c r="Q99" s="2963"/>
      <c r="R99" s="2949"/>
      <c r="S99" s="2949"/>
      <c r="T99" s="2949"/>
      <c r="U99" s="2949"/>
      <c r="V99" s="2949"/>
      <c r="W99" s="2949"/>
      <c r="X99" s="2949"/>
      <c r="Y99" s="2949"/>
      <c r="Z99" s="2949"/>
      <c r="AA99" s="2949"/>
      <c r="AB99" s="2949"/>
      <c r="AC99" s="2949"/>
    </row>
    <row r="100" spans="1:29" ht="15.75" thickBot="1">
      <c r="A100" s="2113"/>
      <c r="B100" s="526"/>
      <c r="C100" s="527"/>
      <c r="D100" s="527"/>
      <c r="E100" s="527"/>
      <c r="F100" s="527"/>
      <c r="G100" s="548"/>
      <c r="H100" s="548"/>
      <c r="I100" s="548"/>
      <c r="J100" s="548"/>
      <c r="K100" s="548"/>
      <c r="L100" s="548"/>
      <c r="M100" s="549"/>
      <c r="N100" s="2978"/>
      <c r="O100" s="2978"/>
      <c r="P100" s="2986"/>
      <c r="Q100" s="2963"/>
      <c r="R100" s="2949"/>
      <c r="S100" s="2949"/>
      <c r="T100" s="2949"/>
      <c r="U100" s="2949"/>
      <c r="V100" s="2949"/>
      <c r="W100" s="2949"/>
      <c r="X100" s="2949"/>
      <c r="Y100" s="2949"/>
      <c r="Z100" s="2949"/>
      <c r="AA100" s="2949"/>
      <c r="AB100" s="2949"/>
      <c r="AC100" s="2949"/>
    </row>
    <row r="101" spans="1:29">
      <c r="A101" s="484" t="s">
        <v>2383</v>
      </c>
      <c r="B101" s="485" t="s">
        <v>2432</v>
      </c>
      <c r="C101" s="487"/>
      <c r="D101" s="487"/>
      <c r="E101" s="487"/>
      <c r="F101" s="487"/>
      <c r="G101" s="487"/>
      <c r="H101" s="487"/>
      <c r="I101" s="487"/>
      <c r="J101" s="487"/>
      <c r="K101" s="488"/>
      <c r="L101" s="489"/>
      <c r="M101" s="490"/>
      <c r="N101" s="2977"/>
      <c r="O101" s="2977"/>
      <c r="P101" s="2986"/>
      <c r="Q101" s="2963"/>
      <c r="R101" s="2949"/>
      <c r="S101" s="2949"/>
      <c r="T101" s="2949"/>
      <c r="U101" s="2949"/>
      <c r="V101" s="2949"/>
      <c r="W101" s="2949"/>
      <c r="X101" s="2949"/>
      <c r="Y101" s="2949"/>
      <c r="Z101" s="2949"/>
      <c r="AA101" s="2949"/>
      <c r="AB101" s="2949"/>
      <c r="AC101" s="294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8"/>
      <c r="O102" s="2978"/>
      <c r="P102" s="2986"/>
      <c r="Q102" s="2963"/>
      <c r="R102" s="2949"/>
      <c r="S102" s="2949"/>
      <c r="T102" s="2949"/>
      <c r="U102" s="2949"/>
      <c r="V102" s="2949"/>
      <c r="W102" s="2949"/>
      <c r="X102" s="2949"/>
      <c r="Y102" s="2949"/>
      <c r="Z102" s="2949"/>
      <c r="AA102" s="2949"/>
      <c r="AB102" s="2949"/>
      <c r="AC102" s="2949"/>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6"/>
      <c r="O103" s="2976"/>
      <c r="P103" s="2986"/>
      <c r="Q103" s="2963"/>
      <c r="R103" s="2949"/>
      <c r="S103" s="2949"/>
      <c r="T103" s="2949"/>
      <c r="U103" s="2949"/>
      <c r="V103" s="2949"/>
      <c r="W103" s="2949"/>
      <c r="X103" s="2949"/>
      <c r="Y103" s="2949"/>
      <c r="Z103" s="2949"/>
      <c r="AA103" s="2949"/>
      <c r="AB103" s="2949"/>
      <c r="AC103" s="2949"/>
    </row>
    <row r="104" spans="1:29" s="430" customFormat="1">
      <c r="A104" s="550"/>
      <c r="B104" s="551"/>
      <c r="C104" s="552"/>
      <c r="D104" s="552"/>
      <c r="E104" s="552"/>
      <c r="F104" s="552"/>
      <c r="G104" s="552"/>
      <c r="H104" s="552"/>
      <c r="I104" s="552"/>
      <c r="J104" s="553"/>
      <c r="K104" s="553"/>
      <c r="L104" s="554"/>
      <c r="M104" s="555"/>
      <c r="N104" s="2979"/>
      <c r="O104" s="2979"/>
      <c r="P104" s="2987"/>
      <c r="Q104" s="2970"/>
      <c r="R104" s="2971"/>
      <c r="S104" s="2971"/>
      <c r="T104" s="2971"/>
      <c r="U104" s="2971"/>
      <c r="V104" s="2971"/>
      <c r="W104" s="2971"/>
      <c r="X104" s="2971"/>
      <c r="Y104" s="2971"/>
      <c r="Z104" s="2971"/>
      <c r="AA104" s="2971"/>
      <c r="AB104" s="2971"/>
      <c r="AC104" s="2971"/>
    </row>
    <row r="105" spans="1:29" s="430" customFormat="1" ht="15.75" thickBot="1">
      <c r="A105" s="510"/>
      <c r="B105" s="500"/>
      <c r="C105" s="517"/>
      <c r="D105" s="493"/>
      <c r="E105" s="493"/>
      <c r="F105" s="493"/>
      <c r="G105" s="493"/>
      <c r="H105" s="493"/>
      <c r="I105" s="493"/>
      <c r="J105" s="493"/>
      <c r="K105" s="493"/>
      <c r="L105" s="493"/>
      <c r="M105" s="494"/>
      <c r="N105" s="2978"/>
      <c r="O105" s="2978"/>
      <c r="P105" s="2987"/>
      <c r="Q105" s="2970"/>
      <c r="R105" s="2971"/>
      <c r="S105" s="2971"/>
      <c r="T105" s="2971"/>
      <c r="U105" s="2971"/>
      <c r="V105" s="2971"/>
      <c r="W105" s="2971"/>
      <c r="X105" s="2971"/>
      <c r="Y105" s="2971"/>
      <c r="Z105" s="2971"/>
      <c r="AA105" s="2971"/>
      <c r="AB105" s="2971"/>
      <c r="AC105" s="2971"/>
    </row>
    <row r="106" spans="1:29" ht="15" thickTop="1">
      <c r="A106" s="556"/>
      <c r="B106" s="495" t="s">
        <v>2434</v>
      </c>
      <c r="C106" s="511"/>
      <c r="D106" s="511"/>
      <c r="E106" s="540"/>
      <c r="F106" s="540"/>
      <c r="G106" s="540"/>
      <c r="H106" s="540"/>
      <c r="I106" s="540"/>
      <c r="J106" s="540"/>
      <c r="K106" s="541"/>
      <c r="L106" s="542"/>
      <c r="M106" s="543"/>
      <c r="N106" s="2977"/>
      <c r="O106" s="2977"/>
      <c r="P106" s="2986"/>
      <c r="Q106" s="2963"/>
      <c r="R106" s="2949"/>
      <c r="S106" s="2949"/>
      <c r="T106" s="2949"/>
      <c r="U106" s="2949"/>
      <c r="V106" s="2949"/>
      <c r="W106" s="2949"/>
      <c r="X106" s="2949"/>
      <c r="Y106" s="2949"/>
      <c r="Z106" s="2949"/>
      <c r="AA106" s="2949"/>
      <c r="AB106" s="2949"/>
      <c r="AC106" s="294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8"/>
      <c r="O107" s="2978"/>
      <c r="P107" s="2986"/>
      <c r="Q107" s="2963"/>
      <c r="R107" s="2949"/>
      <c r="S107" s="2949"/>
      <c r="T107" s="2949"/>
      <c r="U107" s="2949"/>
      <c r="V107" s="2949"/>
      <c r="W107" s="2949"/>
      <c r="X107" s="2949"/>
      <c r="Y107" s="2949"/>
      <c r="Z107" s="2949"/>
      <c r="AA107" s="2949"/>
      <c r="AB107" s="2949"/>
      <c r="AC107" s="2949"/>
    </row>
    <row r="108" spans="1:29" ht="15" thickTop="1">
      <c r="A108" s="556"/>
      <c r="B108" s="495" t="s">
        <v>2436</v>
      </c>
      <c r="C108" s="511"/>
      <c r="D108" s="511"/>
      <c r="E108" s="511"/>
      <c r="F108" s="540"/>
      <c r="G108" s="540"/>
      <c r="H108" s="540"/>
      <c r="I108" s="540"/>
      <c r="J108" s="540"/>
      <c r="K108" s="541"/>
      <c r="L108" s="542"/>
      <c r="M108" s="543"/>
      <c r="N108" s="2977"/>
      <c r="O108" s="2977"/>
      <c r="P108" s="2986"/>
      <c r="Q108" s="2963"/>
      <c r="R108" s="2949"/>
      <c r="S108" s="2949"/>
      <c r="T108" s="2949"/>
      <c r="U108" s="2949"/>
      <c r="V108" s="2949"/>
      <c r="W108" s="2949"/>
      <c r="X108" s="2949"/>
      <c r="Y108" s="2949"/>
      <c r="Z108" s="2949"/>
      <c r="AA108" s="2949"/>
      <c r="AB108" s="2949"/>
      <c r="AC108" s="294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8"/>
      <c r="O109" s="2978"/>
      <c r="P109" s="2986"/>
      <c r="Q109" s="2963"/>
      <c r="R109" s="2949"/>
      <c r="S109" s="2949"/>
      <c r="T109" s="2949"/>
      <c r="U109" s="2949"/>
      <c r="V109" s="2949"/>
      <c r="W109" s="2949"/>
      <c r="X109" s="2949"/>
      <c r="Y109" s="2949"/>
      <c r="Z109" s="2949"/>
      <c r="AA109" s="2949"/>
      <c r="AB109" s="2949"/>
      <c r="AC109" s="2949"/>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7"/>
      <c r="O110" s="2977"/>
      <c r="P110" s="2986"/>
      <c r="Q110" s="2963"/>
      <c r="R110" s="2949"/>
      <c r="S110" s="2949"/>
      <c r="T110" s="2949"/>
      <c r="U110" s="2949"/>
      <c r="V110" s="2949"/>
      <c r="W110" s="2949"/>
      <c r="X110" s="2949"/>
      <c r="Y110" s="2949"/>
      <c r="Z110" s="2949"/>
      <c r="AA110" s="2949"/>
      <c r="AB110" s="2949"/>
      <c r="AC110" s="2949"/>
    </row>
    <row r="111" spans="1:29">
      <c r="A111" s="556"/>
      <c r="B111" s="503"/>
      <c r="C111" s="560">
        <v>0.5</v>
      </c>
      <c r="D111" s="560">
        <v>0.6</v>
      </c>
      <c r="E111" s="560">
        <v>0.7</v>
      </c>
      <c r="F111" s="560">
        <v>0.8</v>
      </c>
      <c r="G111" s="560">
        <v>0.9</v>
      </c>
      <c r="H111" s="560">
        <v>1.0001</v>
      </c>
      <c r="I111" s="579"/>
      <c r="J111" s="579"/>
      <c r="K111" s="580"/>
      <c r="L111" s="581"/>
      <c r="M111" s="582"/>
      <c r="N111" s="2977"/>
      <c r="O111" s="2977"/>
      <c r="P111" s="2986"/>
      <c r="Q111" s="2963"/>
      <c r="R111" s="2949"/>
      <c r="S111" s="2949"/>
      <c r="T111" s="2949"/>
      <c r="U111" s="2949"/>
      <c r="V111" s="2949"/>
      <c r="W111" s="2949"/>
      <c r="X111" s="2949"/>
      <c r="Y111" s="2949"/>
      <c r="Z111" s="2949"/>
      <c r="AA111" s="2949"/>
      <c r="AB111" s="2949"/>
      <c r="AC111" s="294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8"/>
      <c r="O112" s="2978"/>
      <c r="P112" s="2986"/>
      <c r="Q112" s="2963"/>
      <c r="R112" s="2949"/>
      <c r="S112" s="2949"/>
      <c r="T112" s="2949"/>
      <c r="U112" s="2949"/>
      <c r="V112" s="2949"/>
      <c r="W112" s="2949"/>
      <c r="X112" s="2949"/>
      <c r="Y112" s="2949"/>
      <c r="Z112" s="2949"/>
      <c r="AA112" s="2949"/>
      <c r="AB112" s="2949"/>
      <c r="AC112" s="2949"/>
    </row>
    <row r="113" spans="1:29" s="430" customFormat="1" ht="15" thickTop="1">
      <c r="A113" s="550"/>
      <c r="B113" s="495" t="s">
        <v>2520</v>
      </c>
      <c r="C113" s="511"/>
      <c r="D113" s="511"/>
      <c r="E113" s="511"/>
      <c r="F113" s="511"/>
      <c r="G113" s="511"/>
      <c r="H113" s="540"/>
      <c r="I113" s="540"/>
      <c r="J113" s="540"/>
      <c r="K113" s="541"/>
      <c r="L113" s="542"/>
      <c r="M113" s="543"/>
      <c r="N113" s="2979"/>
      <c r="O113" s="2979"/>
      <c r="P113" s="2987"/>
      <c r="Q113" s="2970"/>
      <c r="R113" s="2971"/>
      <c r="S113" s="2971"/>
      <c r="T113" s="2971"/>
      <c r="U113" s="2971"/>
      <c r="V113" s="2971"/>
      <c r="W113" s="2971"/>
      <c r="X113" s="2971"/>
      <c r="Y113" s="2971"/>
      <c r="Z113" s="2971"/>
      <c r="AA113" s="2971"/>
      <c r="AB113" s="2971"/>
      <c r="AC113" s="297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9"/>
      <c r="O114" s="2979"/>
      <c r="P114" s="2987"/>
      <c r="Q114" s="2970"/>
      <c r="R114" s="2971"/>
      <c r="S114" s="2971"/>
      <c r="T114" s="2971"/>
      <c r="U114" s="2971"/>
      <c r="V114" s="2971"/>
      <c r="W114" s="2971"/>
      <c r="X114" s="2971"/>
      <c r="Y114" s="2971"/>
      <c r="Z114" s="2971"/>
      <c r="AA114" s="2971"/>
      <c r="AB114" s="2971"/>
      <c r="AC114" s="2971"/>
    </row>
    <row r="115" spans="1:29" ht="15" thickTop="1">
      <c r="A115" s="556"/>
      <c r="B115" s="495" t="s">
        <v>2437</v>
      </c>
      <c r="C115" s="511"/>
      <c r="D115" s="511"/>
      <c r="E115" s="540"/>
      <c r="F115" s="540"/>
      <c r="G115" s="540"/>
      <c r="H115" s="540"/>
      <c r="I115" s="540"/>
      <c r="J115" s="540"/>
      <c r="K115" s="541"/>
      <c r="L115" s="542"/>
      <c r="M115" s="543"/>
      <c r="N115" s="2977"/>
      <c r="O115" s="2977"/>
      <c r="P115" s="2986"/>
      <c r="Q115" s="2963"/>
      <c r="R115" s="2949"/>
      <c r="S115" s="2949"/>
      <c r="T115" s="2949"/>
      <c r="U115" s="2949"/>
      <c r="V115" s="2949"/>
      <c r="W115" s="2949"/>
      <c r="X115" s="2949"/>
      <c r="Y115" s="2949"/>
      <c r="Z115" s="2949"/>
      <c r="AA115" s="2949"/>
      <c r="AB115" s="2949"/>
      <c r="AC115" s="294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8"/>
      <c r="O116" s="2978"/>
      <c r="P116" s="2986"/>
      <c r="Q116" s="2963"/>
      <c r="R116" s="2949"/>
      <c r="S116" s="2949"/>
      <c r="T116" s="2949"/>
      <c r="U116" s="2949"/>
      <c r="V116" s="2949"/>
      <c r="W116" s="2949"/>
      <c r="X116" s="2949"/>
      <c r="Y116" s="2949"/>
      <c r="Z116" s="2949"/>
      <c r="AA116" s="2949"/>
      <c r="AB116" s="2949"/>
      <c r="AC116" s="2949"/>
    </row>
    <row r="117" spans="1:29" ht="15" thickTop="1">
      <c r="A117" s="556"/>
      <c r="B117" s="495" t="s">
        <v>2438</v>
      </c>
      <c r="C117" s="511"/>
      <c r="D117" s="511"/>
      <c r="E117" s="511"/>
      <c r="F117" s="511"/>
      <c r="G117" s="511"/>
      <c r="H117" s="540"/>
      <c r="I117" s="540"/>
      <c r="J117" s="540"/>
      <c r="K117" s="541"/>
      <c r="L117" s="542"/>
      <c r="M117" s="543"/>
      <c r="N117" s="2977"/>
      <c r="O117" s="2977"/>
      <c r="P117" s="2986"/>
      <c r="Q117" s="2963"/>
      <c r="R117" s="2949"/>
      <c r="S117" s="2949"/>
      <c r="T117" s="2949"/>
      <c r="U117" s="2949"/>
      <c r="V117" s="2949"/>
      <c r="W117" s="2949"/>
      <c r="X117" s="2949"/>
      <c r="Y117" s="2949"/>
      <c r="Z117" s="2949"/>
      <c r="AA117" s="2949"/>
      <c r="AB117" s="2949"/>
      <c r="AC117" s="294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8"/>
      <c r="O118" s="2978"/>
      <c r="P118" s="2986"/>
      <c r="Q118" s="2963"/>
      <c r="R118" s="2949"/>
      <c r="S118" s="2949"/>
      <c r="T118" s="2949"/>
      <c r="U118" s="2949"/>
      <c r="V118" s="2949"/>
      <c r="W118" s="2949"/>
      <c r="X118" s="2949"/>
      <c r="Y118" s="2949"/>
      <c r="Z118" s="2949"/>
      <c r="AA118" s="2949"/>
      <c r="AB118" s="2949"/>
      <c r="AC118" s="2949"/>
    </row>
    <row r="119" spans="1:29" ht="15" thickTop="1">
      <c r="A119" s="556"/>
      <c r="B119" s="592" t="s">
        <v>2521</v>
      </c>
      <c r="C119" s="540"/>
      <c r="D119" s="540"/>
      <c r="E119" s="540"/>
      <c r="F119" s="540"/>
      <c r="G119" s="540"/>
      <c r="H119" s="540"/>
      <c r="I119" s="540"/>
      <c r="J119" s="540"/>
      <c r="K119" s="540"/>
      <c r="L119" s="2153"/>
      <c r="M119" s="2154"/>
      <c r="N119" s="2978"/>
      <c r="O119" s="2978"/>
      <c r="P119" s="2991"/>
      <c r="Q119" s="2992"/>
      <c r="R119" s="2949"/>
      <c r="S119" s="2949"/>
      <c r="T119" s="2949"/>
      <c r="U119" s="2949"/>
      <c r="V119" s="2949"/>
      <c r="W119" s="2949"/>
      <c r="X119" s="2949"/>
      <c r="Y119" s="2949"/>
      <c r="Z119" s="2949"/>
      <c r="AA119" s="2949"/>
      <c r="AB119" s="2949"/>
      <c r="AC119" s="294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8"/>
      <c r="O120" s="2978"/>
      <c r="P120" s="2986"/>
      <c r="Q120" s="2963"/>
      <c r="R120" s="2949"/>
      <c r="S120" s="2949"/>
      <c r="T120" s="2949"/>
      <c r="U120" s="2949"/>
      <c r="V120" s="2949"/>
      <c r="W120" s="2949"/>
      <c r="X120" s="2949"/>
      <c r="Y120" s="2949"/>
      <c r="Z120" s="2949"/>
      <c r="AA120" s="2949"/>
      <c r="AB120" s="2949"/>
      <c r="AC120" s="2949"/>
    </row>
    <row r="121" spans="1:29" s="430" customFormat="1" ht="15" thickTop="1">
      <c r="A121" s="550"/>
      <c r="B121" s="495" t="s">
        <v>2504</v>
      </c>
      <c r="C121" s="511"/>
      <c r="D121" s="511"/>
      <c r="E121" s="511"/>
      <c r="F121" s="540"/>
      <c r="G121" s="512"/>
      <c r="H121" s="512"/>
      <c r="I121" s="512"/>
      <c r="J121" s="512"/>
      <c r="K121" s="512"/>
      <c r="L121" s="513"/>
      <c r="M121" s="514"/>
      <c r="N121" s="2979"/>
      <c r="O121" s="2979"/>
      <c r="P121" s="2987"/>
      <c r="Q121" s="2970"/>
      <c r="R121" s="2971"/>
      <c r="S121" s="2971"/>
      <c r="T121" s="2971"/>
      <c r="U121" s="2971"/>
      <c r="V121" s="2971"/>
      <c r="W121" s="2971"/>
      <c r="X121" s="2971"/>
      <c r="Y121" s="2971"/>
      <c r="Z121" s="2971"/>
      <c r="AA121" s="2971"/>
      <c r="AB121" s="2971"/>
      <c r="AC121" s="2971"/>
    </row>
    <row r="122" spans="1:29" s="430" customFormat="1" ht="15.75" thickBot="1">
      <c r="A122" s="510"/>
      <c r="B122" s="492"/>
      <c r="C122" s="517"/>
      <c r="D122" s="517"/>
      <c r="E122" s="517"/>
      <c r="F122" s="517"/>
      <c r="G122" s="517"/>
      <c r="H122" s="517"/>
      <c r="I122" s="517"/>
      <c r="J122" s="517"/>
      <c r="K122" s="517"/>
      <c r="L122" s="517"/>
      <c r="M122" s="517"/>
      <c r="N122" s="2979"/>
      <c r="O122" s="2979"/>
      <c r="P122" s="2987"/>
      <c r="Q122" s="2970"/>
      <c r="R122" s="2971"/>
      <c r="S122" s="2971"/>
      <c r="T122" s="2971"/>
      <c r="U122" s="2971"/>
      <c r="V122" s="2971"/>
      <c r="W122" s="2971"/>
      <c r="X122" s="2971"/>
      <c r="Y122" s="2971"/>
      <c r="Z122" s="2971"/>
      <c r="AA122" s="2971"/>
      <c r="AB122" s="2971"/>
      <c r="AC122" s="2971"/>
    </row>
    <row r="123" spans="1:29" ht="15" thickTop="1">
      <c r="A123" s="556"/>
      <c r="B123" s="495" t="s">
        <v>2440</v>
      </c>
      <c r="C123" s="511"/>
      <c r="D123" s="511"/>
      <c r="E123" s="511"/>
      <c r="F123" s="540"/>
      <c r="G123" s="540"/>
      <c r="H123" s="540"/>
      <c r="I123" s="540"/>
      <c r="J123" s="540"/>
      <c r="K123" s="541"/>
      <c r="L123" s="542"/>
      <c r="M123" s="543"/>
      <c r="N123" s="2977"/>
      <c r="O123" s="2977"/>
      <c r="P123" s="2986"/>
      <c r="Q123" s="2963"/>
      <c r="R123" s="2949"/>
      <c r="S123" s="2949"/>
      <c r="T123" s="2949"/>
      <c r="U123" s="2949"/>
      <c r="V123" s="2949"/>
      <c r="W123" s="2949"/>
      <c r="X123" s="2949"/>
      <c r="Y123" s="2949"/>
      <c r="Z123" s="2949"/>
      <c r="AA123" s="2949"/>
      <c r="AB123" s="2949"/>
      <c r="AC123" s="294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8"/>
      <c r="O124" s="2978"/>
      <c r="P124" s="2986"/>
      <c r="Q124" s="2963"/>
      <c r="R124" s="2949"/>
      <c r="S124" s="2949"/>
      <c r="T124" s="2949"/>
      <c r="U124" s="2949"/>
      <c r="V124" s="2949"/>
      <c r="W124" s="2949"/>
      <c r="X124" s="2949"/>
      <c r="Y124" s="2949"/>
      <c r="Z124" s="2949"/>
      <c r="AA124" s="2949"/>
      <c r="AB124" s="2949"/>
      <c r="AC124" s="2949"/>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7"/>
      <c r="O125" s="2977"/>
      <c r="P125" s="2987"/>
      <c r="Q125" s="2963"/>
      <c r="R125" s="2949"/>
      <c r="S125" s="2949"/>
      <c r="T125" s="2949"/>
      <c r="U125" s="2949"/>
      <c r="V125" s="2949"/>
      <c r="W125" s="2949"/>
      <c r="X125" s="2949"/>
      <c r="Y125" s="2949"/>
      <c r="Z125" s="2949"/>
      <c r="AA125" s="2949"/>
      <c r="AB125" s="2949"/>
      <c r="AC125" s="294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8"/>
      <c r="O126" s="2978"/>
      <c r="P126" s="2986"/>
      <c r="Q126" s="2963"/>
      <c r="R126" s="2949"/>
      <c r="S126" s="2949"/>
      <c r="T126" s="2949"/>
      <c r="U126" s="2949"/>
      <c r="V126" s="2949"/>
      <c r="W126" s="2949"/>
      <c r="X126" s="2949"/>
      <c r="Y126" s="2949"/>
      <c r="Z126" s="2949"/>
      <c r="AA126" s="2949"/>
      <c r="AB126" s="2949"/>
      <c r="AC126" s="2949"/>
    </row>
    <row r="127" spans="1:29" s="430" customFormat="1" ht="15" thickTop="1">
      <c r="A127" s="550"/>
      <c r="B127" s="495">
        <f>B45</f>
        <v>111</v>
      </c>
      <c r="C127" s="511"/>
      <c r="D127" s="511"/>
      <c r="E127" s="511"/>
      <c r="F127" s="511"/>
      <c r="G127" s="511"/>
      <c r="H127" s="512"/>
      <c r="I127" s="512"/>
      <c r="J127" s="512"/>
      <c r="K127" s="512"/>
      <c r="L127" s="513"/>
      <c r="M127" s="514"/>
      <c r="N127" s="2979"/>
      <c r="O127" s="2979"/>
      <c r="P127" s="2987"/>
      <c r="Q127" s="2970"/>
      <c r="R127" s="2971"/>
      <c r="S127" s="2971"/>
      <c r="T127" s="2971"/>
      <c r="U127" s="2971"/>
      <c r="V127" s="2971"/>
      <c r="W127" s="2971"/>
      <c r="X127" s="2971"/>
      <c r="Y127" s="2971"/>
      <c r="Z127" s="2971"/>
      <c r="AA127" s="2971"/>
      <c r="AB127" s="2971"/>
      <c r="AC127" s="2971"/>
    </row>
    <row r="128" spans="1:29" s="430" customFormat="1" ht="15.75" thickBot="1">
      <c r="A128" s="510"/>
      <c r="B128" s="500"/>
      <c r="C128" s="517"/>
      <c r="D128" s="493"/>
      <c r="E128" s="493"/>
      <c r="F128" s="493"/>
      <c r="G128" s="517"/>
      <c r="H128" s="519"/>
      <c r="I128" s="519"/>
      <c r="J128" s="519"/>
      <c r="K128" s="519"/>
      <c r="L128" s="519"/>
      <c r="M128" s="520"/>
      <c r="N128" s="2979"/>
      <c r="O128" s="2979"/>
      <c r="P128" s="2987"/>
      <c r="Q128" s="2970"/>
      <c r="R128" s="2971"/>
      <c r="S128" s="2971"/>
      <c r="T128" s="2971"/>
      <c r="U128" s="2971"/>
      <c r="V128" s="2971"/>
      <c r="W128" s="2971"/>
      <c r="X128" s="2971"/>
      <c r="Y128" s="2971"/>
      <c r="Z128" s="2971"/>
      <c r="AA128" s="2971"/>
      <c r="AB128" s="2971"/>
      <c r="AC128" s="2971"/>
    </row>
    <row r="129" spans="1:29" ht="15" thickTop="1">
      <c r="A129" s="556"/>
      <c r="B129" s="495">
        <f>B46</f>
        <v>111</v>
      </c>
      <c r="C129" s="511"/>
      <c r="D129" s="511"/>
      <c r="E129" s="511"/>
      <c r="F129" s="511"/>
      <c r="G129" s="540"/>
      <c r="H129" s="540"/>
      <c r="I129" s="540"/>
      <c r="J129" s="540"/>
      <c r="K129" s="541"/>
      <c r="L129" s="542"/>
      <c r="M129" s="543"/>
      <c r="N129" s="2977"/>
      <c r="O129" s="2977"/>
      <c r="P129" s="2986"/>
      <c r="Q129" s="2963"/>
      <c r="R129" s="2949"/>
      <c r="S129" s="2949"/>
      <c r="T129" s="2949"/>
      <c r="U129" s="2949"/>
      <c r="V129" s="2949"/>
      <c r="W129" s="2949"/>
      <c r="X129" s="2949"/>
      <c r="Y129" s="2949"/>
      <c r="Z129" s="2949"/>
      <c r="AA129" s="2949"/>
      <c r="AB129" s="2949"/>
      <c r="AC129" s="2949"/>
    </row>
    <row r="130" spans="1:29" ht="15.75" thickBot="1">
      <c r="A130" s="491"/>
      <c r="B130" s="500"/>
      <c r="C130" s="517"/>
      <c r="D130" s="517"/>
      <c r="E130" s="517"/>
      <c r="F130" s="517"/>
      <c r="G130" s="493"/>
      <c r="H130" s="493"/>
      <c r="I130" s="493"/>
      <c r="J130" s="493"/>
      <c r="K130" s="493"/>
      <c r="L130" s="493"/>
      <c r="M130" s="494"/>
      <c r="N130" s="2978"/>
      <c r="O130" s="2978"/>
      <c r="P130" s="2986"/>
      <c r="Q130" s="2963"/>
      <c r="R130" s="2949"/>
      <c r="S130" s="2949"/>
      <c r="T130" s="2949"/>
      <c r="U130" s="2949"/>
      <c r="V130" s="2949"/>
      <c r="W130" s="2949"/>
      <c r="X130" s="2949"/>
      <c r="Y130" s="2949"/>
      <c r="Z130" s="2949"/>
      <c r="AA130" s="2949"/>
      <c r="AB130" s="2949"/>
      <c r="AC130" s="2949"/>
    </row>
    <row r="131" spans="1:29" ht="15" thickTop="1">
      <c r="A131" s="556"/>
      <c r="B131" s="503">
        <f>B47</f>
        <v>111</v>
      </c>
      <c r="C131" s="480"/>
      <c r="D131" s="480"/>
      <c r="E131" s="480"/>
      <c r="F131" s="480"/>
      <c r="G131" s="544"/>
      <c r="H131" s="544"/>
      <c r="I131" s="544"/>
      <c r="J131" s="544"/>
      <c r="K131" s="480"/>
      <c r="L131" s="481"/>
      <c r="M131" s="547"/>
      <c r="N131" s="2977"/>
      <c r="O131" s="2977"/>
      <c r="P131" s="2986"/>
      <c r="Q131" s="2963"/>
      <c r="R131" s="2949"/>
      <c r="S131" s="2949"/>
      <c r="T131" s="2949"/>
      <c r="U131" s="2949"/>
      <c r="V131" s="2949"/>
      <c r="W131" s="2949"/>
      <c r="X131" s="2949"/>
      <c r="Y131" s="2949"/>
      <c r="Z131" s="2949"/>
      <c r="AA131" s="2949"/>
      <c r="AB131" s="2949"/>
      <c r="AC131" s="2949"/>
    </row>
    <row r="132" spans="1:29" ht="15.75" thickBot="1">
      <c r="A132" s="2113"/>
      <c r="B132" s="526"/>
      <c r="C132" s="527"/>
      <c r="D132" s="527"/>
      <c r="E132" s="527"/>
      <c r="F132" s="527"/>
      <c r="G132" s="548"/>
      <c r="H132" s="548"/>
      <c r="I132" s="548"/>
      <c r="J132" s="548"/>
      <c r="K132" s="548"/>
      <c r="L132" s="548"/>
      <c r="M132" s="549"/>
      <c r="N132" s="2978"/>
      <c r="O132" s="2978"/>
      <c r="P132" s="2986"/>
      <c r="Q132" s="2963"/>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中粮信托有限责任公司：</v>
      </c>
    </row>
    <row r="4" spans="1:1" ht="54">
      <c r="A4" s="1665" t="str">
        <f>"受贵公司委托，我公司对"&amp;项目基本情况!S1&amp;"进行了预评估。"</f>
        <v>受贵公司委托，我公司对江苏省扬州市广陵区沙湾南路东侧、许庄路西侧（不动产单元号：321002006003GB00058W00000000）5套住宅用房房地产市场价值进行了预评估。</v>
      </c>
    </row>
    <row r="5" spans="1:1" ht="18.75">
      <c r="A5" s="1666" t="s">
        <v>1576</v>
      </c>
    </row>
    <row r="6" spans="1:1" ht="18.75">
      <c r="A6" s="1667" t="s">
        <v>1577</v>
      </c>
    </row>
    <row r="7" spans="1:1" ht="90">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扬州市广陵区沙湾南路东侧、许庄路西侧（不动产单元号：321002006003GB00058W00000000）5套住宅用房房地产，为扬州正龙置业有限公司所有。根据《不动产权证书》[苏（2020）扬州市不动产权第0117874号]，估价对象（分摊）出让国有建设用地使用权面积为202.06平方米，建筑面积为519.96平方米。</v>
      </c>
    </row>
    <row r="8" spans="1:1" ht="57.75">
      <c r="A8" s="1668" t="s">
        <v>1578</v>
      </c>
    </row>
    <row r="9" spans="1:1" ht="18.75">
      <c r="A9" s="1667" t="s">
        <v>1579</v>
      </c>
    </row>
    <row r="10" spans="1:1" ht="90">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扬州市广陵区沙湾南路东侧、许庄路西侧（不动产单元号：321002006003GB00058W00000000）5套住宅用房房地产,属扬州正龙置业有限公司开发建设的居住项目，该项目尚在开发建设中。根据《不动产权证书》[苏（2020）扬州市不动产权第0117874号]，估价对象（分摊）出让国有建设用地使用权面积为202.06平方米，规划建筑面积为519.96平方米。</v>
      </c>
    </row>
    <row r="11" spans="1:1" ht="76.5">
      <c r="A11" s="1668" t="s">
        <v>1580</v>
      </c>
    </row>
    <row r="12" spans="1:1" ht="18.75">
      <c r="A12" s="1666" t="s">
        <v>1581</v>
      </c>
    </row>
    <row r="13" spans="1:1" ht="38.25" customHeight="1">
      <c r="A13" s="1669" t="str">
        <f>IF(项目基本情况!B8="抵押",IF(项目基本情况!B5=项目基本情况!B6,定义!C51,定义!B51),定义!D51)</f>
        <v>扬州正龙置业有限公司拟使用江苏省扬州市广陵区沙湾南路东侧、许庄路西侧（不动产单元号：321002006003GB00058W00000000）5套住宅用房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row>
    <row r="14" spans="1:1" ht="18.75">
      <c r="A14" s="1670" t="s">
        <v>1582</v>
      </c>
    </row>
    <row r="15" spans="1:1" ht="18">
      <c r="A15" s="1671" t="str">
        <f>TEXT(项目基本情况!D3,"yyyy年m月d日;;")&amp;IF(项目基本情况!D3=项目基本情况!B3,"（评估专业人员实地查勘之日）","")</f>
        <v>2021年11月23日（评估专业人员实地查勘之日）</v>
      </c>
    </row>
    <row r="16" spans="1:1" ht="18.75">
      <c r="A16" s="1670" t="s">
        <v>1583</v>
      </c>
    </row>
    <row r="17" spans="1:1" ht="75">
      <c r="A17" s="1665" t="s">
        <v>1584</v>
      </c>
    </row>
    <row r="18" spans="1:1" ht="72">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23日，估价对象规划用途为住宅，土地取得方式为出让，出让国有建设用地使用权剩余土地使用年限为住宅68.85年，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红线内场地平整条件下，剩余土地使用年限为住宅68.85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1573</v>
      </c>
    </row>
    <row r="24" spans="1:1" ht="18">
      <c r="A24" s="1672" t="str">
        <f>"本次评估采用的主估价方法为"&amp;结果表!K4&amp;"和"&amp;结果表!L4&amp;"。"</f>
        <v>本次评估采用的主估价方法为比较法和成本法。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2522</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519.96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302" t="s">
        <v>2466</v>
      </c>
      <c r="D4" s="3303"/>
      <c r="E4" s="3304" t="s">
        <v>2467</v>
      </c>
      <c r="F4" s="3305"/>
      <c r="G4" s="3302" t="s">
        <v>2468</v>
      </c>
      <c r="H4" s="3303"/>
      <c r="I4" s="3302" t="s">
        <v>2469</v>
      </c>
      <c r="J4" s="3303"/>
      <c r="K4" s="567" t="s">
        <v>2470</v>
      </c>
      <c r="L4" s="1044"/>
      <c r="M4" s="1045"/>
      <c r="N4" s="1045"/>
      <c r="O4" s="1045"/>
      <c r="P4" s="3306" t="s">
        <v>2471</v>
      </c>
      <c r="Q4" s="3307"/>
      <c r="R4" s="3312" t="s">
        <v>2467</v>
      </c>
      <c r="S4" s="3313"/>
      <c r="T4" s="3312" t="s">
        <v>2468</v>
      </c>
      <c r="U4" s="3313"/>
      <c r="V4" s="3318" t="s">
        <v>2469</v>
      </c>
      <c r="W4" s="3318"/>
      <c r="X4" s="1539"/>
      <c r="Y4" s="3312" t="s">
        <v>2471</v>
      </c>
      <c r="Z4" s="3313"/>
      <c r="AA4" s="3299" t="s">
        <v>2467</v>
      </c>
      <c r="AB4" s="3300" t="s">
        <v>2468</v>
      </c>
      <c r="AC4" s="3299" t="s">
        <v>2469</v>
      </c>
    </row>
    <row r="5" spans="1:29" ht="15">
      <c r="A5" s="364"/>
      <c r="B5" s="365"/>
      <c r="C5" s="3362" t="s">
        <v>2362</v>
      </c>
      <c r="D5" s="3327"/>
      <c r="E5" s="3365" t="s">
        <v>2363</v>
      </c>
      <c r="F5" s="3366"/>
      <c r="G5" s="3362" t="s">
        <v>2364</v>
      </c>
      <c r="H5" s="3327"/>
      <c r="I5" s="3362" t="s">
        <v>2365</v>
      </c>
      <c r="J5" s="3327"/>
      <c r="K5" s="567"/>
      <c r="L5" s="1044"/>
      <c r="M5" s="1045"/>
      <c r="N5" s="1045"/>
      <c r="O5" s="1045"/>
      <c r="P5" s="3308"/>
      <c r="Q5" s="3309"/>
      <c r="R5" s="3314"/>
      <c r="S5" s="3315"/>
      <c r="T5" s="3314"/>
      <c r="U5" s="3315"/>
      <c r="V5" s="3318"/>
      <c r="W5" s="3318"/>
      <c r="X5" s="1539"/>
      <c r="Y5" s="3314"/>
      <c r="Z5" s="3315"/>
      <c r="AA5" s="3300"/>
      <c r="AB5" s="3300"/>
      <c r="AC5" s="3300"/>
    </row>
    <row r="6" spans="1:29" ht="15.75" thickBot="1">
      <c r="A6" s="366"/>
      <c r="B6" s="367"/>
      <c r="C6" s="3328" t="s">
        <v>2366</v>
      </c>
      <c r="D6" s="3329"/>
      <c r="E6" s="3363" t="s">
        <v>2366</v>
      </c>
      <c r="F6" s="3364"/>
      <c r="G6" s="3328" t="s">
        <v>2366</v>
      </c>
      <c r="H6" s="3329"/>
      <c r="I6" s="3328" t="s">
        <v>2366</v>
      </c>
      <c r="J6" s="3329"/>
      <c r="K6" s="567" t="s">
        <v>2367</v>
      </c>
      <c r="L6" s="1044"/>
      <c r="M6" s="1045"/>
      <c r="N6" s="1045"/>
      <c r="O6" s="1045"/>
      <c r="P6" s="3310"/>
      <c r="Q6" s="3311"/>
      <c r="R6" s="3314"/>
      <c r="S6" s="3315"/>
      <c r="T6" s="3316"/>
      <c r="U6" s="3317"/>
      <c r="V6" s="3318"/>
      <c r="W6" s="3318"/>
      <c r="X6" s="1539"/>
      <c r="Y6" s="3316"/>
      <c r="Z6" s="3317"/>
      <c r="AA6" s="3301"/>
      <c r="AB6" s="3301"/>
      <c r="AC6" s="3301"/>
    </row>
    <row r="7" spans="1:29" s="113" customFormat="1" ht="15.75" thickBot="1">
      <c r="A7" s="368" t="s">
        <v>2368</v>
      </c>
      <c r="B7" s="369"/>
      <c r="C7" s="370">
        <f>'数据-取费表'!B2</f>
        <v>44523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3" t="s">
        <v>2369</v>
      </c>
      <c r="Q7" s="3325"/>
      <c r="R7" s="710" t="s">
        <v>17</v>
      </c>
      <c r="S7" s="711">
        <f t="shared" ref="S7:S15" si="0">F7</f>
        <v>0</v>
      </c>
      <c r="T7" s="710" t="s">
        <v>17</v>
      </c>
      <c r="U7" s="711">
        <f t="shared" ref="U7:U15" si="1">H7</f>
        <v>0</v>
      </c>
      <c r="V7" s="710" t="s">
        <v>17</v>
      </c>
      <c r="W7" s="711">
        <f t="shared" ref="W7:W15" si="2">J7</f>
        <v>0</v>
      </c>
      <c r="X7" s="712"/>
      <c r="Y7" s="3323" t="s">
        <v>2369</v>
      </c>
      <c r="Z7" s="3324"/>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3" t="s">
        <v>2372</v>
      </c>
      <c r="Q8" s="3324"/>
      <c r="R8" s="710" t="s">
        <v>17</v>
      </c>
      <c r="S8" s="711">
        <f t="shared" si="0"/>
        <v>0</v>
      </c>
      <c r="T8" s="710" t="s">
        <v>17</v>
      </c>
      <c r="U8" s="711">
        <f t="shared" si="1"/>
        <v>0</v>
      </c>
      <c r="V8" s="710" t="s">
        <v>17</v>
      </c>
      <c r="W8" s="711">
        <f t="shared" si="2"/>
        <v>0</v>
      </c>
      <c r="X8" s="712"/>
      <c r="Y8" s="3323" t="s">
        <v>2372</v>
      </c>
      <c r="Z8" s="3324"/>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7" t="s">
        <v>2375</v>
      </c>
      <c r="Q9" s="1527" t="str">
        <f t="shared" ref="Q9:Q15" si="6">B9</f>
        <v>用途</v>
      </c>
      <c r="R9" s="710" t="s">
        <v>17</v>
      </c>
      <c r="S9" s="711">
        <f t="shared" si="0"/>
        <v>100</v>
      </c>
      <c r="T9" s="710" t="s">
        <v>17</v>
      </c>
      <c r="U9" s="711">
        <f t="shared" si="1"/>
        <v>100</v>
      </c>
      <c r="V9" s="710" t="s">
        <v>17</v>
      </c>
      <c r="W9" s="711">
        <f t="shared" si="2"/>
        <v>100</v>
      </c>
      <c r="X9" s="712"/>
      <c r="Y9" s="318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7"/>
      <c r="Q10" s="1527"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7"/>
      <c r="Q11" s="1527" t="str">
        <f t="shared" si="6"/>
        <v>容积率</v>
      </c>
      <c r="R11" s="710" t="s">
        <v>17</v>
      </c>
      <c r="S11" s="711" t="e">
        <f t="shared" si="0"/>
        <v>#N/A</v>
      </c>
      <c r="T11" s="710" t="s">
        <v>17</v>
      </c>
      <c r="U11" s="711" t="e">
        <f t="shared" si="1"/>
        <v>#N/A</v>
      </c>
      <c r="V11" s="710" t="s">
        <v>17</v>
      </c>
      <c r="W11" s="711" t="e">
        <f t="shared" si="2"/>
        <v>#N/A</v>
      </c>
      <c r="X11" s="712"/>
      <c r="Y11" s="3185"/>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287"/>
      <c r="Q12" s="1527">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287"/>
      <c r="Q13" s="1527">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287"/>
      <c r="Q14" s="1527">
        <f t="shared" si="6"/>
        <v>111</v>
      </c>
      <c r="R14" s="710" t="s">
        <v>17</v>
      </c>
      <c r="S14" s="711">
        <f t="shared" si="0"/>
        <v>100</v>
      </c>
      <c r="T14" s="710" t="s">
        <v>17</v>
      </c>
      <c r="U14" s="711">
        <f t="shared" si="1"/>
        <v>100</v>
      </c>
      <c r="V14" s="710" t="s">
        <v>17</v>
      </c>
      <c r="W14" s="711">
        <f t="shared" si="2"/>
        <v>100</v>
      </c>
      <c r="X14" s="712"/>
      <c r="Y14" s="3185"/>
      <c r="Z14" s="55">
        <f t="shared" si="7"/>
        <v>111</v>
      </c>
      <c r="AA14" s="713">
        <f t="shared" si="3"/>
        <v>1</v>
      </c>
      <c r="AB14" s="713">
        <f t="shared" si="4"/>
        <v>1</v>
      </c>
      <c r="AC14" s="713">
        <f t="shared" si="5"/>
        <v>1</v>
      </c>
    </row>
    <row r="15" spans="1:29" ht="57">
      <c r="A15" s="399" t="s">
        <v>2379</v>
      </c>
      <c r="B15" s="65" t="s">
        <v>2523</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9" t="s">
        <v>2380</v>
      </c>
      <c r="Q15" s="1536" t="str">
        <f t="shared" si="6"/>
        <v>产业集聚程度</v>
      </c>
      <c r="R15" s="714" t="s">
        <v>17</v>
      </c>
      <c r="S15" s="715">
        <f t="shared" si="0"/>
        <v>100</v>
      </c>
      <c r="T15" s="714" t="s">
        <v>17</v>
      </c>
      <c r="U15" s="715">
        <f t="shared" si="1"/>
        <v>100</v>
      </c>
      <c r="V15" s="714" t="s">
        <v>17</v>
      </c>
      <c r="W15" s="715">
        <f t="shared" si="2"/>
        <v>100</v>
      </c>
      <c r="X15" s="1539"/>
      <c r="Y15" s="3289"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90"/>
      <c r="Q16" s="1536"/>
      <c r="R16" s="714"/>
      <c r="S16" s="715"/>
      <c r="T16" s="714"/>
      <c r="U16" s="715"/>
      <c r="V16" s="714"/>
      <c r="W16" s="715"/>
      <c r="X16" s="1539"/>
      <c r="Y16" s="3290"/>
      <c r="Z16" s="1540"/>
      <c r="AA16" s="1537">
        <v>1</v>
      </c>
      <c r="AB16" s="1537">
        <v>1</v>
      </c>
      <c r="AC16" s="1537">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0"/>
      <c r="Q17" s="1536" t="str">
        <f>B17</f>
        <v>交通便捷度</v>
      </c>
      <c r="R17" s="714" t="s">
        <v>17</v>
      </c>
      <c r="S17" s="715">
        <f>F17</f>
        <v>100</v>
      </c>
      <c r="T17" s="714" t="s">
        <v>17</v>
      </c>
      <c r="U17" s="715">
        <f>H17</f>
        <v>100</v>
      </c>
      <c r="V17" s="714" t="s">
        <v>17</v>
      </c>
      <c r="W17" s="715">
        <f>J17</f>
        <v>100</v>
      </c>
      <c r="X17" s="1539"/>
      <c r="Y17" s="3290"/>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4"/>
      <c r="M18" s="1045"/>
      <c r="N18" s="1045"/>
      <c r="O18" s="1053"/>
      <c r="P18" s="3290"/>
      <c r="Q18" s="1536"/>
      <c r="R18" s="714"/>
      <c r="S18" s="715"/>
      <c r="T18" s="714"/>
      <c r="U18" s="715"/>
      <c r="V18" s="714"/>
      <c r="W18" s="715"/>
      <c r="X18" s="1539"/>
      <c r="Y18" s="3290"/>
      <c r="Z18" s="1540"/>
      <c r="AA18" s="1537">
        <v>1</v>
      </c>
      <c r="AB18" s="1537">
        <v>1</v>
      </c>
      <c r="AC18" s="1537">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0"/>
      <c r="Q19" s="1536" t="str">
        <f>B19</f>
        <v>公共配套设施</v>
      </c>
      <c r="R19" s="714" t="s">
        <v>17</v>
      </c>
      <c r="S19" s="715">
        <f>F19</f>
        <v>100</v>
      </c>
      <c r="T19" s="714" t="s">
        <v>17</v>
      </c>
      <c r="U19" s="715">
        <f>H19</f>
        <v>100</v>
      </c>
      <c r="V19" s="714" t="s">
        <v>17</v>
      </c>
      <c r="W19" s="715">
        <f>J19</f>
        <v>100</v>
      </c>
      <c r="X19" s="1539"/>
      <c r="Y19" s="3290"/>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4"/>
      <c r="M20" s="1045"/>
      <c r="N20" s="1045"/>
      <c r="O20" s="1053"/>
      <c r="P20" s="3290"/>
      <c r="Q20" s="1536"/>
      <c r="R20" s="714"/>
      <c r="S20" s="715"/>
      <c r="T20" s="714"/>
      <c r="U20" s="715"/>
      <c r="V20" s="714"/>
      <c r="W20" s="715"/>
      <c r="X20" s="1539"/>
      <c r="Y20" s="3290"/>
      <c r="Z20" s="1540"/>
      <c r="AA20" s="1537">
        <v>1</v>
      </c>
      <c r="AB20" s="1537">
        <v>1</v>
      </c>
      <c r="AC20" s="1537">
        <v>1</v>
      </c>
    </row>
    <row r="21" spans="1:29" ht="28.5">
      <c r="A21" s="387"/>
      <c r="B21" s="1293"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0"/>
      <c r="Q21" s="1536" t="str">
        <f>B21</f>
        <v>基础设施水平</v>
      </c>
      <c r="R21" s="714" t="s">
        <v>17</v>
      </c>
      <c r="S21" s="715">
        <f>F21</f>
        <v>100</v>
      </c>
      <c r="T21" s="714" t="s">
        <v>17</v>
      </c>
      <c r="U21" s="715">
        <f>H21</f>
        <v>100</v>
      </c>
      <c r="V21" s="714" t="s">
        <v>17</v>
      </c>
      <c r="W21" s="715">
        <f>J21</f>
        <v>100</v>
      </c>
      <c r="X21" s="1539"/>
      <c r="Y21" s="3290"/>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1054"/>
      <c r="M22" s="1045"/>
      <c r="N22" s="1045"/>
      <c r="O22" s="1053"/>
      <c r="P22" s="3290"/>
      <c r="Q22" s="1536"/>
      <c r="R22" s="714"/>
      <c r="S22" s="715"/>
      <c r="T22" s="714"/>
      <c r="U22" s="715"/>
      <c r="V22" s="714"/>
      <c r="W22" s="715"/>
      <c r="X22" s="1539"/>
      <c r="Y22" s="3290"/>
      <c r="Z22" s="1540"/>
      <c r="AA22" s="1537">
        <v>1</v>
      </c>
      <c r="AB22" s="1537">
        <v>1</v>
      </c>
      <c r="AC22" s="1537">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0"/>
      <c r="Q23" s="1536" t="str">
        <f>B23</f>
        <v>环境质量</v>
      </c>
      <c r="R23" s="714" t="s">
        <v>17</v>
      </c>
      <c r="S23" s="715">
        <f>F23</f>
        <v>100</v>
      </c>
      <c r="T23" s="714" t="s">
        <v>17</v>
      </c>
      <c r="U23" s="715">
        <f>H23</f>
        <v>100</v>
      </c>
      <c r="V23" s="714" t="s">
        <v>17</v>
      </c>
      <c r="W23" s="715">
        <f>J23</f>
        <v>100</v>
      </c>
      <c r="X23" s="1539"/>
      <c r="Y23" s="3290"/>
      <c r="Z23" s="1540" t="str">
        <f>Q23</f>
        <v>环境质量</v>
      </c>
      <c r="AA23" s="1537">
        <f t="shared" si="3"/>
        <v>1</v>
      </c>
      <c r="AB23" s="1537">
        <f t="shared" si="4"/>
        <v>1</v>
      </c>
      <c r="AC23" s="1537">
        <f t="shared" si="5"/>
        <v>1</v>
      </c>
    </row>
    <row r="24" spans="1:29" ht="15">
      <c r="A24" s="387"/>
      <c r="B24" s="1293"/>
      <c r="C24" s="406"/>
      <c r="D24" s="407"/>
      <c r="E24" s="2083"/>
      <c r="F24" s="408"/>
      <c r="G24" s="2082"/>
      <c r="H24" s="407"/>
      <c r="I24" s="2083"/>
      <c r="J24" s="407"/>
      <c r="K24" s="572"/>
      <c r="L24" s="1054"/>
      <c r="M24" s="1045"/>
      <c r="N24" s="1045"/>
      <c r="O24" s="1053"/>
      <c r="P24" s="3290"/>
      <c r="Q24" s="1536"/>
      <c r="R24" s="714"/>
      <c r="S24" s="715"/>
      <c r="T24" s="714"/>
      <c r="U24" s="715"/>
      <c r="V24" s="714"/>
      <c r="W24" s="715"/>
      <c r="X24" s="1539"/>
      <c r="Y24" s="3290"/>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0"/>
      <c r="Q25" s="1536">
        <f>B25</f>
        <v>111</v>
      </c>
      <c r="R25" s="714" t="s">
        <v>17</v>
      </c>
      <c r="S25" s="715">
        <f>F25</f>
        <v>100</v>
      </c>
      <c r="T25" s="714" t="s">
        <v>17</v>
      </c>
      <c r="U25" s="715">
        <f>H25</f>
        <v>100</v>
      </c>
      <c r="V25" s="714" t="s">
        <v>17</v>
      </c>
      <c r="W25" s="715">
        <f>J25</f>
        <v>100</v>
      </c>
      <c r="X25" s="1539"/>
      <c r="Y25" s="3290"/>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0"/>
      <c r="Q26" s="1536">
        <f t="shared" ref="Q26:Q40" si="11">B26</f>
        <v>111</v>
      </c>
      <c r="R26" s="714" t="s">
        <v>17</v>
      </c>
      <c r="S26" s="715">
        <f>F26</f>
        <v>100</v>
      </c>
      <c r="T26" s="714" t="s">
        <v>17</v>
      </c>
      <c r="U26" s="715">
        <f>H26</f>
        <v>100</v>
      </c>
      <c r="V26" s="714" t="s">
        <v>17</v>
      </c>
      <c r="W26" s="715">
        <f>J26</f>
        <v>100</v>
      </c>
      <c r="X26" s="1539"/>
      <c r="Y26" s="3290"/>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0"/>
      <c r="Q27" s="1527">
        <f t="shared" si="11"/>
        <v>111</v>
      </c>
      <c r="R27" s="710" t="s">
        <v>17</v>
      </c>
      <c r="S27" s="711">
        <f>F27</f>
        <v>100</v>
      </c>
      <c r="T27" s="710" t="s">
        <v>17</v>
      </c>
      <c r="U27" s="711">
        <f>H27</f>
        <v>100</v>
      </c>
      <c r="V27" s="710" t="s">
        <v>17</v>
      </c>
      <c r="W27" s="711">
        <f>J27</f>
        <v>100</v>
      </c>
      <c r="X27" s="712"/>
      <c r="Y27" s="3290"/>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0"/>
      <c r="Q28" s="1536">
        <f t="shared" si="11"/>
        <v>111</v>
      </c>
      <c r="R28" s="714" t="s">
        <v>17</v>
      </c>
      <c r="S28" s="715">
        <f t="shared" ref="S28:S40" si="12">F28</f>
        <v>100</v>
      </c>
      <c r="T28" s="714" t="s">
        <v>17</v>
      </c>
      <c r="U28" s="715">
        <f t="shared" ref="U28:U40" si="13">H28</f>
        <v>100</v>
      </c>
      <c r="V28" s="714" t="s">
        <v>17</v>
      </c>
      <c r="W28" s="715">
        <f t="shared" ref="W28:W40" si="14">J28</f>
        <v>100</v>
      </c>
      <c r="X28" s="1539"/>
      <c r="Y28" s="3290"/>
      <c r="Z28" s="1540">
        <f t="shared" ref="Z28:Z40" si="15">Q28</f>
        <v>111</v>
      </c>
      <c r="AA28" s="1537">
        <f t="shared" si="3"/>
        <v>1</v>
      </c>
      <c r="AB28" s="1537">
        <f t="shared" si="4"/>
        <v>1</v>
      </c>
      <c r="AC28" s="1537">
        <f t="shared" si="5"/>
        <v>1</v>
      </c>
    </row>
    <row r="29" spans="1:29" ht="28.5">
      <c r="A29" s="425" t="s">
        <v>2383</v>
      </c>
      <c r="B29" s="67" t="s">
        <v>2513</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382" t="s">
        <v>2385</v>
      </c>
      <c r="Q29" s="1536" t="str">
        <f t="shared" si="11"/>
        <v>建筑类型</v>
      </c>
      <c r="R29" s="714" t="s">
        <v>17</v>
      </c>
      <c r="S29" s="715">
        <f t="shared" si="12"/>
        <v>100</v>
      </c>
      <c r="T29" s="714" t="s">
        <v>17</v>
      </c>
      <c r="U29" s="715">
        <f t="shared" si="13"/>
        <v>100</v>
      </c>
      <c r="V29" s="714" t="s">
        <v>17</v>
      </c>
      <c r="W29" s="715">
        <f t="shared" si="14"/>
        <v>100</v>
      </c>
      <c r="X29" s="1539"/>
      <c r="Y29" s="3294"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4"/>
      <c r="Q30" s="716" t="str">
        <f t="shared" si="11"/>
        <v>项目建筑规模</v>
      </c>
      <c r="R30" s="717" t="s">
        <v>17</v>
      </c>
      <c r="S30" s="718" t="e">
        <f t="shared" si="12"/>
        <v>#N/A</v>
      </c>
      <c r="T30" s="717" t="s">
        <v>17</v>
      </c>
      <c r="U30" s="718" t="e">
        <f t="shared" si="13"/>
        <v>#N/A</v>
      </c>
      <c r="V30" s="717" t="s">
        <v>17</v>
      </c>
      <c r="W30" s="718" t="e">
        <f t="shared" si="14"/>
        <v>#N/A</v>
      </c>
      <c r="X30" s="719"/>
      <c r="Y30" s="3294"/>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4"/>
      <c r="Q31" s="1536" t="str">
        <f t="shared" si="11"/>
        <v>建筑结构</v>
      </c>
      <c r="R31" s="714" t="s">
        <v>17</v>
      </c>
      <c r="S31" s="715">
        <f t="shared" si="12"/>
        <v>100</v>
      </c>
      <c r="T31" s="714" t="s">
        <v>17</v>
      </c>
      <c r="U31" s="715">
        <f t="shared" si="13"/>
        <v>100</v>
      </c>
      <c r="V31" s="714" t="s">
        <v>17</v>
      </c>
      <c r="W31" s="715">
        <f t="shared" si="14"/>
        <v>100</v>
      </c>
      <c r="X31" s="1539"/>
      <c r="Y31" s="3294"/>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4"/>
      <c r="Q32" s="1536" t="str">
        <f t="shared" si="11"/>
        <v>公共部分装修</v>
      </c>
      <c r="R32" s="714" t="s">
        <v>17</v>
      </c>
      <c r="S32" s="715">
        <f t="shared" si="12"/>
        <v>100</v>
      </c>
      <c r="T32" s="714" t="s">
        <v>17</v>
      </c>
      <c r="U32" s="715">
        <f t="shared" si="13"/>
        <v>100</v>
      </c>
      <c r="V32" s="714" t="s">
        <v>17</v>
      </c>
      <c r="W32" s="715">
        <f t="shared" si="14"/>
        <v>100</v>
      </c>
      <c r="X32" s="1539"/>
      <c r="Y32" s="3294"/>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4"/>
      <c r="Q33" s="1536" t="str">
        <f t="shared" si="11"/>
        <v>成新度</v>
      </c>
      <c r="R33" s="714" t="s">
        <v>17</v>
      </c>
      <c r="S33" s="715" t="e">
        <f t="shared" si="12"/>
        <v>#N/A</v>
      </c>
      <c r="T33" s="714" t="s">
        <v>17</v>
      </c>
      <c r="U33" s="715" t="e">
        <f t="shared" si="13"/>
        <v>#N/A</v>
      </c>
      <c r="V33" s="714" t="s">
        <v>17</v>
      </c>
      <c r="W33" s="715" t="e">
        <f t="shared" si="14"/>
        <v>#N/A</v>
      </c>
      <c r="X33" s="1539"/>
      <c r="Y33" s="3294"/>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4"/>
      <c r="Q34" s="1527" t="str">
        <f t="shared" si="11"/>
        <v>物业管理</v>
      </c>
      <c r="R34" s="710" t="s">
        <v>17</v>
      </c>
      <c r="S34" s="711">
        <f t="shared" si="12"/>
        <v>100</v>
      </c>
      <c r="T34" s="710" t="s">
        <v>17</v>
      </c>
      <c r="U34" s="711">
        <f t="shared" si="13"/>
        <v>100</v>
      </c>
      <c r="V34" s="710" t="s">
        <v>17</v>
      </c>
      <c r="W34" s="711">
        <f t="shared" si="14"/>
        <v>100</v>
      </c>
      <c r="X34" s="712"/>
      <c r="Y34" s="3294"/>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4" t="s">
        <v>2385</v>
      </c>
      <c r="Q35" s="1536" t="str">
        <f t="shared" si="11"/>
        <v>市政基础设施</v>
      </c>
      <c r="R35" s="714" t="s">
        <v>17</v>
      </c>
      <c r="S35" s="715">
        <f t="shared" si="12"/>
        <v>100</v>
      </c>
      <c r="T35" s="714" t="s">
        <v>17</v>
      </c>
      <c r="U35" s="715">
        <f t="shared" si="13"/>
        <v>100</v>
      </c>
      <c r="V35" s="714" t="s">
        <v>17</v>
      </c>
      <c r="W35" s="715">
        <f t="shared" si="14"/>
        <v>100</v>
      </c>
      <c r="X35" s="1539"/>
      <c r="Y35" s="3294"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4"/>
      <c r="Q36" s="1536" t="str">
        <f t="shared" si="11"/>
        <v>内部装修</v>
      </c>
      <c r="R36" s="714" t="s">
        <v>17</v>
      </c>
      <c r="S36" s="715">
        <f t="shared" si="12"/>
        <v>100</v>
      </c>
      <c r="T36" s="714" t="s">
        <v>17</v>
      </c>
      <c r="U36" s="715">
        <f t="shared" si="13"/>
        <v>100</v>
      </c>
      <c r="V36" s="714" t="s">
        <v>17</v>
      </c>
      <c r="W36" s="715">
        <f t="shared" si="14"/>
        <v>100</v>
      </c>
      <c r="X36" s="1539"/>
      <c r="Y36" s="3294"/>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4"/>
      <c r="Q37" s="1536" t="str">
        <f t="shared" si="11"/>
        <v>内部装修状况</v>
      </c>
      <c r="R37" s="714" t="s">
        <v>17</v>
      </c>
      <c r="S37" s="715">
        <f t="shared" si="12"/>
        <v>100</v>
      </c>
      <c r="T37" s="714" t="s">
        <v>17</v>
      </c>
      <c r="U37" s="715">
        <f t="shared" si="13"/>
        <v>100</v>
      </c>
      <c r="V37" s="714" t="s">
        <v>17</v>
      </c>
      <c r="W37" s="715">
        <f t="shared" si="14"/>
        <v>100</v>
      </c>
      <c r="X37" s="1539"/>
      <c r="Y37" s="3294"/>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4"/>
      <c r="Q38" s="716">
        <f t="shared" si="11"/>
        <v>111</v>
      </c>
      <c r="R38" s="717" t="s">
        <v>17</v>
      </c>
      <c r="S38" s="718">
        <f t="shared" si="12"/>
        <v>100</v>
      </c>
      <c r="T38" s="717" t="s">
        <v>17</v>
      </c>
      <c r="U38" s="718">
        <f t="shared" si="13"/>
        <v>100</v>
      </c>
      <c r="V38" s="717" t="s">
        <v>17</v>
      </c>
      <c r="W38" s="718">
        <f t="shared" si="14"/>
        <v>100</v>
      </c>
      <c r="X38" s="719"/>
      <c r="Y38" s="3294"/>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4"/>
      <c r="Q39" s="1536">
        <f t="shared" si="11"/>
        <v>111</v>
      </c>
      <c r="R39" s="714" t="s">
        <v>17</v>
      </c>
      <c r="S39" s="715">
        <f t="shared" si="12"/>
        <v>100</v>
      </c>
      <c r="T39" s="714" t="s">
        <v>17</v>
      </c>
      <c r="U39" s="715">
        <f t="shared" si="13"/>
        <v>100</v>
      </c>
      <c r="V39" s="714" t="s">
        <v>17</v>
      </c>
      <c r="W39" s="715">
        <f t="shared" si="14"/>
        <v>100</v>
      </c>
      <c r="X39" s="1539"/>
      <c r="Y39" s="3294"/>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95"/>
      <c r="Q40" s="1536">
        <f t="shared" si="11"/>
        <v>111</v>
      </c>
      <c r="R40" s="714" t="s">
        <v>17</v>
      </c>
      <c r="S40" s="715">
        <f t="shared" si="12"/>
        <v>100</v>
      </c>
      <c r="T40" s="714" t="s">
        <v>17</v>
      </c>
      <c r="U40" s="715">
        <f t="shared" si="13"/>
        <v>100</v>
      </c>
      <c r="V40" s="714" t="s">
        <v>17</v>
      </c>
      <c r="W40" s="715">
        <f t="shared" si="14"/>
        <v>100</v>
      </c>
      <c r="X40" s="1539"/>
      <c r="Y40" s="3295"/>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287" t="str">
        <f>A41</f>
        <v>成交单价（元/平方米）</v>
      </c>
      <c r="Q41" s="3287"/>
      <c r="R41" s="3288">
        <f>E41</f>
        <v>0</v>
      </c>
      <c r="S41" s="3288"/>
      <c r="T41" s="3288">
        <f>G41</f>
        <v>0</v>
      </c>
      <c r="U41" s="3288"/>
      <c r="V41" s="3288">
        <f>I41</f>
        <v>0</v>
      </c>
      <c r="W41" s="3288"/>
      <c r="X41" s="699"/>
      <c r="Y41" s="721"/>
      <c r="Z41" s="699"/>
      <c r="AA41" s="699"/>
      <c r="AB41" s="699"/>
      <c r="AC41" s="699"/>
    </row>
    <row r="42" spans="1:29" ht="15.75" thickBot="1">
      <c r="A42" s="445" t="s">
        <v>2489</v>
      </c>
      <c r="B42" s="446"/>
      <c r="C42" s="1322" t="e">
        <f>R43</f>
        <v>#DIV/0!</v>
      </c>
      <c r="D42" s="2537" t="s">
        <v>2880</v>
      </c>
      <c r="E42" s="1323" t="e">
        <f>R42</f>
        <v>#DIV/0!</v>
      </c>
      <c r="F42" s="2538"/>
      <c r="G42" s="1322" t="e">
        <f>T42</f>
        <v>#DIV/0!</v>
      </c>
      <c r="H42" s="2538"/>
      <c r="I42" s="1323" t="e">
        <f>V42</f>
        <v>#DIV/0!</v>
      </c>
      <c r="J42" s="2538"/>
      <c r="K42" s="2540">
        <f>F42+H42+J42</f>
        <v>0</v>
      </c>
      <c r="L42" s="1057"/>
      <c r="M42" s="1058"/>
      <c r="N42" s="1045"/>
      <c r="O42" s="1058"/>
      <c r="P42" s="3287" t="str">
        <f>A42</f>
        <v>比较价值（元/平方米）</v>
      </c>
      <c r="Q42" s="3287"/>
      <c r="R42" s="3288" t="e">
        <f>IF(F1="售价",ROUND(PRODUCT(R41,AA7:AA40),0),ROUND(PRODUCT(R41,AA7:AA40),1))</f>
        <v>#DIV/0!</v>
      </c>
      <c r="S42" s="3288"/>
      <c r="T42" s="3288" t="e">
        <f>IF(F1="售价",ROUND(PRODUCT(T41,AB7:AB40),0),ROUND(PRODUCT(T41,AB7:AB40),1))</f>
        <v>#DIV/0!</v>
      </c>
      <c r="U42" s="3288"/>
      <c r="V42" s="3288" t="e">
        <f>IF(F1="售价",ROUND(PRODUCT(V41,AC7:AC40),0),ROUND(PRODUCT(V41,AC7:AC40),1))</f>
        <v>#DIV/0!</v>
      </c>
      <c r="W42" s="3288"/>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284" t="str">
        <f>A43</f>
        <v>估价对象XX用房的比较价值（楼面单价，元/平方米）</v>
      </c>
      <c r="Q43" s="3285"/>
      <c r="R43" s="3286" t="e">
        <f>IF(F1="售价",ROUND(IF(D42="简单平均",AVERAGE(R42:V42),R42*F42+T42*H42+V42*J42),0),ROUND(IF(D42="简单平均",AVERAGE(R42:V42),R42*F42+T42*H42+V42*J42),1))</f>
        <v>#DIV/0!</v>
      </c>
      <c r="S43" s="3286"/>
      <c r="T43" s="3286"/>
      <c r="U43" s="3286"/>
      <c r="V43" s="3286"/>
      <c r="W43" s="3286"/>
      <c r="X43" s="699"/>
      <c r="Y43" s="699"/>
      <c r="Z43" s="699"/>
      <c r="AA43" s="699"/>
      <c r="AB43" s="699"/>
      <c r="AC43" s="699"/>
    </row>
    <row r="44" spans="1:29">
      <c r="A44" s="2949"/>
      <c r="B44" s="2949"/>
      <c r="C44" s="2949"/>
      <c r="D44" s="2949"/>
      <c r="E44" s="2949"/>
      <c r="F44" s="2949"/>
      <c r="G44" s="2953"/>
      <c r="H44" s="2949"/>
      <c r="I44" s="2949"/>
      <c r="J44" s="2949"/>
      <c r="K44" s="2954"/>
      <c r="L44" s="1020"/>
      <c r="M44" s="1058"/>
      <c r="N44" s="1058"/>
      <c r="O44" s="1058"/>
    </row>
    <row r="45" spans="1:29">
      <c r="A45" s="2949"/>
      <c r="B45" s="2949"/>
      <c r="C45" s="2949"/>
      <c r="D45" s="2949"/>
      <c r="E45" s="2949"/>
      <c r="F45" s="2949"/>
      <c r="G45" s="2949"/>
      <c r="H45" s="2949"/>
      <c r="I45" s="2949"/>
      <c r="J45" s="2949"/>
      <c r="K45" s="2954"/>
      <c r="L45" s="1020"/>
      <c r="M45" s="1058"/>
      <c r="N45" s="1058"/>
      <c r="O45" s="1058"/>
    </row>
    <row r="46" spans="1:29" ht="13.5" customHeight="1">
      <c r="A46" s="2949"/>
      <c r="B46" s="2949"/>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4"/>
      <c r="L46" s="1020"/>
      <c r="M46" s="1058"/>
      <c r="N46" s="1058"/>
      <c r="O46" s="1058"/>
    </row>
    <row r="47" spans="1:29" ht="13.5" customHeight="1">
      <c r="A47" s="2949"/>
      <c r="B47" s="2949"/>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4"/>
      <c r="L47" s="1020"/>
      <c r="M47" s="1058"/>
      <c r="N47" s="1058"/>
      <c r="O47" s="1058"/>
    </row>
    <row r="48" spans="1:29" s="459" customFormat="1" ht="13.5" customHeight="1">
      <c r="A48" s="2952"/>
      <c r="B48" s="2952"/>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7"/>
      <c r="L48" s="1061"/>
      <c r="M48" s="1059"/>
      <c r="N48" s="1059"/>
      <c r="O48" s="1059"/>
    </row>
    <row r="49" spans="1:17" s="459" customFormat="1">
      <c r="A49" s="2952"/>
      <c r="B49" s="2955"/>
      <c r="C49" s="2956"/>
      <c r="D49" s="2952"/>
      <c r="E49" s="2952"/>
      <c r="F49" s="2952"/>
      <c r="G49" s="2952"/>
      <c r="H49" s="2952"/>
      <c r="I49" s="2952"/>
      <c r="J49" s="2952"/>
      <c r="K49" s="2957"/>
      <c r="L49" s="1061"/>
      <c r="M49" s="1059"/>
      <c r="N49" s="1059"/>
      <c r="O49" s="1059"/>
    </row>
    <row r="50" spans="1:17">
      <c r="A50" s="2949"/>
      <c r="B50" s="2955"/>
      <c r="C50" s="2956"/>
      <c r="D50" s="2949"/>
      <c r="E50" s="2949"/>
      <c r="F50" s="2949"/>
      <c r="G50" s="2949"/>
      <c r="H50" s="2949"/>
      <c r="I50" s="2949"/>
      <c r="J50" s="2949"/>
      <c r="K50" s="2954"/>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2021-11</v>
      </c>
      <c r="D52" s="1347">
        <f>EDATE(C52,-1)</f>
        <v>44470</v>
      </c>
      <c r="E52" s="1347">
        <f t="shared" ref="E52:O52" si="16">EDATE(D52,-1)</f>
        <v>44440</v>
      </c>
      <c r="F52" s="1347">
        <f t="shared" si="16"/>
        <v>44409</v>
      </c>
      <c r="G52" s="1347">
        <f t="shared" si="16"/>
        <v>44378</v>
      </c>
      <c r="H52" s="1347">
        <f t="shared" si="16"/>
        <v>44348</v>
      </c>
      <c r="I52" s="1347">
        <f t="shared" si="16"/>
        <v>44317</v>
      </c>
      <c r="J52" s="1347">
        <f t="shared" si="16"/>
        <v>44287</v>
      </c>
      <c r="K52" s="1347">
        <f t="shared" si="16"/>
        <v>44256</v>
      </c>
      <c r="L52" s="1347">
        <f t="shared" si="16"/>
        <v>44228</v>
      </c>
      <c r="M52" s="1347">
        <f t="shared" si="16"/>
        <v>44197</v>
      </c>
      <c r="N52" s="1347">
        <f t="shared" si="16"/>
        <v>44166</v>
      </c>
      <c r="O52" s="1347">
        <f t="shared" si="16"/>
        <v>44136</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4"/>
      <c r="O54" s="2995"/>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5"/>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58"/>
      <c r="M2" s="2959"/>
      <c r="N2" s="2959"/>
      <c r="O2" s="2959"/>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58"/>
      <c r="M3" s="2959"/>
      <c r="N3" s="2959"/>
      <c r="O3" s="2959"/>
      <c r="P3" s="1327"/>
      <c r="Q3" s="708"/>
      <c r="R3" s="708"/>
      <c r="S3" s="708"/>
      <c r="T3" s="708"/>
      <c r="U3" s="708"/>
      <c r="V3" s="708"/>
      <c r="W3" s="708"/>
      <c r="X3" s="708"/>
      <c r="Y3" s="708"/>
      <c r="Z3" s="708"/>
      <c r="AA3" s="708"/>
      <c r="AB3" s="725"/>
      <c r="AC3" s="722"/>
    </row>
    <row r="4" spans="1:29" ht="15">
      <c r="A4" s="361" t="s">
        <v>2465</v>
      </c>
      <c r="B4" s="362"/>
      <c r="C4" s="3302" t="s">
        <v>2466</v>
      </c>
      <c r="D4" s="3303"/>
      <c r="E4" s="3304" t="s">
        <v>2467</v>
      </c>
      <c r="F4" s="3305"/>
      <c r="G4" s="3302" t="s">
        <v>2468</v>
      </c>
      <c r="H4" s="3303"/>
      <c r="I4" s="3302" t="s">
        <v>2469</v>
      </c>
      <c r="J4" s="3303"/>
      <c r="K4" s="567" t="s">
        <v>2470</v>
      </c>
      <c r="L4" s="2939"/>
      <c r="M4" s="2940"/>
      <c r="N4" s="2940"/>
      <c r="O4" s="2940"/>
      <c r="P4" s="3306" t="s">
        <v>2471</v>
      </c>
      <c r="Q4" s="3307"/>
      <c r="R4" s="3312" t="s">
        <v>2467</v>
      </c>
      <c r="S4" s="3313"/>
      <c r="T4" s="3312" t="s">
        <v>2468</v>
      </c>
      <c r="U4" s="3313"/>
      <c r="V4" s="3318" t="s">
        <v>2469</v>
      </c>
      <c r="W4" s="3318"/>
      <c r="X4" s="1539"/>
      <c r="Y4" s="3312" t="s">
        <v>2471</v>
      </c>
      <c r="Z4" s="3313"/>
      <c r="AA4" s="3299" t="s">
        <v>2467</v>
      </c>
      <c r="AB4" s="3300" t="s">
        <v>2468</v>
      </c>
      <c r="AC4" s="3299" t="s">
        <v>2469</v>
      </c>
    </row>
    <row r="5" spans="1:29" ht="15">
      <c r="A5" s="364"/>
      <c r="B5" s="365"/>
      <c r="C5" s="3362" t="s">
        <v>2362</v>
      </c>
      <c r="D5" s="3327"/>
      <c r="E5" s="3365" t="s">
        <v>2363</v>
      </c>
      <c r="F5" s="3366"/>
      <c r="G5" s="3362" t="s">
        <v>2364</v>
      </c>
      <c r="H5" s="3327"/>
      <c r="I5" s="3362" t="s">
        <v>2365</v>
      </c>
      <c r="J5" s="3327"/>
      <c r="K5" s="567"/>
      <c r="L5" s="2939"/>
      <c r="M5" s="2940"/>
      <c r="N5" s="2940"/>
      <c r="O5" s="2940"/>
      <c r="P5" s="3308"/>
      <c r="Q5" s="3309"/>
      <c r="R5" s="3314"/>
      <c r="S5" s="3315"/>
      <c r="T5" s="3314"/>
      <c r="U5" s="3315"/>
      <c r="V5" s="3318"/>
      <c r="W5" s="3318"/>
      <c r="X5" s="1539"/>
      <c r="Y5" s="3314"/>
      <c r="Z5" s="3315"/>
      <c r="AA5" s="3300"/>
      <c r="AB5" s="3300"/>
      <c r="AC5" s="3300"/>
    </row>
    <row r="6" spans="1:29" ht="15.75" thickBot="1">
      <c r="A6" s="366"/>
      <c r="B6" s="367"/>
      <c r="C6" s="3328" t="s">
        <v>2366</v>
      </c>
      <c r="D6" s="3329"/>
      <c r="E6" s="3363" t="s">
        <v>2366</v>
      </c>
      <c r="F6" s="3364"/>
      <c r="G6" s="3328" t="s">
        <v>2366</v>
      </c>
      <c r="H6" s="3329"/>
      <c r="I6" s="3328" t="s">
        <v>2366</v>
      </c>
      <c r="J6" s="3329"/>
      <c r="K6" s="567" t="s">
        <v>2367</v>
      </c>
      <c r="L6" s="2939"/>
      <c r="M6" s="2940"/>
      <c r="N6" s="2940"/>
      <c r="O6" s="2940"/>
      <c r="P6" s="3310"/>
      <c r="Q6" s="3311"/>
      <c r="R6" s="3314"/>
      <c r="S6" s="3315"/>
      <c r="T6" s="3316"/>
      <c r="U6" s="3317"/>
      <c r="V6" s="3318"/>
      <c r="W6" s="3318"/>
      <c r="X6" s="1539"/>
      <c r="Y6" s="3316"/>
      <c r="Z6" s="3317"/>
      <c r="AA6" s="3301"/>
      <c r="AB6" s="3301"/>
      <c r="AC6" s="3301"/>
    </row>
    <row r="7" spans="1:29" s="113" customFormat="1" ht="15.75" thickBot="1">
      <c r="A7" s="368" t="s">
        <v>2368</v>
      </c>
      <c r="B7" s="369"/>
      <c r="C7" s="370">
        <f>'数据-取费表'!B2</f>
        <v>44523</v>
      </c>
      <c r="D7" s="371">
        <v>100</v>
      </c>
      <c r="E7" s="372"/>
      <c r="F7" s="373">
        <f>SUMIF(48:48,YEAR(E7)&amp;"-"&amp;MONTH(E7),49:49)</f>
        <v>0</v>
      </c>
      <c r="G7" s="372"/>
      <c r="H7" s="371">
        <f>SUMIF(48:48,YEAR(G7)&amp;"-"&amp;MONTH(G7),49:49)</f>
        <v>0</v>
      </c>
      <c r="I7" s="372"/>
      <c r="J7" s="371">
        <f>SUMIF(48:48,YEAR(I7)&amp;"-"&amp;MONTH(I7),49:49)</f>
        <v>0</v>
      </c>
      <c r="K7" s="568"/>
      <c r="L7" s="2941"/>
      <c r="M7" s="2942"/>
      <c r="N7" s="2942"/>
      <c r="O7" s="2942"/>
      <c r="P7" s="3323" t="s">
        <v>2369</v>
      </c>
      <c r="Q7" s="3325"/>
      <c r="R7" s="710" t="s">
        <v>17</v>
      </c>
      <c r="S7" s="711">
        <f t="shared" ref="S7:S14" si="0">F7</f>
        <v>0</v>
      </c>
      <c r="T7" s="710" t="s">
        <v>17</v>
      </c>
      <c r="U7" s="711">
        <f t="shared" ref="U7:U14" si="1">H7</f>
        <v>0</v>
      </c>
      <c r="V7" s="710" t="s">
        <v>17</v>
      </c>
      <c r="W7" s="711">
        <f t="shared" ref="W7:W14" si="2">J7</f>
        <v>0</v>
      </c>
      <c r="X7" s="712"/>
      <c r="Y7" s="3323" t="s">
        <v>2369</v>
      </c>
      <c r="Z7" s="3324"/>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1"/>
      <c r="M8" s="2942"/>
      <c r="N8" s="2942"/>
      <c r="O8" s="2942"/>
      <c r="P8" s="3323" t="s">
        <v>2372</v>
      </c>
      <c r="Q8" s="3324"/>
      <c r="R8" s="710" t="s">
        <v>17</v>
      </c>
      <c r="S8" s="711">
        <f t="shared" si="0"/>
        <v>0</v>
      </c>
      <c r="T8" s="710" t="s">
        <v>17</v>
      </c>
      <c r="U8" s="711">
        <f t="shared" si="1"/>
        <v>0</v>
      </c>
      <c r="V8" s="710" t="s">
        <v>17</v>
      </c>
      <c r="W8" s="711">
        <f t="shared" si="2"/>
        <v>0</v>
      </c>
      <c r="X8" s="712"/>
      <c r="Y8" s="3323" t="s">
        <v>2372</v>
      </c>
      <c r="Z8" s="3324"/>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1"/>
      <c r="M9" s="2942"/>
      <c r="N9" s="2942"/>
      <c r="O9" s="2942"/>
      <c r="P9" s="3287" t="s">
        <v>2375</v>
      </c>
      <c r="Q9" s="1527" t="str">
        <f t="shared" ref="Q9:Q14" si="6">B9</f>
        <v>用途</v>
      </c>
      <c r="R9" s="710" t="s">
        <v>17</v>
      </c>
      <c r="S9" s="711">
        <f t="shared" si="0"/>
        <v>100</v>
      </c>
      <c r="T9" s="710" t="s">
        <v>17</v>
      </c>
      <c r="U9" s="711">
        <f t="shared" si="1"/>
        <v>100</v>
      </c>
      <c r="V9" s="710" t="s">
        <v>17</v>
      </c>
      <c r="W9" s="711">
        <f t="shared" si="2"/>
        <v>100</v>
      </c>
      <c r="X9" s="712"/>
      <c r="Y9" s="3185"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3"/>
      <c r="M10" s="2944"/>
      <c r="N10" s="2944"/>
      <c r="O10" s="2944"/>
      <c r="P10" s="3287"/>
      <c r="Q10" s="1527"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5"/>
      <c r="M11" s="2940"/>
      <c r="N11" s="2940"/>
      <c r="O11" s="2940"/>
      <c r="P11" s="3287"/>
      <c r="Q11" s="1527">
        <f t="shared" si="6"/>
        <v>111</v>
      </c>
      <c r="R11" s="710" t="s">
        <v>17</v>
      </c>
      <c r="S11" s="711">
        <f t="shared" si="0"/>
        <v>100</v>
      </c>
      <c r="T11" s="710" t="s">
        <v>17</v>
      </c>
      <c r="U11" s="711">
        <f t="shared" si="1"/>
        <v>100</v>
      </c>
      <c r="V11" s="710" t="s">
        <v>17</v>
      </c>
      <c r="W11" s="711">
        <f t="shared" si="2"/>
        <v>100</v>
      </c>
      <c r="X11" s="712"/>
      <c r="Y11" s="318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1"/>
      <c r="M12" s="2942"/>
      <c r="N12" s="2942"/>
      <c r="O12" s="2942"/>
      <c r="P12" s="3287"/>
      <c r="Q12" s="1527">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6"/>
      <c r="M13" s="2940"/>
      <c r="N13" s="2940"/>
      <c r="O13" s="2940"/>
      <c r="P13" s="3287"/>
      <c r="Q13" s="1527">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713">
        <f t="shared" si="5"/>
        <v>1</v>
      </c>
    </row>
    <row r="14" spans="1:29" ht="85.5">
      <c r="A14" s="361" t="s">
        <v>2379</v>
      </c>
      <c r="B14" s="585" t="s">
        <v>2529</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6"/>
      <c r="M14" s="2940"/>
      <c r="N14" s="2940"/>
      <c r="O14" s="2940"/>
      <c r="P14" s="3289" t="s">
        <v>2380</v>
      </c>
      <c r="Q14" s="1536" t="str">
        <f t="shared" si="6"/>
        <v>交通便捷度</v>
      </c>
      <c r="R14" s="714" t="s">
        <v>17</v>
      </c>
      <c r="S14" s="715">
        <f t="shared" si="0"/>
        <v>100</v>
      </c>
      <c r="T14" s="714" t="s">
        <v>17</v>
      </c>
      <c r="U14" s="715">
        <f t="shared" si="1"/>
        <v>100</v>
      </c>
      <c r="V14" s="714" t="s">
        <v>17</v>
      </c>
      <c r="W14" s="715">
        <f t="shared" si="2"/>
        <v>100</v>
      </c>
      <c r="X14" s="1539"/>
      <c r="Y14" s="3289"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6"/>
      <c r="M15" s="2940"/>
      <c r="N15" s="2940"/>
      <c r="O15" s="2940"/>
      <c r="P15" s="3290"/>
      <c r="Q15" s="1536"/>
      <c r="R15" s="714"/>
      <c r="S15" s="715"/>
      <c r="T15" s="714"/>
      <c r="U15" s="715"/>
      <c r="V15" s="714"/>
      <c r="W15" s="715"/>
      <c r="X15" s="1539"/>
      <c r="Y15" s="3290"/>
      <c r="Z15" s="1540"/>
      <c r="AA15" s="1537">
        <v>1</v>
      </c>
      <c r="AB15" s="1537">
        <v>1</v>
      </c>
      <c r="AC15" s="1537">
        <v>1</v>
      </c>
    </row>
    <row r="16" spans="1:29" ht="42.75">
      <c r="A16" s="364"/>
      <c r="B16" s="587" t="s">
        <v>2508</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6"/>
      <c r="M16" s="2940"/>
      <c r="N16" s="2940"/>
      <c r="O16" s="2940"/>
      <c r="P16" s="3290"/>
      <c r="Q16" s="1536" t="str">
        <f>B16</f>
        <v>公共配套设施</v>
      </c>
      <c r="R16" s="714" t="s">
        <v>17</v>
      </c>
      <c r="S16" s="715">
        <f>F16</f>
        <v>100</v>
      </c>
      <c r="T16" s="714" t="s">
        <v>17</v>
      </c>
      <c r="U16" s="715">
        <f>H16</f>
        <v>100</v>
      </c>
      <c r="V16" s="714" t="s">
        <v>17</v>
      </c>
      <c r="W16" s="715">
        <f>J16</f>
        <v>100</v>
      </c>
      <c r="X16" s="1539"/>
      <c r="Y16" s="3290"/>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46"/>
      <c r="M17" s="2940"/>
      <c r="N17" s="2940"/>
      <c r="O17" s="2940"/>
      <c r="P17" s="3290"/>
      <c r="Q17" s="1536"/>
      <c r="R17" s="714"/>
      <c r="S17" s="715"/>
      <c r="T17" s="714"/>
      <c r="U17" s="715"/>
      <c r="V17" s="714"/>
      <c r="W17" s="715"/>
      <c r="X17" s="1539"/>
      <c r="Y17" s="3290"/>
      <c r="Z17" s="1540"/>
      <c r="AA17" s="1537">
        <v>1</v>
      </c>
      <c r="AB17" s="1537">
        <v>1</v>
      </c>
      <c r="AC17" s="1537">
        <v>1</v>
      </c>
    </row>
    <row r="18" spans="1:29" ht="28.5">
      <c r="A18" s="364"/>
      <c r="B18" s="589" t="s">
        <v>2509</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6"/>
      <c r="M18" s="2940"/>
      <c r="N18" s="2940"/>
      <c r="O18" s="2940"/>
      <c r="P18" s="3290"/>
      <c r="Q18" s="1536" t="str">
        <f>B18</f>
        <v>基础设施水平</v>
      </c>
      <c r="R18" s="714" t="s">
        <v>17</v>
      </c>
      <c r="S18" s="715">
        <f>F18</f>
        <v>100</v>
      </c>
      <c r="T18" s="714" t="s">
        <v>17</v>
      </c>
      <c r="U18" s="715">
        <f>H18</f>
        <v>100</v>
      </c>
      <c r="V18" s="714" t="s">
        <v>17</v>
      </c>
      <c r="W18" s="715">
        <f>J18</f>
        <v>100</v>
      </c>
      <c r="X18" s="1539"/>
      <c r="Y18" s="3290"/>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2"/>
      <c r="L19" s="2946"/>
      <c r="M19" s="2940"/>
      <c r="N19" s="2940"/>
      <c r="O19" s="2940"/>
      <c r="P19" s="3290"/>
      <c r="Q19" s="1536"/>
      <c r="R19" s="714"/>
      <c r="S19" s="715"/>
      <c r="T19" s="714"/>
      <c r="U19" s="715"/>
      <c r="V19" s="714"/>
      <c r="W19" s="715"/>
      <c r="X19" s="1539"/>
      <c r="Y19" s="3290"/>
      <c r="Z19" s="1540"/>
      <c r="AA19" s="1537">
        <v>1</v>
      </c>
      <c r="AB19" s="1537">
        <v>1</v>
      </c>
      <c r="AC19" s="1537">
        <v>1</v>
      </c>
    </row>
    <row r="20" spans="1:29" ht="57">
      <c r="A20" s="364"/>
      <c r="B20" s="587" t="s">
        <v>2530</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6"/>
      <c r="M20" s="2940"/>
      <c r="N20" s="2940"/>
      <c r="O20" s="2940"/>
      <c r="P20" s="3290"/>
      <c r="Q20" s="1536" t="str">
        <f>B20</f>
        <v>自然及人文环境</v>
      </c>
      <c r="R20" s="714" t="s">
        <v>17</v>
      </c>
      <c r="S20" s="715">
        <f>F20</f>
        <v>100</v>
      </c>
      <c r="T20" s="714" t="s">
        <v>17</v>
      </c>
      <c r="U20" s="715">
        <f>H20</f>
        <v>100</v>
      </c>
      <c r="V20" s="714" t="s">
        <v>17</v>
      </c>
      <c r="W20" s="715">
        <f>J20</f>
        <v>100</v>
      </c>
      <c r="X20" s="1539"/>
      <c r="Y20" s="3290"/>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6"/>
      <c r="M21" s="2940"/>
      <c r="N21" s="2940"/>
      <c r="O21" s="2940"/>
      <c r="P21" s="3290"/>
      <c r="Q21" s="1536"/>
      <c r="R21" s="714"/>
      <c r="S21" s="715"/>
      <c r="T21" s="714"/>
      <c r="U21" s="715"/>
      <c r="V21" s="714"/>
      <c r="W21" s="715"/>
      <c r="X21" s="1539"/>
      <c r="Y21" s="3290"/>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6"/>
      <c r="M22" s="2940"/>
      <c r="N22" s="2940"/>
      <c r="O22" s="2940"/>
      <c r="P22" s="3290"/>
      <c r="Q22" s="1536" t="str">
        <f>B22</f>
        <v>楼层</v>
      </c>
      <c r="R22" s="714" t="s">
        <v>17</v>
      </c>
      <c r="S22" s="715">
        <f>F22</f>
        <v>100</v>
      </c>
      <c r="T22" s="714" t="s">
        <v>17</v>
      </c>
      <c r="U22" s="715">
        <f>H22</f>
        <v>100</v>
      </c>
      <c r="V22" s="714" t="s">
        <v>17</v>
      </c>
      <c r="W22" s="715">
        <f>J22</f>
        <v>100</v>
      </c>
      <c r="X22" s="1539"/>
      <c r="Y22" s="3290"/>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6"/>
      <c r="M23" s="2940"/>
      <c r="N23" s="2940"/>
      <c r="O23" s="2940"/>
      <c r="P23" s="3290"/>
      <c r="Q23" s="1536">
        <f>B23</f>
        <v>111</v>
      </c>
      <c r="R23" s="714" t="s">
        <v>17</v>
      </c>
      <c r="S23" s="715">
        <f>F23</f>
        <v>100</v>
      </c>
      <c r="T23" s="714" t="s">
        <v>17</v>
      </c>
      <c r="U23" s="715">
        <f>H23</f>
        <v>100</v>
      </c>
      <c r="V23" s="714" t="s">
        <v>17</v>
      </c>
      <c r="W23" s="715">
        <f>J23</f>
        <v>100</v>
      </c>
      <c r="X23" s="1539"/>
      <c r="Y23" s="3290"/>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6"/>
      <c r="M24" s="2940"/>
      <c r="N24" s="2940"/>
      <c r="O24" s="2940"/>
      <c r="P24" s="3290"/>
      <c r="Q24" s="1536">
        <f t="shared" ref="Q24:Q36" si="11">B24</f>
        <v>111</v>
      </c>
      <c r="R24" s="714" t="s">
        <v>17</v>
      </c>
      <c r="S24" s="715">
        <f>F24</f>
        <v>100</v>
      </c>
      <c r="T24" s="714" t="s">
        <v>17</v>
      </c>
      <c r="U24" s="715">
        <f>H24</f>
        <v>100</v>
      </c>
      <c r="V24" s="714" t="s">
        <v>17</v>
      </c>
      <c r="W24" s="715">
        <f>J24</f>
        <v>100</v>
      </c>
      <c r="X24" s="1539"/>
      <c r="Y24" s="3290"/>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1"/>
      <c r="M25" s="2942"/>
      <c r="N25" s="2942"/>
      <c r="O25" s="2942"/>
      <c r="P25" s="3290"/>
      <c r="Q25" s="1527">
        <f t="shared" si="11"/>
        <v>111</v>
      </c>
      <c r="R25" s="710" t="s">
        <v>17</v>
      </c>
      <c r="S25" s="711">
        <f>F25</f>
        <v>100</v>
      </c>
      <c r="T25" s="710" t="s">
        <v>17</v>
      </c>
      <c r="U25" s="711">
        <f>H25</f>
        <v>100</v>
      </c>
      <c r="V25" s="710" t="s">
        <v>17</v>
      </c>
      <c r="W25" s="711">
        <f>J25</f>
        <v>100</v>
      </c>
      <c r="X25" s="712"/>
      <c r="Y25" s="3290"/>
      <c r="Z25" s="55">
        <f>Q25</f>
        <v>111</v>
      </c>
      <c r="AA25" s="1537">
        <f>D25/F25</f>
        <v>1</v>
      </c>
      <c r="AB25" s="1537">
        <f>D25/H25</f>
        <v>1</v>
      </c>
      <c r="AC25" s="1537">
        <f>D25/J25</f>
        <v>1</v>
      </c>
    </row>
    <row r="26" spans="1:29" ht="28.5">
      <c r="A26" s="608" t="s">
        <v>2383</v>
      </c>
      <c r="B26" s="66" t="s">
        <v>2532</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46"/>
      <c r="M26" s="2940"/>
      <c r="N26" s="2940"/>
      <c r="O26" s="2940"/>
      <c r="P26" s="3382"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294"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5"/>
      <c r="M27" s="2947"/>
      <c r="N27" s="2947"/>
      <c r="O27" s="2947"/>
      <c r="P27" s="3294"/>
      <c r="Q27" s="716" t="str">
        <f t="shared" si="11"/>
        <v>项目停车位配比</v>
      </c>
      <c r="R27" s="717" t="s">
        <v>17</v>
      </c>
      <c r="S27" s="718">
        <f t="shared" si="12"/>
        <v>100</v>
      </c>
      <c r="T27" s="717" t="s">
        <v>17</v>
      </c>
      <c r="U27" s="718">
        <f t="shared" si="13"/>
        <v>100</v>
      </c>
      <c r="V27" s="717" t="s">
        <v>17</v>
      </c>
      <c r="W27" s="718">
        <f t="shared" si="14"/>
        <v>100</v>
      </c>
      <c r="X27" s="719"/>
      <c r="Y27" s="3294"/>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6"/>
      <c r="M28" s="2940"/>
      <c r="N28" s="2940"/>
      <c r="O28" s="2940"/>
      <c r="P28" s="3294"/>
      <c r="Q28" s="1536" t="str">
        <f t="shared" si="11"/>
        <v>公共部分装修</v>
      </c>
      <c r="R28" s="714" t="s">
        <v>17</v>
      </c>
      <c r="S28" s="715">
        <f t="shared" si="12"/>
        <v>100</v>
      </c>
      <c r="T28" s="714" t="s">
        <v>17</v>
      </c>
      <c r="U28" s="715">
        <f t="shared" si="13"/>
        <v>100</v>
      </c>
      <c r="V28" s="714" t="s">
        <v>17</v>
      </c>
      <c r="W28" s="715">
        <f t="shared" si="14"/>
        <v>100</v>
      </c>
      <c r="X28" s="1539"/>
      <c r="Y28" s="3294"/>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6"/>
      <c r="M29" s="2940"/>
      <c r="N29" s="2940"/>
      <c r="O29" s="2940"/>
      <c r="P29" s="3294"/>
      <c r="Q29" s="1536" t="str">
        <f t="shared" si="11"/>
        <v>成新率</v>
      </c>
      <c r="R29" s="714" t="s">
        <v>17</v>
      </c>
      <c r="S29" s="715" t="e">
        <f t="shared" si="12"/>
        <v>#N/A</v>
      </c>
      <c r="T29" s="714" t="s">
        <v>17</v>
      </c>
      <c r="U29" s="715" t="e">
        <f t="shared" si="13"/>
        <v>#N/A</v>
      </c>
      <c r="V29" s="714" t="s">
        <v>17</v>
      </c>
      <c r="W29" s="715" t="e">
        <f t="shared" si="14"/>
        <v>#N/A</v>
      </c>
      <c r="X29" s="1539"/>
      <c r="Y29" s="3294"/>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6"/>
      <c r="M30" s="2940"/>
      <c r="N30" s="2940"/>
      <c r="O30" s="2940"/>
      <c r="P30" s="3294"/>
      <c r="Q30" s="1536" t="str">
        <f t="shared" si="11"/>
        <v>物业等级</v>
      </c>
      <c r="R30" s="714" t="s">
        <v>17</v>
      </c>
      <c r="S30" s="715">
        <f t="shared" si="12"/>
        <v>100</v>
      </c>
      <c r="T30" s="714" t="s">
        <v>17</v>
      </c>
      <c r="U30" s="715">
        <f t="shared" si="13"/>
        <v>100</v>
      </c>
      <c r="V30" s="714" t="s">
        <v>17</v>
      </c>
      <c r="W30" s="715">
        <f t="shared" si="14"/>
        <v>100</v>
      </c>
      <c r="X30" s="1539"/>
      <c r="Y30" s="3294"/>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1"/>
      <c r="M31" s="2942"/>
      <c r="N31" s="2942"/>
      <c r="O31" s="2942"/>
      <c r="P31" s="3294"/>
      <c r="Q31" s="1527" t="str">
        <f t="shared" si="11"/>
        <v>停车位面积</v>
      </c>
      <c r="R31" s="710" t="s">
        <v>17</v>
      </c>
      <c r="S31" s="711" t="e">
        <f t="shared" si="12"/>
        <v>#N/A</v>
      </c>
      <c r="T31" s="710" t="s">
        <v>17</v>
      </c>
      <c r="U31" s="711" t="e">
        <f t="shared" si="13"/>
        <v>#N/A</v>
      </c>
      <c r="V31" s="710" t="s">
        <v>17</v>
      </c>
      <c r="W31" s="711" t="e">
        <f t="shared" si="14"/>
        <v>#N/A</v>
      </c>
      <c r="X31" s="712"/>
      <c r="Y31" s="3294"/>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6"/>
      <c r="M32" s="2940"/>
      <c r="N32" s="2940"/>
      <c r="O32" s="2940"/>
      <c r="P32" s="3294" t="s">
        <v>2385</v>
      </c>
      <c r="Q32" s="1536" t="str">
        <f t="shared" si="11"/>
        <v>车位类型</v>
      </c>
      <c r="R32" s="714" t="s">
        <v>17</v>
      </c>
      <c r="S32" s="715">
        <f t="shared" si="12"/>
        <v>100</v>
      </c>
      <c r="T32" s="714" t="s">
        <v>17</v>
      </c>
      <c r="U32" s="715">
        <f t="shared" si="13"/>
        <v>100</v>
      </c>
      <c r="V32" s="714" t="s">
        <v>17</v>
      </c>
      <c r="W32" s="715">
        <f t="shared" si="14"/>
        <v>100</v>
      </c>
      <c r="X32" s="1539"/>
      <c r="Y32" s="3294"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6"/>
      <c r="M33" s="2940"/>
      <c r="N33" s="2940"/>
      <c r="O33" s="2940"/>
      <c r="P33" s="3294"/>
      <c r="Q33" s="1536" t="str">
        <f t="shared" si="11"/>
        <v>是否直接入户</v>
      </c>
      <c r="R33" s="714" t="s">
        <v>17</v>
      </c>
      <c r="S33" s="715">
        <f t="shared" si="12"/>
        <v>100</v>
      </c>
      <c r="T33" s="714" t="s">
        <v>17</v>
      </c>
      <c r="U33" s="715">
        <f t="shared" si="13"/>
        <v>100</v>
      </c>
      <c r="V33" s="714" t="s">
        <v>17</v>
      </c>
      <c r="W33" s="715">
        <f t="shared" si="14"/>
        <v>100</v>
      </c>
      <c r="X33" s="1539"/>
      <c r="Y33" s="3294"/>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6"/>
      <c r="M34" s="2940"/>
      <c r="N34" s="2940"/>
      <c r="O34" s="2940"/>
      <c r="P34" s="3294"/>
      <c r="Q34" s="1536">
        <f t="shared" si="11"/>
        <v>111</v>
      </c>
      <c r="R34" s="714" t="s">
        <v>17</v>
      </c>
      <c r="S34" s="715">
        <f t="shared" si="12"/>
        <v>100</v>
      </c>
      <c r="T34" s="714" t="s">
        <v>17</v>
      </c>
      <c r="U34" s="715">
        <f t="shared" si="13"/>
        <v>100</v>
      </c>
      <c r="V34" s="714" t="s">
        <v>17</v>
      </c>
      <c r="W34" s="715">
        <f t="shared" si="14"/>
        <v>100</v>
      </c>
      <c r="X34" s="1539"/>
      <c r="Y34" s="3294"/>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5"/>
      <c r="M35" s="2947"/>
      <c r="N35" s="2947"/>
      <c r="O35" s="2947"/>
      <c r="P35" s="3294"/>
      <c r="Q35" s="716">
        <f t="shared" si="11"/>
        <v>111</v>
      </c>
      <c r="R35" s="717" t="s">
        <v>17</v>
      </c>
      <c r="S35" s="718">
        <f t="shared" si="12"/>
        <v>100</v>
      </c>
      <c r="T35" s="717" t="s">
        <v>17</v>
      </c>
      <c r="U35" s="718">
        <f t="shared" si="13"/>
        <v>100</v>
      </c>
      <c r="V35" s="717" t="s">
        <v>17</v>
      </c>
      <c r="W35" s="718">
        <f t="shared" si="14"/>
        <v>100</v>
      </c>
      <c r="X35" s="719"/>
      <c r="Y35" s="3294"/>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6"/>
      <c r="M36" s="2940"/>
      <c r="N36" s="2940"/>
      <c r="O36" s="2940"/>
      <c r="P36" s="3294"/>
      <c r="Q36" s="1536">
        <f t="shared" si="11"/>
        <v>111</v>
      </c>
      <c r="R36" s="714" t="s">
        <v>17</v>
      </c>
      <c r="S36" s="715">
        <f t="shared" si="12"/>
        <v>100</v>
      </c>
      <c r="T36" s="714" t="s">
        <v>17</v>
      </c>
      <c r="U36" s="715">
        <f t="shared" si="13"/>
        <v>100</v>
      </c>
      <c r="V36" s="714" t="s">
        <v>17</v>
      </c>
      <c r="W36" s="715">
        <f t="shared" si="14"/>
        <v>100</v>
      </c>
      <c r="X36" s="1539"/>
      <c r="Y36" s="3294"/>
      <c r="Z36" s="1540">
        <f t="shared" si="15"/>
        <v>111</v>
      </c>
      <c r="AA36" s="1537">
        <f t="shared" si="3"/>
        <v>1</v>
      </c>
      <c r="AB36" s="1537">
        <f t="shared" si="4"/>
        <v>1</v>
      </c>
      <c r="AC36" s="1537">
        <f t="shared" si="5"/>
        <v>1</v>
      </c>
    </row>
    <row r="37" spans="1:29" ht="15">
      <c r="A37" s="438" t="s">
        <v>2540</v>
      </c>
      <c r="B37" s="2158" t="s">
        <v>2541</v>
      </c>
      <c r="C37" s="1316" t="s">
        <v>1</v>
      </c>
      <c r="D37" s="1317"/>
      <c r="E37" s="1318"/>
      <c r="F37" s="1319"/>
      <c r="G37" s="1320"/>
      <c r="H37" s="1321"/>
      <c r="I37" s="1318"/>
      <c r="J37" s="1321"/>
      <c r="K37" s="576"/>
      <c r="L37" s="2948"/>
      <c r="M37" s="2949"/>
      <c r="N37" s="2940"/>
      <c r="O37" s="2949"/>
      <c r="P37" s="3287" t="str">
        <f>A37</f>
        <v>成交单价</v>
      </c>
      <c r="Q37" s="3287"/>
      <c r="R37" s="3288">
        <f>E37</f>
        <v>0</v>
      </c>
      <c r="S37" s="3288"/>
      <c r="T37" s="3288">
        <f>G37</f>
        <v>0</v>
      </c>
      <c r="U37" s="3288"/>
      <c r="V37" s="3288">
        <f>I37</f>
        <v>0</v>
      </c>
      <c r="W37" s="3288"/>
      <c r="X37" s="699"/>
      <c r="Y37" s="721"/>
      <c r="Z37" s="699"/>
      <c r="AA37" s="699"/>
      <c r="AB37" s="699"/>
      <c r="AC37" s="699"/>
    </row>
    <row r="38" spans="1:29" ht="15.75" thickBot="1">
      <c r="A38" s="445" t="s">
        <v>2542</v>
      </c>
      <c r="B38" s="446" t="str">
        <f>B37</f>
        <v>元/车位</v>
      </c>
      <c r="C38" s="1322" t="e">
        <f>R39</f>
        <v>#DIV/0!</v>
      </c>
      <c r="D38" s="2537" t="s">
        <v>2880</v>
      </c>
      <c r="E38" s="1323" t="e">
        <f>R38</f>
        <v>#DIV/0!</v>
      </c>
      <c r="F38" s="2538"/>
      <c r="G38" s="1322" t="e">
        <f>T38</f>
        <v>#DIV/0!</v>
      </c>
      <c r="H38" s="2538"/>
      <c r="I38" s="1323" t="e">
        <f>V38</f>
        <v>#DIV/0!</v>
      </c>
      <c r="J38" s="2538"/>
      <c r="K38" s="2540">
        <f>F38+H38+J38</f>
        <v>0</v>
      </c>
      <c r="L38" s="2948"/>
      <c r="M38" s="2949"/>
      <c r="N38" s="2949"/>
      <c r="O38" s="2949"/>
      <c r="P38" s="3287" t="str">
        <f>A38</f>
        <v>比较价值（元/平方米）</v>
      </c>
      <c r="Q38" s="3287"/>
      <c r="R38" s="3288" t="e">
        <f>IF(F1="售价",ROUND(PRODUCT(R37,AA7:AA36),0),ROUND(PRODUCT(R37,AA7:AA36),1))</f>
        <v>#DIV/0!</v>
      </c>
      <c r="S38" s="3288"/>
      <c r="T38" s="3288" t="e">
        <f>IF(F1="售价",ROUND(PRODUCT(T37,AB7:AB36),0),ROUND(PRODUCT(T37,AB7:AB36),1))</f>
        <v>#DIV/0!</v>
      </c>
      <c r="U38" s="3288"/>
      <c r="V38" s="3288" t="e">
        <f>IF(F1="售价",ROUND(PRODUCT(V37,AC7:AC36),0),ROUND(PRODUCT(V37,AC7:AC36),1))</f>
        <v>#DIV/0!</v>
      </c>
      <c r="W38" s="3288"/>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48"/>
      <c r="M39" s="2949"/>
      <c r="N39" s="2949"/>
      <c r="O39" s="2949"/>
      <c r="P39" s="3284" t="str">
        <f>A39</f>
        <v>估价对象XX用房的比较价值（楼面单价，元/平方米）</v>
      </c>
      <c r="Q39" s="3285"/>
      <c r="R39" s="3383" t="e">
        <f>IF(F1="售价",ROUND(IF(D38="简单平均",AVERAGE(R38:W38),R38*F38+T38*H38+V38*J38),0),ROUND(IF(D38="简单平均",AVERAGE(R38:V38),R38*F38+T38*H38+V38*J38),1))</f>
        <v>#DIV/0!</v>
      </c>
      <c r="S39" s="3383"/>
      <c r="T39" s="3383"/>
      <c r="U39" s="3383"/>
      <c r="V39" s="3383"/>
      <c r="W39" s="3383"/>
      <c r="X39" s="699"/>
      <c r="Y39" s="699"/>
      <c r="Z39" s="699"/>
      <c r="AA39" s="699"/>
      <c r="AB39" s="699"/>
      <c r="AC39" s="699"/>
    </row>
    <row r="40" spans="1:29">
      <c r="A40" s="2949"/>
      <c r="B40" s="2949"/>
      <c r="C40" s="2949"/>
      <c r="D40" s="2949"/>
      <c r="E40" s="2949"/>
      <c r="F40" s="2949"/>
      <c r="G40" s="2953"/>
      <c r="H40" s="2949"/>
      <c r="I40" s="2949"/>
      <c r="J40" s="2949"/>
      <c r="K40" s="2954"/>
      <c r="L40" s="2950"/>
      <c r="M40" s="2949"/>
      <c r="N40" s="2949"/>
      <c r="O40" s="2949"/>
      <c r="P40" s="2980"/>
      <c r="Q40" s="2949"/>
      <c r="R40" s="2949"/>
      <c r="S40" s="2949"/>
      <c r="T40" s="2949"/>
      <c r="U40" s="2949"/>
      <c r="V40" s="2949"/>
      <c r="W40" s="2949"/>
      <c r="X40" s="2949"/>
      <c r="Y40" s="2949"/>
      <c r="Z40" s="2949"/>
      <c r="AA40" s="2949"/>
      <c r="AB40" s="2949"/>
      <c r="AC40" s="2949"/>
    </row>
    <row r="41" spans="1:29">
      <c r="A41" s="2949"/>
      <c r="B41" s="2949"/>
      <c r="C41" s="2949"/>
      <c r="D41" s="2949"/>
      <c r="E41" s="2949"/>
      <c r="F41" s="2949"/>
      <c r="G41" s="2949"/>
      <c r="H41" s="2949"/>
      <c r="I41" s="2949"/>
      <c r="J41" s="2949"/>
      <c r="K41" s="2954"/>
      <c r="L41" s="2950"/>
      <c r="M41" s="2949"/>
      <c r="N41" s="2949"/>
      <c r="O41" s="2949"/>
      <c r="P41" s="2980"/>
      <c r="Q41" s="2949"/>
      <c r="R41" s="2949"/>
      <c r="S41" s="2949"/>
      <c r="T41" s="2949"/>
      <c r="U41" s="2949"/>
      <c r="V41" s="2949"/>
      <c r="W41" s="2949"/>
      <c r="X41" s="2949"/>
      <c r="Y41" s="2949"/>
      <c r="Z41" s="2949"/>
      <c r="AA41" s="2949"/>
      <c r="AB41" s="2949"/>
      <c r="AC41" s="2949"/>
    </row>
    <row r="42" spans="1:29" ht="13.5" customHeight="1">
      <c r="A42" s="2949"/>
      <c r="B42" s="2949"/>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4"/>
      <c r="L42" s="2950"/>
      <c r="M42" s="2949"/>
      <c r="N42" s="2949"/>
      <c r="O42" s="2949"/>
      <c r="P42" s="2980"/>
      <c r="Q42" s="2949"/>
      <c r="R42" s="2949"/>
      <c r="S42" s="2949"/>
      <c r="T42" s="2949"/>
      <c r="U42" s="2949"/>
      <c r="V42" s="2949"/>
      <c r="W42" s="2949"/>
      <c r="X42" s="2949"/>
      <c r="Y42" s="2949"/>
      <c r="Z42" s="2949"/>
      <c r="AA42" s="2949"/>
      <c r="AB42" s="2949"/>
      <c r="AC42" s="2949"/>
    </row>
    <row r="43" spans="1:29" ht="13.5" customHeight="1">
      <c r="A43" s="2949"/>
      <c r="B43" s="2949"/>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4"/>
      <c r="L43" s="2950"/>
      <c r="M43" s="2949"/>
      <c r="N43" s="2949"/>
      <c r="O43" s="2949"/>
      <c r="P43" s="2980"/>
      <c r="Q43" s="2949"/>
      <c r="R43" s="2949"/>
      <c r="S43" s="2949"/>
      <c r="T43" s="2949"/>
      <c r="U43" s="2949"/>
      <c r="V43" s="2949"/>
      <c r="W43" s="2949"/>
      <c r="X43" s="2949"/>
      <c r="Y43" s="2949"/>
      <c r="Z43" s="2949"/>
      <c r="AA43" s="2949"/>
      <c r="AB43" s="2949"/>
      <c r="AC43" s="2949"/>
    </row>
    <row r="44" spans="1:29" s="459" customFormat="1" ht="13.5" customHeight="1">
      <c r="A44" s="2952"/>
      <c r="B44" s="2952"/>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7"/>
      <c r="L44" s="2951"/>
      <c r="M44" s="2952"/>
      <c r="N44" s="2952"/>
      <c r="O44" s="2952"/>
      <c r="P44" s="2981"/>
      <c r="Q44" s="2952"/>
      <c r="R44" s="2952"/>
      <c r="S44" s="2952"/>
      <c r="T44" s="2952"/>
      <c r="U44" s="2952"/>
      <c r="V44" s="2952"/>
      <c r="W44" s="2952"/>
      <c r="X44" s="2952"/>
      <c r="Y44" s="2952"/>
      <c r="Z44" s="2952"/>
      <c r="AA44" s="2952"/>
      <c r="AB44" s="2952"/>
      <c r="AC44" s="2952"/>
    </row>
    <row r="45" spans="1:29" s="459" customFormat="1">
      <c r="A45" s="2952"/>
      <c r="B45" s="2955"/>
      <c r="C45" s="2956"/>
      <c r="D45" s="2952"/>
      <c r="E45" s="2952"/>
      <c r="F45" s="2952"/>
      <c r="G45" s="2952"/>
      <c r="H45" s="2952"/>
      <c r="I45" s="2952"/>
      <c r="J45" s="2952"/>
      <c r="K45" s="2957"/>
      <c r="L45" s="2951"/>
      <c r="M45" s="2952"/>
      <c r="N45" s="2952"/>
      <c r="O45" s="2952"/>
      <c r="P45" s="2981"/>
      <c r="Q45" s="2952"/>
      <c r="R45" s="2952"/>
      <c r="S45" s="2952"/>
      <c r="T45" s="2952"/>
      <c r="U45" s="2952"/>
      <c r="V45" s="2952"/>
      <c r="W45" s="2952"/>
      <c r="X45" s="2952"/>
      <c r="Y45" s="2952"/>
      <c r="Z45" s="2952"/>
      <c r="AA45" s="2952"/>
      <c r="AB45" s="2952"/>
      <c r="AC45" s="2952"/>
    </row>
    <row r="46" spans="1:29">
      <c r="A46" s="2949"/>
      <c r="B46" s="2955"/>
      <c r="C46" s="2956"/>
      <c r="D46" s="2949"/>
      <c r="E46" s="2949"/>
      <c r="F46" s="2949"/>
      <c r="G46" s="2949"/>
      <c r="H46" s="2949"/>
      <c r="I46" s="2949"/>
      <c r="J46" s="2949"/>
      <c r="K46" s="2954"/>
      <c r="L46" s="2950"/>
      <c r="M46" s="2949"/>
      <c r="N46" s="2949"/>
      <c r="O46" s="2949"/>
      <c r="P46" s="2980"/>
      <c r="Q46" s="2949"/>
      <c r="R46" s="2949"/>
      <c r="S46" s="2949"/>
      <c r="T46" s="2949"/>
      <c r="U46" s="2949"/>
      <c r="V46" s="2949"/>
      <c r="W46" s="2949"/>
      <c r="X46" s="2949"/>
      <c r="Y46" s="2949"/>
      <c r="Z46" s="2949"/>
      <c r="AA46" s="2949"/>
      <c r="AB46" s="2949"/>
      <c r="AC46" s="2949"/>
    </row>
    <row r="47" spans="1:29" ht="21.75" thickBot="1">
      <c r="A47" s="1328" t="s">
        <v>2547</v>
      </c>
      <c r="B47" s="1058"/>
      <c r="C47" s="1071"/>
      <c r="D47" s="1071"/>
      <c r="E47" s="1071"/>
      <c r="F47" s="1329"/>
      <c r="G47" s="1329"/>
      <c r="H47" s="1071"/>
      <c r="I47" s="1071"/>
      <c r="J47" s="1071"/>
      <c r="K47" s="1072"/>
      <c r="L47" s="1073"/>
      <c r="M47" s="1071"/>
      <c r="N47" s="2993"/>
      <c r="O47" s="2993"/>
      <c r="P47" s="2982"/>
      <c r="Q47" s="2963"/>
      <c r="R47" s="2949"/>
      <c r="S47" s="2949"/>
      <c r="T47" s="2949"/>
      <c r="U47" s="2949"/>
      <c r="V47" s="2949"/>
      <c r="W47" s="2949"/>
      <c r="X47" s="2949"/>
      <c r="Y47" s="2949"/>
      <c r="Z47" s="2949"/>
      <c r="AA47" s="2949"/>
      <c r="AB47" s="2949"/>
      <c r="AC47" s="2949"/>
    </row>
    <row r="48" spans="1:29" s="465" customFormat="1" ht="15">
      <c r="A48" s="462" t="s">
        <v>2548</v>
      </c>
      <c r="B48" s="463"/>
      <c r="C48" s="1346" t="str">
        <f>YEAR(C7)&amp;"-"&amp;MONTH(C7)</f>
        <v>2021-11</v>
      </c>
      <c r="D48" s="1347">
        <f>EDATE(C48,-1)</f>
        <v>44470</v>
      </c>
      <c r="E48" s="1347">
        <f t="shared" ref="E48:O48" si="16">EDATE(D48,-1)</f>
        <v>44440</v>
      </c>
      <c r="F48" s="1347">
        <f t="shared" si="16"/>
        <v>44409</v>
      </c>
      <c r="G48" s="1347">
        <f t="shared" si="16"/>
        <v>44378</v>
      </c>
      <c r="H48" s="1347">
        <f t="shared" si="16"/>
        <v>44348</v>
      </c>
      <c r="I48" s="1347">
        <f t="shared" si="16"/>
        <v>44317</v>
      </c>
      <c r="J48" s="1347">
        <f t="shared" si="16"/>
        <v>44287</v>
      </c>
      <c r="K48" s="1347">
        <f t="shared" si="16"/>
        <v>44256</v>
      </c>
      <c r="L48" s="1347">
        <f t="shared" si="16"/>
        <v>44228</v>
      </c>
      <c r="M48" s="1347">
        <f t="shared" si="16"/>
        <v>44197</v>
      </c>
      <c r="N48" s="1347">
        <f t="shared" si="16"/>
        <v>44166</v>
      </c>
      <c r="O48" s="1347">
        <f t="shared" si="16"/>
        <v>44136</v>
      </c>
      <c r="P48" s="2983"/>
      <c r="Q48" s="2965"/>
      <c r="R48" s="2965"/>
      <c r="S48" s="2965"/>
      <c r="T48" s="2965"/>
      <c r="U48" s="2965"/>
      <c r="V48" s="2965"/>
      <c r="W48" s="2965"/>
      <c r="X48" s="2965"/>
      <c r="Y48" s="2965"/>
      <c r="Z48" s="2965"/>
      <c r="AA48" s="2965"/>
      <c r="AB48" s="2965"/>
      <c r="AC48" s="2965"/>
    </row>
    <row r="49" spans="1:29" s="113" customFormat="1" ht="15">
      <c r="A49" s="466"/>
      <c r="B49" s="467"/>
      <c r="C49" s="1339">
        <v>100</v>
      </c>
      <c r="D49" s="469"/>
      <c r="E49" s="469"/>
      <c r="F49" s="469"/>
      <c r="G49" s="469"/>
      <c r="H49" s="469"/>
      <c r="I49" s="469"/>
      <c r="J49" s="469"/>
      <c r="K49" s="469"/>
      <c r="L49" s="469"/>
      <c r="M49" s="470"/>
      <c r="N49" s="469"/>
      <c r="O49" s="470"/>
      <c r="P49" s="2984"/>
      <c r="Q49" s="2884"/>
      <c r="R49" s="2884"/>
      <c r="S49" s="2884"/>
      <c r="T49" s="2884"/>
      <c r="U49" s="2884"/>
      <c r="V49" s="2884"/>
      <c r="W49" s="2884"/>
      <c r="X49" s="2884"/>
      <c r="Y49" s="2884"/>
      <c r="Z49" s="2884"/>
      <c r="AA49" s="2884"/>
      <c r="AB49" s="2884"/>
      <c r="AC49" s="2884"/>
    </row>
    <row r="50" spans="1:29" s="113" customFormat="1" ht="15.75" thickBot="1">
      <c r="A50" s="472" t="s">
        <v>2405</v>
      </c>
      <c r="B50" s="473"/>
      <c r="C50" s="474"/>
      <c r="D50" s="475"/>
      <c r="E50" s="475"/>
      <c r="F50" s="475"/>
      <c r="G50" s="475"/>
      <c r="H50" s="475"/>
      <c r="I50" s="475"/>
      <c r="J50" s="475"/>
      <c r="K50" s="475"/>
      <c r="L50" s="475"/>
      <c r="M50" s="476"/>
      <c r="N50" s="475"/>
      <c r="O50" s="476"/>
      <c r="P50" s="2984"/>
      <c r="Q50" s="2963"/>
      <c r="R50" s="2884"/>
      <c r="S50" s="2884"/>
      <c r="T50" s="2884"/>
      <c r="U50" s="2884"/>
      <c r="V50" s="2884"/>
      <c r="W50" s="2884"/>
      <c r="X50" s="2884"/>
      <c r="Y50" s="2884"/>
      <c r="Z50" s="2884"/>
      <c r="AA50" s="2884"/>
      <c r="AB50" s="2884"/>
      <c r="AC50" s="2884"/>
    </row>
    <row r="51" spans="1:29" s="113" customFormat="1" ht="15">
      <c r="A51" s="478" t="s">
        <v>2370</v>
      </c>
      <c r="B51" s="467"/>
      <c r="C51" s="479" t="s">
        <v>2472</v>
      </c>
      <c r="D51" s="480"/>
      <c r="E51" s="480"/>
      <c r="F51" s="480"/>
      <c r="G51" s="480"/>
      <c r="H51" s="480"/>
      <c r="I51" s="480"/>
      <c r="J51" s="480"/>
      <c r="K51" s="480"/>
      <c r="L51" s="481"/>
      <c r="M51" s="482"/>
      <c r="N51" s="2976"/>
      <c r="O51" s="2976"/>
      <c r="P51" s="2985"/>
      <c r="Q51" s="2963"/>
      <c r="R51" s="2884"/>
      <c r="S51" s="2884"/>
      <c r="T51" s="2884"/>
      <c r="U51" s="2884"/>
      <c r="V51" s="2884"/>
      <c r="W51" s="2884"/>
      <c r="X51" s="2884"/>
      <c r="Y51" s="2884"/>
      <c r="Z51" s="2884"/>
      <c r="AA51" s="2884"/>
      <c r="AB51" s="2884"/>
      <c r="AC51" s="2884"/>
    </row>
    <row r="52" spans="1:29" s="113" customFormat="1" ht="15.75" thickBot="1">
      <c r="A52" s="478"/>
      <c r="B52" s="467"/>
      <c r="C52" s="595">
        <v>100</v>
      </c>
      <c r="D52" s="469"/>
      <c r="E52" s="469"/>
      <c r="F52" s="469"/>
      <c r="G52" s="469"/>
      <c r="H52" s="469"/>
      <c r="I52" s="469"/>
      <c r="J52" s="469"/>
      <c r="K52" s="469"/>
      <c r="L52" s="469"/>
      <c r="M52" s="471"/>
      <c r="N52" s="2976"/>
      <c r="O52" s="2976"/>
      <c r="P52" s="2984"/>
      <c r="Q52" s="2963"/>
      <c r="R52" s="2884"/>
      <c r="S52" s="2884"/>
      <c r="T52" s="2884"/>
      <c r="U52" s="2884"/>
      <c r="V52" s="2884"/>
      <c r="W52" s="2884"/>
      <c r="X52" s="2884"/>
      <c r="Y52" s="2884"/>
      <c r="Z52" s="2884"/>
      <c r="AA52" s="2884"/>
      <c r="AB52" s="2884"/>
      <c r="AC52" s="2884"/>
    </row>
    <row r="53" spans="1:29">
      <c r="A53" s="484" t="s">
        <v>2408</v>
      </c>
      <c r="B53" s="485" t="s">
        <v>2374</v>
      </c>
      <c r="C53" s="486">
        <f>C9</f>
        <v>0</v>
      </c>
      <c r="D53" s="487"/>
      <c r="E53" s="487"/>
      <c r="F53" s="487"/>
      <c r="G53" s="487"/>
      <c r="H53" s="487"/>
      <c r="I53" s="487"/>
      <c r="J53" s="487"/>
      <c r="K53" s="488"/>
      <c r="L53" s="489"/>
      <c r="M53" s="490"/>
      <c r="N53" s="2977"/>
      <c r="O53" s="2977"/>
      <c r="P53" s="2986"/>
      <c r="Q53" s="2963"/>
      <c r="R53" s="2949"/>
      <c r="S53" s="2949"/>
      <c r="T53" s="2949"/>
      <c r="U53" s="2949"/>
      <c r="V53" s="2949"/>
      <c r="W53" s="2949"/>
      <c r="X53" s="2949"/>
      <c r="Y53" s="2949"/>
      <c r="Z53" s="2949"/>
      <c r="AA53" s="2949"/>
      <c r="AB53" s="2949"/>
      <c r="AC53" s="2949"/>
    </row>
    <row r="54" spans="1:29" ht="15.75" thickBot="1">
      <c r="A54" s="491"/>
      <c r="B54" s="492"/>
      <c r="C54" s="493">
        <v>100</v>
      </c>
      <c r="D54" s="493"/>
      <c r="E54" s="493"/>
      <c r="F54" s="493"/>
      <c r="G54" s="493"/>
      <c r="H54" s="493"/>
      <c r="I54" s="493"/>
      <c r="J54" s="493"/>
      <c r="K54" s="493"/>
      <c r="L54" s="493"/>
      <c r="M54" s="494"/>
      <c r="N54" s="2978"/>
      <c r="O54" s="2978"/>
      <c r="P54" s="2986"/>
      <c r="Q54" s="2963"/>
      <c r="R54" s="2949"/>
      <c r="S54" s="2949"/>
      <c r="T54" s="2949"/>
      <c r="U54" s="2949"/>
      <c r="V54" s="2949"/>
      <c r="W54" s="2949"/>
      <c r="X54" s="2949"/>
      <c r="Y54" s="2949"/>
      <c r="Z54" s="2949"/>
      <c r="AA54" s="2949"/>
      <c r="AB54" s="2949"/>
      <c r="AC54" s="2949"/>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7"/>
      <c r="O55" s="2977"/>
      <c r="P55" s="2986"/>
      <c r="Q55" s="2963"/>
      <c r="R55" s="2949"/>
      <c r="S55" s="2949"/>
      <c r="T55" s="2949"/>
      <c r="U55" s="2949"/>
      <c r="V55" s="2949"/>
      <c r="W55" s="2949"/>
      <c r="X55" s="2949"/>
      <c r="Y55" s="2949"/>
      <c r="Z55" s="2949"/>
      <c r="AA55" s="2949"/>
      <c r="AB55" s="2949"/>
      <c r="AC55" s="294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8"/>
      <c r="O56" s="2978"/>
      <c r="P56" s="2986"/>
      <c r="Q56" s="2963"/>
      <c r="R56" s="2949"/>
      <c r="S56" s="2949"/>
      <c r="T56" s="2949"/>
      <c r="U56" s="2949"/>
      <c r="V56" s="2949"/>
      <c r="W56" s="2949"/>
      <c r="X56" s="2949"/>
      <c r="Y56" s="2949"/>
      <c r="Z56" s="2949"/>
      <c r="AA56" s="2949"/>
      <c r="AB56" s="2949"/>
      <c r="AC56" s="2949"/>
    </row>
    <row r="57" spans="1:29" ht="15.75" thickTop="1">
      <c r="A57" s="491"/>
      <c r="B57" s="616">
        <f>B11</f>
        <v>111</v>
      </c>
      <c r="C57" s="506"/>
      <c r="D57" s="506"/>
      <c r="E57" s="506"/>
      <c r="F57" s="506"/>
      <c r="G57" s="506"/>
      <c r="H57" s="506"/>
      <c r="I57" s="506"/>
      <c r="J57" s="506"/>
      <c r="K57" s="507"/>
      <c r="L57" s="508"/>
      <c r="M57" s="509"/>
      <c r="N57" s="2977"/>
      <c r="O57" s="2977"/>
      <c r="P57" s="2986"/>
      <c r="Q57" s="2963"/>
      <c r="R57" s="2949"/>
      <c r="S57" s="2949"/>
      <c r="T57" s="2949"/>
      <c r="U57" s="2949"/>
      <c r="V57" s="2949"/>
      <c r="W57" s="2949"/>
      <c r="X57" s="2949"/>
      <c r="Y57" s="2949"/>
      <c r="Z57" s="2949"/>
      <c r="AA57" s="2949"/>
      <c r="AB57" s="2949"/>
      <c r="AC57" s="2949"/>
    </row>
    <row r="58" spans="1:29" ht="15.75" thickBot="1">
      <c r="A58" s="491"/>
      <c r="B58" s="492"/>
      <c r="C58" s="517"/>
      <c r="D58" s="493"/>
      <c r="E58" s="493"/>
      <c r="F58" s="493"/>
      <c r="G58" s="493"/>
      <c r="H58" s="493"/>
      <c r="I58" s="493"/>
      <c r="J58" s="493"/>
      <c r="K58" s="493"/>
      <c r="L58" s="493"/>
      <c r="M58" s="494"/>
      <c r="N58" s="2978"/>
      <c r="O58" s="2978"/>
      <c r="P58" s="2986"/>
      <c r="Q58" s="2963"/>
      <c r="R58" s="2949"/>
      <c r="S58" s="2949"/>
      <c r="T58" s="2949"/>
      <c r="U58" s="2949"/>
      <c r="V58" s="2949"/>
      <c r="W58" s="2949"/>
      <c r="X58" s="2949"/>
      <c r="Y58" s="2949"/>
      <c r="Z58" s="2949"/>
      <c r="AA58" s="2949"/>
      <c r="AB58" s="2949"/>
      <c r="AC58" s="2949"/>
    </row>
    <row r="59" spans="1:29" s="430" customFormat="1" ht="15.75" thickTop="1">
      <c r="A59" s="510"/>
      <c r="B59" s="495">
        <f>B12</f>
        <v>111</v>
      </c>
      <c r="C59" s="506"/>
      <c r="D59" s="506"/>
      <c r="E59" s="506"/>
      <c r="F59" s="506"/>
      <c r="G59" s="511"/>
      <c r="H59" s="512"/>
      <c r="I59" s="512"/>
      <c r="J59" s="512"/>
      <c r="K59" s="512"/>
      <c r="L59" s="513"/>
      <c r="M59" s="514"/>
      <c r="N59" s="2979"/>
      <c r="O59" s="2979"/>
      <c r="P59" s="2987"/>
      <c r="Q59" s="2970"/>
      <c r="R59" s="2971"/>
      <c r="S59" s="2971"/>
      <c r="T59" s="2971"/>
      <c r="U59" s="2971"/>
      <c r="V59" s="2971"/>
      <c r="W59" s="2971"/>
      <c r="X59" s="2971"/>
      <c r="Y59" s="2971"/>
      <c r="Z59" s="2971"/>
      <c r="AA59" s="2971"/>
      <c r="AB59" s="2971"/>
      <c r="AC59" s="2971"/>
    </row>
    <row r="60" spans="1:29" s="430" customFormat="1" ht="15.75" thickBot="1">
      <c r="A60" s="510"/>
      <c r="B60" s="500"/>
      <c r="C60" s="517"/>
      <c r="D60" s="493"/>
      <c r="E60" s="493"/>
      <c r="F60" s="493"/>
      <c r="G60" s="493"/>
      <c r="H60" s="493"/>
      <c r="I60" s="493"/>
      <c r="J60" s="493"/>
      <c r="K60" s="493"/>
      <c r="L60" s="493"/>
      <c r="M60" s="494"/>
      <c r="N60" s="2978"/>
      <c r="O60" s="2978"/>
      <c r="P60" s="2987"/>
      <c r="Q60" s="2970"/>
      <c r="R60" s="2971"/>
      <c r="S60" s="2971"/>
      <c r="T60" s="2971"/>
      <c r="U60" s="2971"/>
      <c r="V60" s="2971"/>
      <c r="W60" s="2971"/>
      <c r="X60" s="2971"/>
      <c r="Y60" s="2971"/>
      <c r="Z60" s="2971"/>
      <c r="AA60" s="2971"/>
      <c r="AB60" s="2971"/>
      <c r="AC60" s="2971"/>
    </row>
    <row r="61" spans="1:29" s="430" customFormat="1" ht="15.75" thickTop="1">
      <c r="A61" s="510"/>
      <c r="B61" s="495">
        <f>B13</f>
        <v>111</v>
      </c>
      <c r="C61" s="511"/>
      <c r="D61" s="511"/>
      <c r="E61" s="511"/>
      <c r="F61" s="511"/>
      <c r="G61" s="511"/>
      <c r="H61" s="512"/>
      <c r="I61" s="512"/>
      <c r="J61" s="512"/>
      <c r="K61" s="512"/>
      <c r="L61" s="513"/>
      <c r="M61" s="514"/>
      <c r="N61" s="2979"/>
      <c r="O61" s="2979"/>
      <c r="P61" s="2988"/>
      <c r="Q61" s="2973"/>
      <c r="R61" s="2971"/>
      <c r="S61" s="2971"/>
      <c r="T61" s="2971"/>
      <c r="U61" s="2971"/>
      <c r="V61" s="2971"/>
      <c r="W61" s="2971"/>
      <c r="X61" s="2971"/>
      <c r="Y61" s="2971"/>
      <c r="Z61" s="2971"/>
      <c r="AA61" s="2971"/>
      <c r="AB61" s="2971"/>
      <c r="AC61" s="2971"/>
    </row>
    <row r="62" spans="1:29" s="430" customFormat="1" ht="15.75" thickBot="1">
      <c r="A62" s="510"/>
      <c r="B62" s="500"/>
      <c r="C62" s="517"/>
      <c r="D62" s="517"/>
      <c r="E62" s="517"/>
      <c r="F62" s="517"/>
      <c r="G62" s="517"/>
      <c r="H62" s="519"/>
      <c r="I62" s="519"/>
      <c r="J62" s="519"/>
      <c r="K62" s="519"/>
      <c r="L62" s="519"/>
      <c r="M62" s="520"/>
      <c r="N62" s="2979"/>
      <c r="O62" s="2979"/>
      <c r="P62" s="2987"/>
      <c r="Q62" s="2970"/>
      <c r="R62" s="2971"/>
      <c r="S62" s="2971"/>
      <c r="T62" s="2971"/>
      <c r="U62" s="2971"/>
      <c r="V62" s="2971"/>
      <c r="W62" s="2971"/>
      <c r="X62" s="2971"/>
      <c r="Y62" s="2971"/>
      <c r="Z62" s="2971"/>
      <c r="AA62" s="2971"/>
      <c r="AB62" s="2971"/>
      <c r="AC62" s="2971"/>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7"/>
      <c r="O63" s="2977"/>
      <c r="P63" s="2990"/>
      <c r="Q63" s="2963"/>
      <c r="R63" s="2949"/>
      <c r="S63" s="2949"/>
      <c r="T63" s="2949"/>
      <c r="U63" s="2949"/>
      <c r="V63" s="2949"/>
      <c r="W63" s="2949"/>
      <c r="X63" s="2949"/>
      <c r="Y63" s="2949"/>
      <c r="Z63" s="2949"/>
      <c r="AA63" s="2949"/>
      <c r="AB63" s="2949"/>
      <c r="AC63" s="294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8"/>
      <c r="O64" s="2978"/>
      <c r="P64" s="2986"/>
      <c r="Q64" s="2963"/>
      <c r="R64" s="2949"/>
      <c r="S64" s="2949"/>
      <c r="T64" s="2949"/>
      <c r="U64" s="2949"/>
      <c r="V64" s="2949"/>
      <c r="W64" s="2949"/>
      <c r="X64" s="2949"/>
      <c r="Y64" s="2949"/>
      <c r="Z64" s="2949"/>
      <c r="AA64" s="2949"/>
      <c r="AB64" s="2949"/>
      <c r="AC64" s="2949"/>
    </row>
    <row r="65" spans="1:29" ht="15.75" thickTop="1">
      <c r="A65" s="491"/>
      <c r="B65" s="495" t="s">
        <v>2423</v>
      </c>
      <c r="C65" s="535" t="s">
        <v>2417</v>
      </c>
      <c r="D65" s="535" t="s">
        <v>2418</v>
      </c>
      <c r="E65" s="535" t="s">
        <v>2419</v>
      </c>
      <c r="F65" s="535" t="s">
        <v>2420</v>
      </c>
      <c r="G65" s="535" t="s">
        <v>2421</v>
      </c>
      <c r="H65" s="496"/>
      <c r="I65" s="496"/>
      <c r="J65" s="496"/>
      <c r="K65" s="497"/>
      <c r="L65" s="498"/>
      <c r="M65" s="499"/>
      <c r="N65" s="2977"/>
      <c r="O65" s="2977"/>
      <c r="P65" s="2986"/>
      <c r="Q65" s="2963"/>
      <c r="R65" s="2949"/>
      <c r="S65" s="2949"/>
      <c r="T65" s="2949"/>
      <c r="U65" s="2949"/>
      <c r="V65" s="2949"/>
      <c r="W65" s="2949"/>
      <c r="X65" s="2949"/>
      <c r="Y65" s="2949"/>
      <c r="Z65" s="2949"/>
      <c r="AA65" s="2949"/>
      <c r="AB65" s="2949"/>
      <c r="AC65" s="294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8"/>
      <c r="O66" s="2978"/>
      <c r="P66" s="2986"/>
      <c r="Q66" s="2963"/>
      <c r="R66" s="2949"/>
      <c r="S66" s="2949"/>
      <c r="T66" s="2949"/>
      <c r="U66" s="2949"/>
      <c r="V66" s="2949"/>
      <c r="W66" s="2949"/>
      <c r="X66" s="2949"/>
      <c r="Y66" s="2949"/>
      <c r="Z66" s="2949"/>
      <c r="AA66" s="2949"/>
      <c r="AB66" s="2949"/>
      <c r="AC66" s="2949"/>
    </row>
    <row r="67" spans="1:29" ht="15.75" thickTop="1">
      <c r="A67" s="491"/>
      <c r="B67" s="503" t="s">
        <v>2509</v>
      </c>
      <c r="C67" s="616" t="s">
        <v>2495</v>
      </c>
      <c r="D67" s="616" t="s">
        <v>2496</v>
      </c>
      <c r="E67" s="616" t="s">
        <v>2497</v>
      </c>
      <c r="F67" s="616" t="s">
        <v>2498</v>
      </c>
      <c r="G67" s="616" t="s">
        <v>2499</v>
      </c>
      <c r="H67" s="496"/>
      <c r="I67" s="496"/>
      <c r="J67" s="496"/>
      <c r="K67" s="496"/>
      <c r="L67" s="496"/>
      <c r="M67" s="1291"/>
      <c r="N67" s="2978"/>
      <c r="O67" s="2978"/>
      <c r="P67" s="2986"/>
      <c r="Q67" s="2963"/>
      <c r="R67" s="2949"/>
      <c r="S67" s="2949"/>
      <c r="T67" s="2949"/>
      <c r="U67" s="2949"/>
      <c r="V67" s="2949"/>
      <c r="W67" s="2949"/>
      <c r="X67" s="2949"/>
      <c r="Y67" s="2949"/>
      <c r="Z67" s="2949"/>
      <c r="AA67" s="2949"/>
      <c r="AB67" s="2949"/>
      <c r="AC67" s="294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8"/>
      <c r="O68" s="2978"/>
      <c r="P68" s="2986"/>
      <c r="Q68" s="2963"/>
      <c r="R68" s="2949"/>
      <c r="S68" s="2949"/>
      <c r="T68" s="2949"/>
      <c r="U68" s="2949"/>
      <c r="V68" s="2949"/>
      <c r="W68" s="2949"/>
      <c r="X68" s="2949"/>
      <c r="Y68" s="2949"/>
      <c r="Z68" s="2949"/>
      <c r="AA68" s="2949"/>
      <c r="AB68" s="2949"/>
      <c r="AC68" s="2949"/>
    </row>
    <row r="69" spans="1:29" ht="15.75" thickTop="1">
      <c r="A69" s="491"/>
      <c r="B69" s="495" t="s">
        <v>2429</v>
      </c>
      <c r="C69" s="535" t="s">
        <v>2417</v>
      </c>
      <c r="D69" s="535" t="s">
        <v>2418</v>
      </c>
      <c r="E69" s="535" t="s">
        <v>2419</v>
      </c>
      <c r="F69" s="535" t="s">
        <v>2420</v>
      </c>
      <c r="G69" s="535" t="s">
        <v>2421</v>
      </c>
      <c r="H69" s="496"/>
      <c r="I69" s="496"/>
      <c r="J69" s="496"/>
      <c r="K69" s="497"/>
      <c r="L69" s="498"/>
      <c r="M69" s="499"/>
      <c r="N69" s="2977"/>
      <c r="O69" s="2977"/>
      <c r="P69" s="2986"/>
      <c r="Q69" s="2963"/>
      <c r="R69" s="2949"/>
      <c r="S69" s="2949"/>
      <c r="T69" s="2949"/>
      <c r="U69" s="2949"/>
      <c r="V69" s="2949"/>
      <c r="W69" s="2949"/>
      <c r="X69" s="2949"/>
      <c r="Y69" s="2949"/>
      <c r="Z69" s="2949"/>
      <c r="AA69" s="2949"/>
      <c r="AB69" s="2949"/>
      <c r="AC69" s="294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8"/>
      <c r="O70" s="2978"/>
      <c r="P70" s="2986"/>
      <c r="Q70" s="2963"/>
      <c r="R70" s="2949"/>
      <c r="S70" s="2949"/>
      <c r="T70" s="2949"/>
      <c r="U70" s="2949"/>
      <c r="V70" s="2949"/>
      <c r="W70" s="2949"/>
      <c r="X70" s="2949"/>
      <c r="Y70" s="2949"/>
      <c r="Z70" s="2949"/>
      <c r="AA70" s="2949"/>
      <c r="AB70" s="2949"/>
      <c r="AC70" s="2949"/>
    </row>
    <row r="71" spans="1:29" ht="15.75" thickTop="1">
      <c r="A71" s="491"/>
      <c r="B71" s="495" t="s">
        <v>2549</v>
      </c>
      <c r="C71" s="511"/>
      <c r="D71" s="511"/>
      <c r="E71" s="511"/>
      <c r="F71" s="511"/>
      <c r="G71" s="511"/>
      <c r="H71" s="540"/>
      <c r="I71" s="540"/>
      <c r="J71" s="540"/>
      <c r="K71" s="541"/>
      <c r="L71" s="542"/>
      <c r="M71" s="543"/>
      <c r="N71" s="2977"/>
      <c r="O71" s="2977"/>
      <c r="P71" s="2986"/>
      <c r="Q71" s="2963"/>
      <c r="R71" s="2949"/>
      <c r="S71" s="2949"/>
      <c r="T71" s="2949"/>
      <c r="U71" s="2949"/>
      <c r="V71" s="2949"/>
      <c r="W71" s="2949"/>
      <c r="X71" s="2949"/>
      <c r="Y71" s="2949"/>
      <c r="Z71" s="2949"/>
      <c r="AA71" s="2949"/>
      <c r="AB71" s="2949"/>
      <c r="AC71" s="294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8"/>
      <c r="O72" s="2978"/>
      <c r="P72" s="2986"/>
      <c r="Q72" s="2963"/>
      <c r="R72" s="2949"/>
      <c r="S72" s="2949"/>
      <c r="T72" s="2949"/>
      <c r="U72" s="2949"/>
      <c r="V72" s="2949"/>
      <c r="W72" s="2949"/>
      <c r="X72" s="2949"/>
      <c r="Y72" s="2949"/>
      <c r="Z72" s="2949"/>
      <c r="AA72" s="2949"/>
      <c r="AB72" s="2949"/>
      <c r="AC72" s="2949"/>
    </row>
    <row r="73" spans="1:29" s="113" customFormat="1" ht="15.75" thickTop="1">
      <c r="A73" s="536"/>
      <c r="B73" s="495">
        <f>B23</f>
        <v>111</v>
      </c>
      <c r="C73" s="506"/>
      <c r="D73" s="506"/>
      <c r="E73" s="506"/>
      <c r="F73" s="506"/>
      <c r="G73" s="511"/>
      <c r="H73" s="511"/>
      <c r="I73" s="511"/>
      <c r="J73" s="511"/>
      <c r="K73" s="511"/>
      <c r="L73" s="537"/>
      <c r="M73" s="538"/>
      <c r="N73" s="2976"/>
      <c r="O73" s="2976"/>
      <c r="P73" s="2986"/>
      <c r="Q73" s="2963"/>
      <c r="R73" s="2884"/>
      <c r="S73" s="2884"/>
      <c r="T73" s="2884"/>
      <c r="U73" s="2884"/>
      <c r="V73" s="2884"/>
      <c r="W73" s="2884"/>
      <c r="X73" s="2884"/>
      <c r="Y73" s="2884"/>
      <c r="Z73" s="2884"/>
      <c r="AA73" s="2884"/>
      <c r="AB73" s="2884"/>
      <c r="AC73" s="2884"/>
    </row>
    <row r="74" spans="1:29" s="113" customFormat="1" ht="15.75" thickBot="1">
      <c r="A74" s="536"/>
      <c r="B74" s="500"/>
      <c r="C74" s="517"/>
      <c r="D74" s="493"/>
      <c r="E74" s="493"/>
      <c r="F74" s="493"/>
      <c r="G74" s="493"/>
      <c r="H74" s="493"/>
      <c r="I74" s="493"/>
      <c r="J74" s="493"/>
      <c r="K74" s="493"/>
      <c r="L74" s="493"/>
      <c r="M74" s="494"/>
      <c r="N74" s="2978"/>
      <c r="O74" s="2978"/>
      <c r="P74" s="2986"/>
      <c r="Q74" s="2963"/>
      <c r="R74" s="2884"/>
      <c r="S74" s="2884"/>
      <c r="T74" s="2884"/>
      <c r="U74" s="2884"/>
      <c r="V74" s="2884"/>
      <c r="W74" s="2884"/>
      <c r="X74" s="2884"/>
      <c r="Y74" s="2884"/>
      <c r="Z74" s="2884"/>
      <c r="AA74" s="2884"/>
      <c r="AB74" s="2884"/>
      <c r="AC74" s="2884"/>
    </row>
    <row r="75" spans="1:29" s="113" customFormat="1" ht="15.75" thickTop="1">
      <c r="A75" s="536"/>
      <c r="B75" s="495">
        <f>B24</f>
        <v>111</v>
      </c>
      <c r="C75" s="506"/>
      <c r="D75" s="506"/>
      <c r="E75" s="506"/>
      <c r="F75" s="506"/>
      <c r="G75" s="511"/>
      <c r="H75" s="511"/>
      <c r="I75" s="511"/>
      <c r="J75" s="511"/>
      <c r="K75" s="511"/>
      <c r="L75" s="511"/>
      <c r="M75" s="538"/>
      <c r="N75" s="2976"/>
      <c r="O75" s="2976"/>
      <c r="P75" s="2986"/>
      <c r="Q75" s="2963"/>
      <c r="R75" s="2884"/>
      <c r="S75" s="2884"/>
      <c r="T75" s="2884"/>
      <c r="U75" s="2884"/>
      <c r="V75" s="2884"/>
      <c r="W75" s="2884"/>
      <c r="X75" s="2884"/>
      <c r="Y75" s="2884"/>
      <c r="Z75" s="2884"/>
      <c r="AA75" s="2884"/>
      <c r="AB75" s="2884"/>
      <c r="AC75" s="2884"/>
    </row>
    <row r="76" spans="1:29" s="113" customFormat="1" ht="15.75" thickBot="1">
      <c r="A76" s="536"/>
      <c r="B76" s="500"/>
      <c r="C76" s="517"/>
      <c r="D76" s="493"/>
      <c r="E76" s="493"/>
      <c r="F76" s="493"/>
      <c r="G76" s="493"/>
      <c r="H76" s="493"/>
      <c r="I76" s="493"/>
      <c r="J76" s="493"/>
      <c r="K76" s="493"/>
      <c r="L76" s="493"/>
      <c r="M76" s="494"/>
      <c r="N76" s="2978"/>
      <c r="O76" s="2978"/>
      <c r="P76" s="2986"/>
      <c r="Q76" s="2963"/>
      <c r="R76" s="2884"/>
      <c r="S76" s="2884"/>
      <c r="T76" s="2884"/>
      <c r="U76" s="2884"/>
      <c r="V76" s="2884"/>
      <c r="W76" s="2884"/>
      <c r="X76" s="2884"/>
      <c r="Y76" s="2884"/>
      <c r="Z76" s="2884"/>
      <c r="AA76" s="2884"/>
      <c r="AB76" s="2884"/>
      <c r="AC76" s="2884"/>
    </row>
    <row r="77" spans="1:29" s="430" customFormat="1" ht="15.75" thickTop="1">
      <c r="A77" s="510"/>
      <c r="B77" s="495">
        <f>B25</f>
        <v>111</v>
      </c>
      <c r="C77" s="511"/>
      <c r="D77" s="511"/>
      <c r="E77" s="511"/>
      <c r="F77" s="511"/>
      <c r="G77" s="511"/>
      <c r="H77" s="512"/>
      <c r="I77" s="512"/>
      <c r="J77" s="512"/>
      <c r="K77" s="512"/>
      <c r="L77" s="513"/>
      <c r="M77" s="514"/>
      <c r="N77" s="2979"/>
      <c r="O77" s="2979"/>
      <c r="P77" s="2987"/>
      <c r="Q77" s="2970"/>
      <c r="R77" s="2971"/>
      <c r="S77" s="2971"/>
      <c r="T77" s="2971"/>
      <c r="U77" s="2971"/>
      <c r="V77" s="2971"/>
      <c r="W77" s="2971"/>
      <c r="X77" s="2971"/>
      <c r="Y77" s="2971"/>
      <c r="Z77" s="2971"/>
      <c r="AA77" s="2971"/>
      <c r="AB77" s="2971"/>
      <c r="AC77" s="2971"/>
    </row>
    <row r="78" spans="1:29" s="430" customFormat="1" ht="15.75" thickBot="1">
      <c r="A78" s="510"/>
      <c r="B78" s="500"/>
      <c r="C78" s="517"/>
      <c r="D78" s="517"/>
      <c r="E78" s="517"/>
      <c r="F78" s="517"/>
      <c r="G78" s="493"/>
      <c r="H78" s="493"/>
      <c r="I78" s="493"/>
      <c r="J78" s="493"/>
      <c r="K78" s="493"/>
      <c r="L78" s="493"/>
      <c r="M78" s="494"/>
      <c r="N78" s="2979"/>
      <c r="O78" s="2979"/>
      <c r="P78" s="2987"/>
      <c r="Q78" s="2970"/>
      <c r="R78" s="2971"/>
      <c r="S78" s="2971"/>
      <c r="T78" s="2971"/>
      <c r="U78" s="2971"/>
      <c r="V78" s="2971"/>
      <c r="W78" s="2971"/>
      <c r="X78" s="2971"/>
      <c r="Y78" s="2971"/>
      <c r="Z78" s="2971"/>
      <c r="AA78" s="2971"/>
      <c r="AB78" s="2971"/>
      <c r="AC78" s="2971"/>
    </row>
    <row r="79" spans="1:29" ht="27.75" thickTop="1">
      <c r="A79" s="484" t="s">
        <v>2383</v>
      </c>
      <c r="B79" s="485" t="s">
        <v>2550</v>
      </c>
      <c r="C79" s="486">
        <f>C26</f>
        <v>0</v>
      </c>
      <c r="D79" s="487"/>
      <c r="E79" s="487"/>
      <c r="F79" s="487"/>
      <c r="G79" s="487"/>
      <c r="H79" s="487"/>
      <c r="I79" s="487"/>
      <c r="J79" s="487"/>
      <c r="K79" s="488"/>
      <c r="L79" s="489"/>
      <c r="M79" s="490"/>
      <c r="N79" s="2977"/>
      <c r="O79" s="2977"/>
      <c r="P79" s="2986"/>
      <c r="Q79" s="2963"/>
      <c r="R79" s="2949"/>
      <c r="S79" s="2949"/>
      <c r="T79" s="2949"/>
      <c r="U79" s="2949"/>
      <c r="V79" s="2949"/>
      <c r="W79" s="2949"/>
      <c r="X79" s="2949"/>
      <c r="Y79" s="2949"/>
      <c r="Z79" s="2949"/>
      <c r="AA79" s="2949"/>
      <c r="AB79" s="2949"/>
      <c r="AC79" s="294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8"/>
      <c r="O80" s="2978"/>
      <c r="P80" s="2986"/>
      <c r="Q80" s="2963"/>
      <c r="R80" s="2949"/>
      <c r="S80" s="2949"/>
      <c r="T80" s="2949"/>
      <c r="U80" s="2949"/>
      <c r="V80" s="2949"/>
      <c r="W80" s="2949"/>
      <c r="X80" s="2949"/>
      <c r="Y80" s="2949"/>
      <c r="Z80" s="2949"/>
      <c r="AA80" s="2949"/>
      <c r="AB80" s="2949"/>
      <c r="AC80" s="2949"/>
    </row>
    <row r="81" spans="1:29" ht="15.75" thickTop="1">
      <c r="A81" s="491"/>
      <c r="B81" s="495" t="s">
        <v>2551</v>
      </c>
      <c r="C81" s="617"/>
      <c r="D81" s="617"/>
      <c r="E81" s="617"/>
      <c r="F81" s="617"/>
      <c r="G81" s="617"/>
      <c r="H81" s="617"/>
      <c r="I81" s="617"/>
      <c r="J81" s="617"/>
      <c r="K81" s="618"/>
      <c r="L81" s="619"/>
      <c r="M81" s="620"/>
      <c r="N81" s="2976"/>
      <c r="O81" s="2976"/>
      <c r="P81" s="2986"/>
      <c r="Q81" s="2963"/>
      <c r="R81" s="2949"/>
      <c r="S81" s="2949"/>
      <c r="T81" s="2949"/>
      <c r="U81" s="2949"/>
      <c r="V81" s="2949"/>
      <c r="W81" s="2949"/>
      <c r="X81" s="2949"/>
      <c r="Y81" s="2949"/>
      <c r="Z81" s="2949"/>
      <c r="AA81" s="2949"/>
      <c r="AB81" s="2949"/>
      <c r="AC81" s="2949"/>
    </row>
    <row r="82" spans="1:29" s="430" customFormat="1" ht="15.75" thickBot="1">
      <c r="A82" s="510"/>
      <c r="B82" s="500"/>
      <c r="C82" s="517"/>
      <c r="D82" s="493"/>
      <c r="E82" s="493"/>
      <c r="F82" s="493"/>
      <c r="G82" s="493"/>
      <c r="H82" s="493"/>
      <c r="I82" s="493"/>
      <c r="J82" s="493"/>
      <c r="K82" s="493"/>
      <c r="L82" s="493"/>
      <c r="M82" s="494"/>
      <c r="N82" s="2978"/>
      <c r="O82" s="2978"/>
      <c r="P82" s="2987"/>
      <c r="Q82" s="2970"/>
      <c r="R82" s="2971"/>
      <c r="S82" s="2971"/>
      <c r="T82" s="2971"/>
      <c r="U82" s="2971"/>
      <c r="V82" s="2971"/>
      <c r="W82" s="2971"/>
      <c r="X82" s="2971"/>
      <c r="Y82" s="2971"/>
      <c r="Z82" s="2971"/>
      <c r="AA82" s="2971"/>
      <c r="AB82" s="2971"/>
      <c r="AC82" s="2971"/>
    </row>
    <row r="83" spans="1:29" ht="15" thickTop="1">
      <c r="A83" s="556"/>
      <c r="B83" s="495" t="s">
        <v>2436</v>
      </c>
      <c r="C83" s="511"/>
      <c r="D83" s="511"/>
      <c r="E83" s="540"/>
      <c r="F83" s="540"/>
      <c r="G83" s="540"/>
      <c r="H83" s="540"/>
      <c r="I83" s="540"/>
      <c r="J83" s="540"/>
      <c r="K83" s="541"/>
      <c r="L83" s="542"/>
      <c r="M83" s="543"/>
      <c r="N83" s="2977"/>
      <c r="O83" s="2977"/>
      <c r="P83" s="2986"/>
      <c r="Q83" s="2963"/>
      <c r="R83" s="2949"/>
      <c r="S83" s="2949"/>
      <c r="T83" s="2949"/>
      <c r="U83" s="2949"/>
      <c r="V83" s="2949"/>
      <c r="W83" s="2949"/>
      <c r="X83" s="2949"/>
      <c r="Y83" s="2949"/>
      <c r="Z83" s="2949"/>
      <c r="AA83" s="2949"/>
      <c r="AB83" s="2949"/>
      <c r="AC83" s="294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8"/>
      <c r="O84" s="2978"/>
      <c r="P84" s="2986"/>
      <c r="Q84" s="2963"/>
      <c r="R84" s="2949"/>
      <c r="S84" s="2949"/>
      <c r="T84" s="2949"/>
      <c r="U84" s="2949"/>
      <c r="V84" s="2949"/>
      <c r="W84" s="2949"/>
      <c r="X84" s="2949"/>
      <c r="Y84" s="2949"/>
      <c r="Z84" s="2949"/>
      <c r="AA84" s="2949"/>
      <c r="AB84" s="2949"/>
      <c r="AC84" s="2949"/>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7"/>
      <c r="O85" s="2977"/>
      <c r="P85" s="2986"/>
      <c r="Q85" s="2963"/>
      <c r="R85" s="2949"/>
      <c r="S85" s="2949"/>
      <c r="T85" s="2949"/>
      <c r="U85" s="2949"/>
      <c r="V85" s="2949"/>
      <c r="W85" s="2949"/>
      <c r="X85" s="2949"/>
      <c r="Y85" s="2949"/>
      <c r="Z85" s="2949"/>
      <c r="AA85" s="2949"/>
      <c r="AB85" s="2949"/>
      <c r="AC85" s="2949"/>
    </row>
    <row r="86" spans="1:29">
      <c r="A86" s="556"/>
      <c r="B86" s="503"/>
      <c r="C86" s="560">
        <v>0.5</v>
      </c>
      <c r="D86" s="560">
        <v>0.6</v>
      </c>
      <c r="E86" s="560">
        <v>0.7</v>
      </c>
      <c r="F86" s="560">
        <v>0.8</v>
      </c>
      <c r="G86" s="560">
        <v>0.9</v>
      </c>
      <c r="H86" s="560">
        <v>1.0001</v>
      </c>
      <c r="I86" s="579"/>
      <c r="J86" s="579"/>
      <c r="K86" s="580"/>
      <c r="L86" s="581"/>
      <c r="M86" s="582"/>
      <c r="N86" s="2977"/>
      <c r="O86" s="2977"/>
      <c r="P86" s="2986"/>
      <c r="Q86" s="2963"/>
      <c r="R86" s="2949"/>
      <c r="S86" s="2949"/>
      <c r="T86" s="2949"/>
      <c r="U86" s="2949"/>
      <c r="V86" s="2949"/>
      <c r="W86" s="2949"/>
      <c r="X86" s="2949"/>
      <c r="Y86" s="2949"/>
      <c r="Z86" s="2949"/>
      <c r="AA86" s="2949"/>
      <c r="AB86" s="2949"/>
      <c r="AC86" s="294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8"/>
      <c r="O87" s="2978"/>
      <c r="P87" s="2986"/>
      <c r="Q87" s="2963"/>
      <c r="R87" s="2949"/>
      <c r="S87" s="2949"/>
      <c r="T87" s="2949"/>
      <c r="U87" s="2949"/>
      <c r="V87" s="2949"/>
      <c r="W87" s="2949"/>
      <c r="X87" s="2949"/>
      <c r="Y87" s="2949"/>
      <c r="Z87" s="2949"/>
      <c r="AA87" s="2949"/>
      <c r="AB87" s="2949"/>
      <c r="AC87" s="2949"/>
    </row>
    <row r="88" spans="1:29" ht="15" thickTop="1">
      <c r="A88" s="556"/>
      <c r="B88" s="503" t="s">
        <v>2553</v>
      </c>
      <c r="C88" s="487"/>
      <c r="D88" s="487"/>
      <c r="E88" s="487"/>
      <c r="F88" s="487"/>
      <c r="G88" s="487"/>
      <c r="H88" s="487"/>
      <c r="I88" s="487"/>
      <c r="J88" s="487"/>
      <c r="K88" s="488"/>
      <c r="L88" s="489"/>
      <c r="M88" s="490"/>
      <c r="N88" s="2977"/>
      <c r="O88" s="2977"/>
      <c r="P88" s="2986"/>
      <c r="Q88" s="2963"/>
      <c r="R88" s="2949"/>
      <c r="S88" s="2949"/>
      <c r="T88" s="2949"/>
      <c r="U88" s="2949"/>
      <c r="V88" s="2949"/>
      <c r="W88" s="2949"/>
      <c r="X88" s="2949"/>
      <c r="Y88" s="2949"/>
      <c r="Z88" s="2949"/>
      <c r="AA88" s="2949"/>
      <c r="AB88" s="2949"/>
      <c r="AC88" s="294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8"/>
      <c r="O89" s="2978"/>
      <c r="P89" s="2986"/>
      <c r="Q89" s="2963"/>
      <c r="R89" s="2949"/>
      <c r="S89" s="2949"/>
      <c r="T89" s="2949"/>
      <c r="U89" s="2949"/>
      <c r="V89" s="2949"/>
      <c r="W89" s="2949"/>
      <c r="X89" s="2949"/>
      <c r="Y89" s="2949"/>
      <c r="Z89" s="2949"/>
      <c r="AA89" s="2949"/>
      <c r="AB89" s="2949"/>
      <c r="AC89" s="2949"/>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9"/>
      <c r="O90" s="2979"/>
      <c r="P90" s="2987"/>
      <c r="Q90" s="2970"/>
      <c r="R90" s="2971"/>
      <c r="S90" s="2971"/>
      <c r="T90" s="2971"/>
      <c r="U90" s="2971"/>
      <c r="V90" s="2971"/>
      <c r="W90" s="2971"/>
      <c r="X90" s="2971"/>
      <c r="Y90" s="2971"/>
      <c r="Z90" s="2971"/>
      <c r="AA90" s="2971"/>
      <c r="AB90" s="2971"/>
      <c r="AC90" s="2971"/>
    </row>
    <row r="91" spans="1:29" s="430" customFormat="1">
      <c r="A91" s="550"/>
      <c r="B91" s="503"/>
      <c r="C91" s="552"/>
      <c r="D91" s="552"/>
      <c r="E91" s="552"/>
      <c r="F91" s="552"/>
      <c r="G91" s="552"/>
      <c r="H91" s="552"/>
      <c r="I91" s="552"/>
      <c r="J91" s="553"/>
      <c r="K91" s="553"/>
      <c r="L91" s="554"/>
      <c r="M91" s="555"/>
      <c r="N91" s="2979"/>
      <c r="O91" s="2979"/>
      <c r="P91" s="2987"/>
      <c r="Q91" s="2970"/>
      <c r="R91" s="2971"/>
      <c r="S91" s="2971"/>
      <c r="T91" s="2971"/>
      <c r="U91" s="2971"/>
      <c r="V91" s="2971"/>
      <c r="W91" s="2971"/>
      <c r="X91" s="2971"/>
      <c r="Y91" s="2971"/>
      <c r="Z91" s="2971"/>
      <c r="AA91" s="2971"/>
      <c r="AB91" s="2971"/>
      <c r="AC91" s="2971"/>
    </row>
    <row r="92" spans="1:29" s="430" customFormat="1" ht="15.75" thickBot="1">
      <c r="A92" s="510"/>
      <c r="B92" s="500"/>
      <c r="C92" s="517"/>
      <c r="D92" s="493"/>
      <c r="E92" s="493"/>
      <c r="F92" s="493"/>
      <c r="G92" s="493"/>
      <c r="H92" s="493"/>
      <c r="I92" s="493"/>
      <c r="J92" s="493"/>
      <c r="K92" s="493"/>
      <c r="L92" s="493"/>
      <c r="M92" s="494"/>
      <c r="N92" s="2979"/>
      <c r="O92" s="2979"/>
      <c r="P92" s="2987"/>
      <c r="Q92" s="2970"/>
      <c r="R92" s="2971"/>
      <c r="S92" s="2971"/>
      <c r="T92" s="2971"/>
      <c r="U92" s="2971"/>
      <c r="V92" s="2971"/>
      <c r="W92" s="2971"/>
      <c r="X92" s="2971"/>
      <c r="Y92" s="2971"/>
      <c r="Z92" s="2971"/>
      <c r="AA92" s="2971"/>
      <c r="AB92" s="2971"/>
      <c r="AC92" s="2971"/>
    </row>
    <row r="93" spans="1:29" ht="15" thickTop="1">
      <c r="A93" s="556"/>
      <c r="B93" s="495" t="s">
        <v>2555</v>
      </c>
      <c r="C93" s="511"/>
      <c r="D93" s="511"/>
      <c r="E93" s="540"/>
      <c r="F93" s="540"/>
      <c r="G93" s="540"/>
      <c r="H93" s="540"/>
      <c r="I93" s="540"/>
      <c r="J93" s="540"/>
      <c r="K93" s="541"/>
      <c r="L93" s="542"/>
      <c r="M93" s="543"/>
      <c r="N93" s="2977"/>
      <c r="O93" s="2977"/>
      <c r="P93" s="2986"/>
      <c r="Q93" s="2963"/>
      <c r="R93" s="2949"/>
      <c r="S93" s="2949"/>
      <c r="T93" s="2949"/>
      <c r="U93" s="2949"/>
      <c r="V93" s="2949"/>
      <c r="W93" s="2949"/>
      <c r="X93" s="2949"/>
      <c r="Y93" s="2949"/>
      <c r="Z93" s="2949"/>
      <c r="AA93" s="2949"/>
      <c r="AB93" s="2949"/>
      <c r="AC93" s="294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8"/>
      <c r="O94" s="2978"/>
      <c r="P94" s="2986"/>
      <c r="Q94" s="2963"/>
      <c r="R94" s="2949"/>
      <c r="S94" s="2949"/>
      <c r="T94" s="2949"/>
      <c r="U94" s="2949"/>
      <c r="V94" s="2949"/>
      <c r="W94" s="2949"/>
      <c r="X94" s="2949"/>
      <c r="Y94" s="2949"/>
      <c r="Z94" s="2949"/>
      <c r="AA94" s="2949"/>
      <c r="AB94" s="2949"/>
      <c r="AC94" s="2949"/>
    </row>
    <row r="95" spans="1:29" ht="15" thickTop="1">
      <c r="A95" s="556"/>
      <c r="B95" s="495" t="s">
        <v>2556</v>
      </c>
      <c r="C95" s="487"/>
      <c r="D95" s="487"/>
      <c r="E95" s="487"/>
      <c r="F95" s="487"/>
      <c r="G95" s="487"/>
      <c r="H95" s="487"/>
      <c r="I95" s="487"/>
      <c r="J95" s="487"/>
      <c r="K95" s="488"/>
      <c r="L95" s="489"/>
      <c r="M95" s="490"/>
      <c r="N95" s="2977"/>
      <c r="O95" s="2977"/>
      <c r="P95" s="2986"/>
      <c r="Q95" s="2963"/>
      <c r="R95" s="2949"/>
      <c r="S95" s="2949"/>
      <c r="T95" s="2949"/>
      <c r="U95" s="2949"/>
      <c r="V95" s="2949"/>
      <c r="W95" s="2949"/>
      <c r="X95" s="2949"/>
      <c r="Y95" s="2949"/>
      <c r="Z95" s="2949"/>
      <c r="AA95" s="2949"/>
      <c r="AB95" s="2949"/>
      <c r="AC95" s="294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8"/>
      <c r="O96" s="2978"/>
      <c r="P96" s="2986"/>
      <c r="Q96" s="2963"/>
      <c r="R96" s="2949"/>
      <c r="S96" s="2949"/>
      <c r="T96" s="2949"/>
      <c r="U96" s="2949"/>
      <c r="V96" s="2949"/>
      <c r="W96" s="2949"/>
      <c r="X96" s="2949"/>
      <c r="Y96" s="2949"/>
      <c r="Z96" s="2949"/>
      <c r="AA96" s="2949"/>
      <c r="AB96" s="2949"/>
      <c r="AC96" s="2949"/>
    </row>
    <row r="97" spans="1:29" ht="15" thickTop="1">
      <c r="A97" s="556"/>
      <c r="B97" s="592">
        <f>B34</f>
        <v>111</v>
      </c>
      <c r="C97" s="506"/>
      <c r="D97" s="506"/>
      <c r="E97" s="506"/>
      <c r="F97" s="506"/>
      <c r="G97" s="511"/>
      <c r="H97" s="512"/>
      <c r="I97" s="512"/>
      <c r="J97" s="512"/>
      <c r="K97" s="512"/>
      <c r="L97" s="513"/>
      <c r="M97" s="514"/>
      <c r="N97" s="2978"/>
      <c r="O97" s="2978"/>
      <c r="P97" s="2991"/>
      <c r="Q97" s="2992"/>
      <c r="R97" s="2949"/>
      <c r="S97" s="2949"/>
      <c r="T97" s="2949"/>
      <c r="U97" s="2949"/>
      <c r="V97" s="2949"/>
      <c r="W97" s="2949"/>
      <c r="X97" s="2949"/>
      <c r="Y97" s="2949"/>
      <c r="Z97" s="2949"/>
      <c r="AA97" s="2949"/>
      <c r="AB97" s="2949"/>
      <c r="AC97" s="2949"/>
    </row>
    <row r="98" spans="1:29" ht="15.75" thickBot="1">
      <c r="A98" s="491"/>
      <c r="B98" s="500"/>
      <c r="C98" s="517"/>
      <c r="D98" s="493"/>
      <c r="E98" s="493"/>
      <c r="F98" s="493"/>
      <c r="G98" s="517"/>
      <c r="H98" s="519"/>
      <c r="I98" s="519"/>
      <c r="J98" s="519"/>
      <c r="K98" s="519"/>
      <c r="L98" s="519"/>
      <c r="M98" s="520"/>
      <c r="N98" s="2978"/>
      <c r="O98" s="2978"/>
      <c r="P98" s="2986"/>
      <c r="Q98" s="2963"/>
      <c r="R98" s="2949"/>
      <c r="S98" s="2949"/>
      <c r="T98" s="2949"/>
      <c r="U98" s="2949"/>
      <c r="V98" s="2949"/>
      <c r="W98" s="2949"/>
      <c r="X98" s="2949"/>
      <c r="Y98" s="2949"/>
      <c r="Z98" s="2949"/>
      <c r="AA98" s="2949"/>
      <c r="AB98" s="2949"/>
      <c r="AC98" s="2949"/>
    </row>
    <row r="99" spans="1:29" s="430" customFormat="1" ht="15" thickTop="1">
      <c r="A99" s="550"/>
      <c r="B99" s="495">
        <f>B35</f>
        <v>111</v>
      </c>
      <c r="C99" s="506"/>
      <c r="D99" s="506"/>
      <c r="E99" s="506"/>
      <c r="F99" s="506"/>
      <c r="G99" s="511"/>
      <c r="H99" s="512"/>
      <c r="I99" s="512"/>
      <c r="J99" s="512"/>
      <c r="K99" s="512"/>
      <c r="L99" s="513"/>
      <c r="M99" s="514"/>
      <c r="N99" s="2979"/>
      <c r="O99" s="2979"/>
      <c r="P99" s="2987"/>
      <c r="Q99" s="2970"/>
      <c r="R99" s="2971"/>
      <c r="S99" s="2971"/>
      <c r="T99" s="2971"/>
      <c r="U99" s="2971"/>
      <c r="V99" s="2971"/>
      <c r="W99" s="2971"/>
      <c r="X99" s="2971"/>
      <c r="Y99" s="2971"/>
      <c r="Z99" s="2971"/>
      <c r="AA99" s="2971"/>
      <c r="AB99" s="2971"/>
      <c r="AC99" s="2971"/>
    </row>
    <row r="100" spans="1:29" s="430" customFormat="1" ht="15.75" thickBot="1">
      <c r="A100" s="510"/>
      <c r="B100" s="492"/>
      <c r="C100" s="517"/>
      <c r="D100" s="493"/>
      <c r="E100" s="493"/>
      <c r="F100" s="493"/>
      <c r="G100" s="517"/>
      <c r="H100" s="519"/>
      <c r="I100" s="519"/>
      <c r="J100" s="519"/>
      <c r="K100" s="519"/>
      <c r="L100" s="519"/>
      <c r="M100" s="520"/>
      <c r="N100" s="2979"/>
      <c r="O100" s="2979"/>
      <c r="P100" s="2987"/>
      <c r="Q100" s="2970"/>
      <c r="R100" s="2971"/>
      <c r="S100" s="2971"/>
      <c r="T100" s="2971"/>
      <c r="U100" s="2971"/>
      <c r="V100" s="2971"/>
      <c r="W100" s="2971"/>
      <c r="X100" s="2971"/>
      <c r="Y100" s="2971"/>
      <c r="Z100" s="2971"/>
      <c r="AA100" s="2971"/>
      <c r="AB100" s="2971"/>
      <c r="AC100" s="2971"/>
    </row>
    <row r="101" spans="1:29" ht="15" thickTop="1">
      <c r="A101" s="556"/>
      <c r="B101" s="495">
        <f>B36</f>
        <v>111</v>
      </c>
      <c r="C101" s="511"/>
      <c r="D101" s="511"/>
      <c r="E101" s="511"/>
      <c r="F101" s="511"/>
      <c r="G101" s="511"/>
      <c r="H101" s="512"/>
      <c r="I101" s="512"/>
      <c r="J101" s="512"/>
      <c r="K101" s="512"/>
      <c r="L101" s="513"/>
      <c r="M101" s="514"/>
      <c r="N101" s="2977"/>
      <c r="O101" s="2977"/>
      <c r="P101" s="2986"/>
      <c r="Q101" s="2963"/>
      <c r="R101" s="2949"/>
      <c r="S101" s="2949"/>
      <c r="T101" s="2949"/>
      <c r="U101" s="2949"/>
      <c r="V101" s="2949"/>
      <c r="W101" s="2949"/>
      <c r="X101" s="2949"/>
      <c r="Y101" s="2949"/>
      <c r="Z101" s="2949"/>
      <c r="AA101" s="2949"/>
      <c r="AB101" s="2949"/>
      <c r="AC101" s="2949"/>
    </row>
    <row r="102" spans="1:29" ht="15.75" thickBot="1">
      <c r="A102" s="491"/>
      <c r="B102" s="500"/>
      <c r="C102" s="517"/>
      <c r="D102" s="517"/>
      <c r="E102" s="517"/>
      <c r="F102" s="517"/>
      <c r="G102" s="517"/>
      <c r="H102" s="519"/>
      <c r="I102" s="519"/>
      <c r="J102" s="519"/>
      <c r="K102" s="519"/>
      <c r="L102" s="519"/>
      <c r="M102" s="520"/>
      <c r="N102" s="2978"/>
      <c r="O102" s="2978"/>
      <c r="P102" s="2986"/>
      <c r="Q102" s="2963"/>
      <c r="R102" s="2949"/>
      <c r="S102" s="2949"/>
      <c r="T102" s="2949"/>
      <c r="U102" s="2949"/>
      <c r="V102" s="2949"/>
      <c r="W102" s="2949"/>
      <c r="X102" s="2949"/>
      <c r="Y102" s="2949"/>
      <c r="Z102" s="2949"/>
      <c r="AA102" s="2949"/>
      <c r="AB102" s="2949"/>
      <c r="AC102" s="2949"/>
    </row>
    <row r="103" spans="1:29" ht="15" thickTop="1">
      <c r="N103" s="2949"/>
      <c r="O103" s="2949"/>
      <c r="P103" s="2980"/>
      <c r="Q103" s="2949"/>
      <c r="R103" s="2949"/>
      <c r="S103" s="2949"/>
      <c r="T103" s="2949"/>
      <c r="U103" s="2949"/>
      <c r="V103" s="2949"/>
      <c r="W103" s="2949"/>
      <c r="X103" s="2949"/>
      <c r="Y103" s="2949"/>
      <c r="Z103" s="2949"/>
      <c r="AA103" s="2949"/>
      <c r="AB103" s="2949"/>
      <c r="AC103"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58"/>
      <c r="M2" s="2959"/>
      <c r="N2" s="2959"/>
      <c r="O2" s="2959"/>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58"/>
      <c r="M3" s="2959"/>
      <c r="N3" s="2959"/>
      <c r="O3" s="2959"/>
      <c r="P3" s="708"/>
      <c r="Q3" s="708"/>
      <c r="R3" s="708"/>
      <c r="S3" s="708"/>
      <c r="T3" s="708"/>
      <c r="U3" s="708"/>
      <c r="V3" s="708"/>
      <c r="W3" s="708"/>
      <c r="X3" s="708"/>
      <c r="Y3" s="708"/>
      <c r="Z3" s="708"/>
      <c r="AA3" s="708"/>
      <c r="AB3" s="725"/>
      <c r="AC3" s="722"/>
    </row>
    <row r="4" spans="1:29" ht="15">
      <c r="A4" s="361" t="s">
        <v>2465</v>
      </c>
      <c r="B4" s="362"/>
      <c r="C4" s="3302" t="s">
        <v>2466</v>
      </c>
      <c r="D4" s="3303"/>
      <c r="E4" s="3304" t="s">
        <v>2467</v>
      </c>
      <c r="F4" s="3305"/>
      <c r="G4" s="3302" t="s">
        <v>2468</v>
      </c>
      <c r="H4" s="3303"/>
      <c r="I4" s="3302" t="s">
        <v>2469</v>
      </c>
      <c r="J4" s="3303"/>
      <c r="K4" s="567" t="s">
        <v>2470</v>
      </c>
      <c r="L4" s="2939"/>
      <c r="M4" s="2940"/>
      <c r="N4" s="2940"/>
      <c r="O4" s="2940"/>
      <c r="P4" s="3306" t="s">
        <v>2471</v>
      </c>
      <c r="Q4" s="3307"/>
      <c r="R4" s="3312" t="s">
        <v>2467</v>
      </c>
      <c r="S4" s="3313"/>
      <c r="T4" s="3312" t="s">
        <v>2468</v>
      </c>
      <c r="U4" s="3313"/>
      <c r="V4" s="3318" t="s">
        <v>2469</v>
      </c>
      <c r="W4" s="3318"/>
      <c r="X4" s="1539"/>
      <c r="Y4" s="3312" t="s">
        <v>2471</v>
      </c>
      <c r="Z4" s="3313"/>
      <c r="AA4" s="3299" t="s">
        <v>2467</v>
      </c>
      <c r="AB4" s="3300" t="s">
        <v>2468</v>
      </c>
      <c r="AC4" s="3299" t="s">
        <v>2469</v>
      </c>
    </row>
    <row r="5" spans="1:29" ht="15">
      <c r="A5" s="364"/>
      <c r="B5" s="365"/>
      <c r="C5" s="3362" t="s">
        <v>2362</v>
      </c>
      <c r="D5" s="3327"/>
      <c r="E5" s="3365" t="s">
        <v>2363</v>
      </c>
      <c r="F5" s="3366"/>
      <c r="G5" s="3362" t="s">
        <v>2364</v>
      </c>
      <c r="H5" s="3327"/>
      <c r="I5" s="3362" t="s">
        <v>2365</v>
      </c>
      <c r="J5" s="3327"/>
      <c r="K5" s="567"/>
      <c r="L5" s="2939"/>
      <c r="M5" s="2940"/>
      <c r="N5" s="2940"/>
      <c r="O5" s="2940"/>
      <c r="P5" s="3308"/>
      <c r="Q5" s="3309"/>
      <c r="R5" s="3314"/>
      <c r="S5" s="3315"/>
      <c r="T5" s="3314"/>
      <c r="U5" s="3315"/>
      <c r="V5" s="3318"/>
      <c r="W5" s="3318"/>
      <c r="X5" s="1539"/>
      <c r="Y5" s="3314"/>
      <c r="Z5" s="3315"/>
      <c r="AA5" s="3300"/>
      <c r="AB5" s="3300"/>
      <c r="AC5" s="3300"/>
    </row>
    <row r="6" spans="1:29" ht="15.75" thickBot="1">
      <c r="A6" s="366"/>
      <c r="B6" s="367"/>
      <c r="C6" s="3328" t="s">
        <v>2366</v>
      </c>
      <c r="D6" s="3329"/>
      <c r="E6" s="3363" t="s">
        <v>2366</v>
      </c>
      <c r="F6" s="3364"/>
      <c r="G6" s="3328" t="s">
        <v>2366</v>
      </c>
      <c r="H6" s="3329"/>
      <c r="I6" s="3328" t="s">
        <v>2366</v>
      </c>
      <c r="J6" s="3329"/>
      <c r="K6" s="567" t="s">
        <v>2367</v>
      </c>
      <c r="L6" s="2939"/>
      <c r="M6" s="2940"/>
      <c r="N6" s="2940"/>
      <c r="O6" s="2940"/>
      <c r="P6" s="3310"/>
      <c r="Q6" s="3311"/>
      <c r="R6" s="3314"/>
      <c r="S6" s="3315"/>
      <c r="T6" s="3316"/>
      <c r="U6" s="3317"/>
      <c r="V6" s="3318"/>
      <c r="W6" s="3318"/>
      <c r="X6" s="1539"/>
      <c r="Y6" s="3316"/>
      <c r="Z6" s="3317"/>
      <c r="AA6" s="3301"/>
      <c r="AB6" s="3301"/>
      <c r="AC6" s="3301"/>
    </row>
    <row r="7" spans="1:29" s="113" customFormat="1" ht="15.75" thickBot="1">
      <c r="A7" s="368" t="s">
        <v>2368</v>
      </c>
      <c r="B7" s="369"/>
      <c r="C7" s="370">
        <f>'数据-取费表'!B2</f>
        <v>44523</v>
      </c>
      <c r="D7" s="371">
        <v>100</v>
      </c>
      <c r="E7" s="372"/>
      <c r="F7" s="373">
        <f>SUMIF(46:46,YEAR(E7)&amp;"-"&amp;MONTH(E7),47:47)</f>
        <v>0</v>
      </c>
      <c r="G7" s="2159"/>
      <c r="H7" s="371">
        <f>SUMIF(46:46,YEAR(G7)&amp;"-"&amp;MONTH(G7),47:47)</f>
        <v>0</v>
      </c>
      <c r="I7" s="372"/>
      <c r="J7" s="371">
        <f>SUMIF(46:46,YEAR(I7)&amp;"-"&amp;MONTH(I7),47:47)</f>
        <v>0</v>
      </c>
      <c r="K7" s="568"/>
      <c r="L7" s="2941"/>
      <c r="M7" s="2942"/>
      <c r="N7" s="2942"/>
      <c r="O7" s="2942"/>
      <c r="P7" s="3323" t="s">
        <v>2369</v>
      </c>
      <c r="Q7" s="3325"/>
      <c r="R7" s="710" t="s">
        <v>17</v>
      </c>
      <c r="S7" s="711">
        <f t="shared" ref="S7:S14" si="0">F7</f>
        <v>0</v>
      </c>
      <c r="T7" s="710" t="s">
        <v>17</v>
      </c>
      <c r="U7" s="711">
        <f t="shared" ref="U7:U14" si="1">H7</f>
        <v>0</v>
      </c>
      <c r="V7" s="710" t="s">
        <v>17</v>
      </c>
      <c r="W7" s="711">
        <f t="shared" ref="W7:W14" si="2">J7</f>
        <v>0</v>
      </c>
      <c r="X7" s="712"/>
      <c r="Y7" s="3323" t="s">
        <v>2369</v>
      </c>
      <c r="Z7" s="3324"/>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1"/>
      <c r="M8" s="2942"/>
      <c r="N8" s="2942"/>
      <c r="O8" s="2942"/>
      <c r="P8" s="3323" t="s">
        <v>2372</v>
      </c>
      <c r="Q8" s="3324"/>
      <c r="R8" s="710" t="s">
        <v>17</v>
      </c>
      <c r="S8" s="711">
        <f t="shared" si="0"/>
        <v>0</v>
      </c>
      <c r="T8" s="710" t="s">
        <v>17</v>
      </c>
      <c r="U8" s="711">
        <f t="shared" si="1"/>
        <v>0</v>
      </c>
      <c r="V8" s="710" t="s">
        <v>17</v>
      </c>
      <c r="W8" s="711">
        <f t="shared" si="2"/>
        <v>0</v>
      </c>
      <c r="X8" s="712"/>
      <c r="Y8" s="3323" t="s">
        <v>2372</v>
      </c>
      <c r="Z8" s="3324"/>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1"/>
      <c r="M9" s="2942"/>
      <c r="N9" s="2942"/>
      <c r="O9" s="2996"/>
      <c r="P9" s="3287" t="s">
        <v>2375</v>
      </c>
      <c r="Q9" s="1527" t="str">
        <f t="shared" ref="Q9:Q14" si="6">B9</f>
        <v>用途</v>
      </c>
      <c r="R9" s="710" t="s">
        <v>17</v>
      </c>
      <c r="S9" s="711">
        <f t="shared" si="0"/>
        <v>100</v>
      </c>
      <c r="T9" s="710" t="s">
        <v>17</v>
      </c>
      <c r="U9" s="711">
        <f t="shared" si="1"/>
        <v>100</v>
      </c>
      <c r="V9" s="710" t="s">
        <v>17</v>
      </c>
      <c r="W9" s="711">
        <f t="shared" si="2"/>
        <v>100</v>
      </c>
      <c r="X9" s="712"/>
      <c r="Y9" s="3185"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3"/>
      <c r="M10" s="2944"/>
      <c r="N10" s="2944"/>
      <c r="O10" s="2997"/>
      <c r="P10" s="3287"/>
      <c r="Q10" s="1527"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5"/>
      <c r="M11" s="2940"/>
      <c r="N11" s="2940"/>
      <c r="O11" s="2998"/>
      <c r="P11" s="3287"/>
      <c r="Q11" s="1527">
        <f t="shared" si="6"/>
        <v>111</v>
      </c>
      <c r="R11" s="710" t="s">
        <v>17</v>
      </c>
      <c r="S11" s="711">
        <f t="shared" si="0"/>
        <v>100</v>
      </c>
      <c r="T11" s="710" t="s">
        <v>17</v>
      </c>
      <c r="U11" s="711">
        <f t="shared" si="1"/>
        <v>100</v>
      </c>
      <c r="V11" s="710" t="s">
        <v>17</v>
      </c>
      <c r="W11" s="711">
        <f t="shared" si="2"/>
        <v>100</v>
      </c>
      <c r="X11" s="712"/>
      <c r="Y11" s="3185"/>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1"/>
      <c r="M12" s="2942"/>
      <c r="N12" s="2942"/>
      <c r="O12" s="2996"/>
      <c r="P12" s="3287"/>
      <c r="Q12" s="1527">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46"/>
      <c r="M13" s="2940"/>
      <c r="N13" s="2940"/>
      <c r="O13" s="2998"/>
      <c r="P13" s="3287"/>
      <c r="Q13" s="1527">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713">
        <f t="shared" si="5"/>
        <v>1</v>
      </c>
    </row>
    <row r="14" spans="1:29" ht="85.5">
      <c r="A14" s="399" t="s">
        <v>2379</v>
      </c>
      <c r="B14" s="65" t="s">
        <v>2529</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6"/>
      <c r="M14" s="2940"/>
      <c r="N14" s="2940"/>
      <c r="O14" s="2998"/>
      <c r="P14" s="3289" t="s">
        <v>2380</v>
      </c>
      <c r="Q14" s="1536" t="str">
        <f t="shared" si="6"/>
        <v>交通便捷度</v>
      </c>
      <c r="R14" s="714" t="s">
        <v>17</v>
      </c>
      <c r="S14" s="715">
        <f t="shared" si="0"/>
        <v>100</v>
      </c>
      <c r="T14" s="714" t="s">
        <v>17</v>
      </c>
      <c r="U14" s="715">
        <f t="shared" si="1"/>
        <v>100</v>
      </c>
      <c r="V14" s="714" t="s">
        <v>17</v>
      </c>
      <c r="W14" s="715">
        <f t="shared" si="2"/>
        <v>100</v>
      </c>
      <c r="X14" s="1539"/>
      <c r="Y14" s="3289"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6"/>
      <c r="M15" s="2940"/>
      <c r="N15" s="2940"/>
      <c r="O15" s="2998"/>
      <c r="P15" s="3290"/>
      <c r="Q15" s="1536"/>
      <c r="R15" s="714"/>
      <c r="S15" s="715"/>
      <c r="T15" s="714"/>
      <c r="U15" s="715"/>
      <c r="V15" s="714"/>
      <c r="W15" s="715"/>
      <c r="X15" s="1539"/>
      <c r="Y15" s="3290"/>
      <c r="Z15" s="1540"/>
      <c r="AA15" s="1537">
        <v>1</v>
      </c>
      <c r="AB15" s="1537">
        <v>1</v>
      </c>
      <c r="AC15" s="1537">
        <v>1</v>
      </c>
    </row>
    <row r="16" spans="1:29" ht="42.75">
      <c r="A16" s="387"/>
      <c r="B16" s="410" t="s">
        <v>2508</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6"/>
      <c r="M16" s="2940"/>
      <c r="N16" s="2940"/>
      <c r="O16" s="2998"/>
      <c r="P16" s="3290"/>
      <c r="Q16" s="1536" t="str">
        <f>B16</f>
        <v>公共配套设施</v>
      </c>
      <c r="R16" s="714" t="s">
        <v>17</v>
      </c>
      <c r="S16" s="715">
        <f>F16</f>
        <v>100</v>
      </c>
      <c r="T16" s="714" t="s">
        <v>17</v>
      </c>
      <c r="U16" s="715">
        <f>H16</f>
        <v>100</v>
      </c>
      <c r="V16" s="714" t="s">
        <v>17</v>
      </c>
      <c r="W16" s="715">
        <f>J16</f>
        <v>100</v>
      </c>
      <c r="X16" s="1539"/>
      <c r="Y16" s="3290"/>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46"/>
      <c r="M17" s="2940"/>
      <c r="N17" s="2940"/>
      <c r="O17" s="2998"/>
      <c r="P17" s="3290"/>
      <c r="Q17" s="1536"/>
      <c r="R17" s="714"/>
      <c r="S17" s="715"/>
      <c r="T17" s="714"/>
      <c r="U17" s="715"/>
      <c r="V17" s="714"/>
      <c r="W17" s="715"/>
      <c r="X17" s="1539"/>
      <c r="Y17" s="3290"/>
      <c r="Z17" s="1540"/>
      <c r="AA17" s="1537">
        <v>1</v>
      </c>
      <c r="AB17" s="1537">
        <v>1</v>
      </c>
      <c r="AC17" s="1537">
        <v>1</v>
      </c>
    </row>
    <row r="18" spans="1:29" ht="28.5">
      <c r="A18" s="387"/>
      <c r="B18" s="1293" t="s">
        <v>2509</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6"/>
      <c r="M18" s="2940"/>
      <c r="N18" s="2940"/>
      <c r="O18" s="2998"/>
      <c r="P18" s="3290"/>
      <c r="Q18" s="1536" t="str">
        <f>B18</f>
        <v>基础设施水平</v>
      </c>
      <c r="R18" s="714" t="s">
        <v>17</v>
      </c>
      <c r="S18" s="715">
        <f>F18</f>
        <v>100</v>
      </c>
      <c r="T18" s="714" t="s">
        <v>17</v>
      </c>
      <c r="U18" s="715">
        <f>H18</f>
        <v>100</v>
      </c>
      <c r="V18" s="714" t="s">
        <v>17</v>
      </c>
      <c r="W18" s="715">
        <f>J18</f>
        <v>100</v>
      </c>
      <c r="X18" s="1539"/>
      <c r="Y18" s="3290"/>
      <c r="Z18" s="1540" t="str">
        <f>Q18</f>
        <v>基础设施水平</v>
      </c>
      <c r="AA18" s="1537">
        <f t="shared" ref="AA18" si="8">D18/F18</f>
        <v>1</v>
      </c>
      <c r="AB18" s="1537">
        <f t="shared" ref="AB18" si="9">D18/H18</f>
        <v>1</v>
      </c>
      <c r="AC18" s="1537">
        <f t="shared" ref="AC18" si="10">D18/J18</f>
        <v>1</v>
      </c>
    </row>
    <row r="19" spans="1:29" ht="15">
      <c r="A19" s="387"/>
      <c r="B19" s="1293"/>
      <c r="C19" s="2086"/>
      <c r="D19" s="409"/>
      <c r="E19" s="2086"/>
      <c r="F19" s="412"/>
      <c r="G19" s="2086"/>
      <c r="H19" s="407"/>
      <c r="I19" s="406"/>
      <c r="J19" s="407"/>
      <c r="K19" s="1292"/>
      <c r="L19" s="2946"/>
      <c r="M19" s="2940"/>
      <c r="N19" s="2940"/>
      <c r="O19" s="2998"/>
      <c r="P19" s="3290"/>
      <c r="Q19" s="1536"/>
      <c r="R19" s="714"/>
      <c r="S19" s="715"/>
      <c r="T19" s="714"/>
      <c r="U19" s="715"/>
      <c r="V19" s="714"/>
      <c r="W19" s="715"/>
      <c r="X19" s="1539"/>
      <c r="Y19" s="3290"/>
      <c r="Z19" s="1540"/>
      <c r="AA19" s="1537">
        <v>1</v>
      </c>
      <c r="AB19" s="1537">
        <v>1</v>
      </c>
      <c r="AC19" s="1537">
        <v>1</v>
      </c>
    </row>
    <row r="20" spans="1:29" ht="57">
      <c r="A20" s="387"/>
      <c r="B20" s="410" t="s">
        <v>2530</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6"/>
      <c r="M20" s="2940"/>
      <c r="N20" s="2940"/>
      <c r="O20" s="2998"/>
      <c r="P20" s="3290"/>
      <c r="Q20" s="1536" t="str">
        <f>B20</f>
        <v>自然及人文环境</v>
      </c>
      <c r="R20" s="714" t="s">
        <v>17</v>
      </c>
      <c r="S20" s="715">
        <f>F20</f>
        <v>100</v>
      </c>
      <c r="T20" s="714" t="s">
        <v>17</v>
      </c>
      <c r="U20" s="715">
        <f>H20</f>
        <v>100</v>
      </c>
      <c r="V20" s="714" t="s">
        <v>17</v>
      </c>
      <c r="W20" s="715">
        <f>J20</f>
        <v>100</v>
      </c>
      <c r="X20" s="1539"/>
      <c r="Y20" s="3290"/>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6"/>
      <c r="M21" s="2940"/>
      <c r="N21" s="2940"/>
      <c r="O21" s="2998"/>
      <c r="P21" s="3290"/>
      <c r="Q21" s="1536"/>
      <c r="R21" s="714"/>
      <c r="S21" s="715"/>
      <c r="T21" s="714"/>
      <c r="U21" s="715"/>
      <c r="V21" s="714"/>
      <c r="W21" s="715"/>
      <c r="X21" s="1539"/>
      <c r="Y21" s="3290"/>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6"/>
      <c r="M22" s="2940"/>
      <c r="N22" s="2940"/>
      <c r="O22" s="2998"/>
      <c r="P22" s="3290"/>
      <c r="Q22" s="1536" t="str">
        <f>B22</f>
        <v>楼层</v>
      </c>
      <c r="R22" s="714" t="s">
        <v>17</v>
      </c>
      <c r="S22" s="715">
        <f>F22</f>
        <v>100</v>
      </c>
      <c r="T22" s="714" t="s">
        <v>17</v>
      </c>
      <c r="U22" s="715">
        <f>H22</f>
        <v>100</v>
      </c>
      <c r="V22" s="714" t="s">
        <v>17</v>
      </c>
      <c r="W22" s="715">
        <f>J22</f>
        <v>100</v>
      </c>
      <c r="X22" s="1539"/>
      <c r="Y22" s="3290"/>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46"/>
      <c r="M23" s="2940"/>
      <c r="N23" s="2940"/>
      <c r="O23" s="2998"/>
      <c r="P23" s="3290"/>
      <c r="Q23" s="1536">
        <f>B23</f>
        <v>111</v>
      </c>
      <c r="R23" s="714" t="s">
        <v>17</v>
      </c>
      <c r="S23" s="715">
        <f>F23</f>
        <v>100</v>
      </c>
      <c r="T23" s="714" t="s">
        <v>17</v>
      </c>
      <c r="U23" s="715">
        <f>H23</f>
        <v>100</v>
      </c>
      <c r="V23" s="714" t="s">
        <v>17</v>
      </c>
      <c r="W23" s="715">
        <f>J23</f>
        <v>100</v>
      </c>
      <c r="X23" s="1539"/>
      <c r="Y23" s="3290"/>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46"/>
      <c r="M24" s="2940"/>
      <c r="N24" s="2940"/>
      <c r="O24" s="2998"/>
      <c r="P24" s="3290"/>
      <c r="Q24" s="1536">
        <f t="shared" ref="Q24:Q34" si="11">B24</f>
        <v>111</v>
      </c>
      <c r="R24" s="714" t="s">
        <v>17</v>
      </c>
      <c r="S24" s="715">
        <f>F24</f>
        <v>100</v>
      </c>
      <c r="T24" s="714" t="s">
        <v>17</v>
      </c>
      <c r="U24" s="715">
        <f>H24</f>
        <v>100</v>
      </c>
      <c r="V24" s="714" t="s">
        <v>17</v>
      </c>
      <c r="W24" s="715">
        <f>J24</f>
        <v>100</v>
      </c>
      <c r="X24" s="1539"/>
      <c r="Y24" s="3290"/>
      <c r="Z24" s="1540">
        <f>Q24</f>
        <v>111</v>
      </c>
      <c r="AA24" s="1537">
        <f t="shared" si="3"/>
        <v>1</v>
      </c>
      <c r="AB24" s="1537">
        <f t="shared" si="4"/>
        <v>1</v>
      </c>
      <c r="AC24" s="1537">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1"/>
      <c r="M25" s="2942"/>
      <c r="N25" s="2942"/>
      <c r="O25" s="2996"/>
      <c r="P25" s="3290"/>
      <c r="Q25" s="1527">
        <f t="shared" si="11"/>
        <v>111</v>
      </c>
      <c r="R25" s="710" t="s">
        <v>17</v>
      </c>
      <c r="S25" s="711">
        <f>F25</f>
        <v>100</v>
      </c>
      <c r="T25" s="710" t="s">
        <v>17</v>
      </c>
      <c r="U25" s="711">
        <f>H25</f>
        <v>100</v>
      </c>
      <c r="V25" s="710" t="s">
        <v>17</v>
      </c>
      <c r="W25" s="711">
        <f>J25</f>
        <v>100</v>
      </c>
      <c r="X25" s="712"/>
      <c r="Y25" s="3290"/>
      <c r="Z25" s="55">
        <f>Q25</f>
        <v>111</v>
      </c>
      <c r="AA25" s="1537">
        <f>D25/F25</f>
        <v>1</v>
      </c>
      <c r="AB25" s="1537">
        <f>D25/H25</f>
        <v>1</v>
      </c>
      <c r="AC25" s="1537">
        <f>D25/J25</f>
        <v>1</v>
      </c>
    </row>
    <row r="26" spans="1:29" ht="28.5">
      <c r="A26" s="425" t="s">
        <v>2383</v>
      </c>
      <c r="B26" s="67" t="s">
        <v>2534</v>
      </c>
      <c r="C26" s="2152"/>
      <c r="D26" s="426">
        <v>100</v>
      </c>
      <c r="E26" s="2152"/>
      <c r="F26" s="623">
        <f>SUMIF(77:77,E26,78:78)-SUMIF(77:77,C26,78:78)+100</f>
        <v>100</v>
      </c>
      <c r="G26" s="2152"/>
      <c r="H26" s="426">
        <f>SUMIF(77:77,G26,78:78)-SUMIF(77:77,C26,78:78)+100</f>
        <v>100</v>
      </c>
      <c r="I26" s="2152"/>
      <c r="J26" s="426">
        <f>SUMIF(77:77,I26,78:78)-SUMIF(77:77,C26,78:78)+100</f>
        <v>100</v>
      </c>
      <c r="K26" s="569"/>
      <c r="L26" s="2946"/>
      <c r="M26" s="2940"/>
      <c r="N26" s="2940"/>
      <c r="O26" s="2998"/>
      <c r="P26" s="3382"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294"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5"/>
      <c r="M27" s="2947"/>
      <c r="N27" s="2947"/>
      <c r="O27" s="2999"/>
      <c r="P27" s="3294"/>
      <c r="Q27" s="716" t="str">
        <f t="shared" si="11"/>
        <v>成新率</v>
      </c>
      <c r="R27" s="717" t="s">
        <v>17</v>
      </c>
      <c r="S27" s="718" t="e">
        <f t="shared" si="12"/>
        <v>#N/A</v>
      </c>
      <c r="T27" s="717" t="s">
        <v>17</v>
      </c>
      <c r="U27" s="718" t="e">
        <f t="shared" si="13"/>
        <v>#N/A</v>
      </c>
      <c r="V27" s="717" t="s">
        <v>17</v>
      </c>
      <c r="W27" s="718" t="e">
        <f t="shared" si="14"/>
        <v>#N/A</v>
      </c>
      <c r="X27" s="719"/>
      <c r="Y27" s="3294"/>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6"/>
      <c r="M28" s="2940"/>
      <c r="N28" s="2940"/>
      <c r="O28" s="2998"/>
      <c r="P28" s="3294"/>
      <c r="Q28" s="1536" t="str">
        <f t="shared" si="11"/>
        <v>物业等级</v>
      </c>
      <c r="R28" s="714" t="s">
        <v>17</v>
      </c>
      <c r="S28" s="715">
        <f t="shared" si="12"/>
        <v>100</v>
      </c>
      <c r="T28" s="714" t="s">
        <v>17</v>
      </c>
      <c r="U28" s="715">
        <f t="shared" si="13"/>
        <v>100</v>
      </c>
      <c r="V28" s="714" t="s">
        <v>17</v>
      </c>
      <c r="W28" s="715">
        <f t="shared" si="14"/>
        <v>100</v>
      </c>
      <c r="X28" s="1539"/>
      <c r="Y28" s="3294"/>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6"/>
      <c r="M29" s="2940"/>
      <c r="N29" s="2940"/>
      <c r="O29" s="2998"/>
      <c r="P29" s="3294"/>
      <c r="Q29" s="1536" t="str">
        <f t="shared" si="11"/>
        <v>有无电梯</v>
      </c>
      <c r="R29" s="714" t="s">
        <v>17</v>
      </c>
      <c r="S29" s="715">
        <f t="shared" si="12"/>
        <v>100</v>
      </c>
      <c r="T29" s="714" t="s">
        <v>17</v>
      </c>
      <c r="U29" s="715">
        <f t="shared" si="13"/>
        <v>100</v>
      </c>
      <c r="V29" s="714" t="s">
        <v>17</v>
      </c>
      <c r="W29" s="715">
        <f t="shared" si="14"/>
        <v>100</v>
      </c>
      <c r="X29" s="1539"/>
      <c r="Y29" s="3294"/>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6"/>
      <c r="M30" s="2940"/>
      <c r="N30" s="2940"/>
      <c r="O30" s="2998"/>
      <c r="P30" s="3294"/>
      <c r="Q30" s="1536" t="str">
        <f t="shared" si="11"/>
        <v>建筑面积</v>
      </c>
      <c r="R30" s="714" t="s">
        <v>17</v>
      </c>
      <c r="S30" s="715" t="e">
        <f t="shared" si="12"/>
        <v>#N/A</v>
      </c>
      <c r="T30" s="714" t="s">
        <v>17</v>
      </c>
      <c r="U30" s="715" t="e">
        <f t="shared" si="13"/>
        <v>#N/A</v>
      </c>
      <c r="V30" s="714" t="s">
        <v>17</v>
      </c>
      <c r="W30" s="715" t="e">
        <f t="shared" si="14"/>
        <v>#N/A</v>
      </c>
      <c r="X30" s="1539"/>
      <c r="Y30" s="3294"/>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1"/>
      <c r="M31" s="2942"/>
      <c r="N31" s="2942"/>
      <c r="O31" s="2996"/>
      <c r="P31" s="3294"/>
      <c r="Q31" s="1527" t="str">
        <f t="shared" si="11"/>
        <v>是否封闭</v>
      </c>
      <c r="R31" s="710" t="s">
        <v>17</v>
      </c>
      <c r="S31" s="711">
        <f t="shared" si="12"/>
        <v>100</v>
      </c>
      <c r="T31" s="710" t="s">
        <v>17</v>
      </c>
      <c r="U31" s="711">
        <f t="shared" si="13"/>
        <v>100</v>
      </c>
      <c r="V31" s="710" t="s">
        <v>17</v>
      </c>
      <c r="W31" s="711">
        <f t="shared" si="14"/>
        <v>100</v>
      </c>
      <c r="X31" s="712"/>
      <c r="Y31" s="3294"/>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46"/>
      <c r="M32" s="2940"/>
      <c r="N32" s="2940"/>
      <c r="O32" s="2998"/>
      <c r="P32" s="3294" t="s">
        <v>2385</v>
      </c>
      <c r="Q32" s="1536">
        <f t="shared" si="11"/>
        <v>111</v>
      </c>
      <c r="R32" s="714" t="s">
        <v>17</v>
      </c>
      <c r="S32" s="715">
        <f t="shared" si="12"/>
        <v>100</v>
      </c>
      <c r="T32" s="714" t="s">
        <v>17</v>
      </c>
      <c r="U32" s="715">
        <f t="shared" si="13"/>
        <v>100</v>
      </c>
      <c r="V32" s="714" t="s">
        <v>17</v>
      </c>
      <c r="W32" s="715">
        <f t="shared" si="14"/>
        <v>100</v>
      </c>
      <c r="X32" s="1539"/>
      <c r="Y32" s="3294" t="s">
        <v>2385</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46"/>
      <c r="M33" s="2940"/>
      <c r="N33" s="2940"/>
      <c r="O33" s="2998"/>
      <c r="P33" s="3294"/>
      <c r="Q33" s="1536">
        <f t="shared" si="11"/>
        <v>111</v>
      </c>
      <c r="R33" s="714" t="s">
        <v>17</v>
      </c>
      <c r="S33" s="715">
        <f t="shared" si="12"/>
        <v>100</v>
      </c>
      <c r="T33" s="714" t="s">
        <v>17</v>
      </c>
      <c r="U33" s="715">
        <f t="shared" si="13"/>
        <v>100</v>
      </c>
      <c r="V33" s="714" t="s">
        <v>17</v>
      </c>
      <c r="W33" s="715">
        <f t="shared" si="14"/>
        <v>100</v>
      </c>
      <c r="X33" s="1539"/>
      <c r="Y33" s="3294"/>
      <c r="Z33" s="1540">
        <f t="shared" si="15"/>
        <v>111</v>
      </c>
      <c r="AA33" s="1537">
        <f t="shared" si="3"/>
        <v>1</v>
      </c>
      <c r="AB33" s="1537">
        <f t="shared" si="4"/>
        <v>1</v>
      </c>
      <c r="AC33" s="1537">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46"/>
      <c r="M34" s="2940"/>
      <c r="N34" s="2940"/>
      <c r="O34" s="2998"/>
      <c r="P34" s="3294"/>
      <c r="Q34" s="1536">
        <f t="shared" si="11"/>
        <v>111</v>
      </c>
      <c r="R34" s="714" t="s">
        <v>17</v>
      </c>
      <c r="S34" s="715">
        <f t="shared" si="12"/>
        <v>100</v>
      </c>
      <c r="T34" s="714" t="s">
        <v>17</v>
      </c>
      <c r="U34" s="715">
        <f t="shared" si="13"/>
        <v>100</v>
      </c>
      <c r="V34" s="714" t="s">
        <v>17</v>
      </c>
      <c r="W34" s="715">
        <f t="shared" si="14"/>
        <v>100</v>
      </c>
      <c r="X34" s="1539"/>
      <c r="Y34" s="3294"/>
      <c r="Z34" s="1540">
        <f t="shared" si="15"/>
        <v>111</v>
      </c>
      <c r="AA34" s="1537">
        <f t="shared" si="3"/>
        <v>1</v>
      </c>
      <c r="AB34" s="1537">
        <f t="shared" si="4"/>
        <v>1</v>
      </c>
      <c r="AC34" s="1537">
        <f t="shared" si="5"/>
        <v>1</v>
      </c>
    </row>
    <row r="35" spans="1:30" ht="15">
      <c r="A35" s="438" t="s">
        <v>2397</v>
      </c>
      <c r="B35" s="439"/>
      <c r="C35" s="1316" t="s">
        <v>1</v>
      </c>
      <c r="D35" s="1317"/>
      <c r="E35" s="1318"/>
      <c r="F35" s="1319"/>
      <c r="G35" s="1320"/>
      <c r="H35" s="1321"/>
      <c r="I35" s="1318"/>
      <c r="J35" s="1321"/>
      <c r="K35" s="723"/>
      <c r="L35" s="2948"/>
      <c r="M35" s="2949"/>
      <c r="N35" s="2940"/>
      <c r="O35" s="2949"/>
      <c r="P35" s="3287" t="str">
        <f>A35</f>
        <v>成交单价（元/平方米）</v>
      </c>
      <c r="Q35" s="3287"/>
      <c r="R35" s="3288">
        <f>E35</f>
        <v>0</v>
      </c>
      <c r="S35" s="3288"/>
      <c r="T35" s="3288">
        <f>G35</f>
        <v>0</v>
      </c>
      <c r="U35" s="3288"/>
      <c r="V35" s="3288">
        <f>I35</f>
        <v>0</v>
      </c>
      <c r="W35" s="3288"/>
      <c r="X35" s="699"/>
      <c r="Y35" s="721"/>
      <c r="Z35" s="699"/>
      <c r="AA35" s="699"/>
      <c r="AB35" s="699"/>
      <c r="AC35" s="699"/>
    </row>
    <row r="36" spans="1:30" ht="15.75" thickBot="1">
      <c r="A36" s="445" t="s">
        <v>2489</v>
      </c>
      <c r="B36" s="446"/>
      <c r="C36" s="1322" t="e">
        <f>R37</f>
        <v>#DIV/0!</v>
      </c>
      <c r="D36" s="2537" t="s">
        <v>2880</v>
      </c>
      <c r="E36" s="1323" t="e">
        <f>R36</f>
        <v>#DIV/0!</v>
      </c>
      <c r="F36" s="2538"/>
      <c r="G36" s="1322" t="e">
        <f>T36</f>
        <v>#DIV/0!</v>
      </c>
      <c r="H36" s="2538"/>
      <c r="I36" s="1323" t="e">
        <f>V36</f>
        <v>#DIV/0!</v>
      </c>
      <c r="J36" s="2538"/>
      <c r="K36" s="2540">
        <f>F36+H36+J36</f>
        <v>0</v>
      </c>
      <c r="L36" s="2948"/>
      <c r="M36" s="2949"/>
      <c r="N36" s="2940"/>
      <c r="O36" s="2949"/>
      <c r="P36" s="3287" t="str">
        <f>A36</f>
        <v>比较价值（元/平方米）</v>
      </c>
      <c r="Q36" s="3287"/>
      <c r="R36" s="3288" t="e">
        <f>IF(F1="售价",ROUND(PRODUCT(R35,AA7:AA34),0),ROUND(PRODUCT(R35,AA7:AA34),1))</f>
        <v>#DIV/0!</v>
      </c>
      <c r="S36" s="3288"/>
      <c r="T36" s="3288" t="e">
        <f>IF(F1="售价",ROUND(PRODUCT(T35,AB7:AB34),0),ROUND(PRODUCT(T35,AB7:AB34),1))</f>
        <v>#DIV/0!</v>
      </c>
      <c r="U36" s="3288"/>
      <c r="V36" s="3288" t="e">
        <f>IF(F1="售价",ROUND(PRODUCT(V35,AC7:AC34),0),ROUND(PRODUCT(V35,AC7:AC34),1))</f>
        <v>#DIV/0!</v>
      </c>
      <c r="W36" s="3288"/>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48"/>
      <c r="M37" s="2949"/>
      <c r="N37" s="2949"/>
      <c r="O37" s="2949"/>
      <c r="P37" s="3284" t="str">
        <f>A37</f>
        <v>估价对象XX用房的比较价值（楼面单价，元/平方米）</v>
      </c>
      <c r="Q37" s="3285"/>
      <c r="R37" s="3383" t="e">
        <f>IF(F1="售价",ROUND(IF(D36="简单平均",AVERAGE(R36:W36),R36*F36+T36*H36+V36*J36),0),ROUND(IF(D36="简单平均",AVERAGE(R36:V36),R36*F36+T36*H36+V36*J36),1))</f>
        <v>#DIV/0!</v>
      </c>
      <c r="S37" s="3383"/>
      <c r="T37" s="3383"/>
      <c r="U37" s="3383"/>
      <c r="V37" s="3383"/>
      <c r="W37" s="3383"/>
      <c r="X37" s="699"/>
      <c r="Y37" s="699"/>
      <c r="Z37" s="699"/>
      <c r="AA37" s="699"/>
      <c r="AB37" s="699"/>
      <c r="AC37" s="699"/>
    </row>
    <row r="38" spans="1:30">
      <c r="A38" s="2949"/>
      <c r="B38" s="2949"/>
      <c r="C38" s="2949"/>
      <c r="D38" s="2949"/>
      <c r="E38" s="2949"/>
      <c r="F38" s="2949"/>
      <c r="G38" s="2953"/>
      <c r="H38" s="2949"/>
      <c r="I38" s="2949"/>
      <c r="J38" s="2949"/>
      <c r="K38" s="2954"/>
      <c r="L38" s="2950"/>
      <c r="M38" s="2949"/>
      <c r="N38" s="2949"/>
      <c r="O38" s="2949"/>
      <c r="P38" s="2949"/>
      <c r="Q38" s="2949"/>
      <c r="R38" s="2949"/>
      <c r="S38" s="2949"/>
      <c r="T38" s="2949"/>
      <c r="U38" s="2949"/>
      <c r="V38" s="2949"/>
      <c r="W38" s="2949"/>
      <c r="X38" s="2949"/>
      <c r="Y38" s="2949"/>
      <c r="Z38" s="2949"/>
      <c r="AA38" s="2949"/>
      <c r="AB38" s="2949"/>
      <c r="AC38" s="2949"/>
      <c r="AD38" s="2949"/>
    </row>
    <row r="39" spans="1:30">
      <c r="A39" s="2949"/>
      <c r="B39" s="2949"/>
      <c r="C39" s="2949"/>
      <c r="D39" s="2949"/>
      <c r="E39" s="2949"/>
      <c r="F39" s="2949"/>
      <c r="G39" s="2949"/>
      <c r="H39" s="2949"/>
      <c r="I39" s="2949"/>
      <c r="J39" s="2949"/>
      <c r="K39" s="2954"/>
      <c r="L39" s="2950"/>
      <c r="M39" s="2949"/>
      <c r="N39" s="2949"/>
      <c r="O39" s="2949"/>
      <c r="P39" s="2949"/>
      <c r="Q39" s="2949"/>
      <c r="R39" s="2949"/>
      <c r="S39" s="2949"/>
      <c r="T39" s="2949"/>
      <c r="U39" s="2949"/>
      <c r="V39" s="2949"/>
      <c r="W39" s="2949"/>
      <c r="X39" s="2949"/>
      <c r="Y39" s="2949"/>
      <c r="Z39" s="2949"/>
      <c r="AA39" s="2949"/>
      <c r="AB39" s="2949"/>
      <c r="AC39" s="2949"/>
      <c r="AD39" s="2949"/>
    </row>
    <row r="40" spans="1:30" ht="13.5" customHeight="1">
      <c r="A40" s="2949"/>
      <c r="B40" s="2949"/>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4"/>
      <c r="L40" s="2950"/>
      <c r="M40" s="2949"/>
      <c r="N40" s="2949"/>
      <c r="O40" s="2949"/>
      <c r="P40" s="2949"/>
      <c r="Q40" s="2949"/>
      <c r="R40" s="2949"/>
      <c r="S40" s="2949"/>
      <c r="T40" s="2949"/>
      <c r="U40" s="2949"/>
      <c r="V40" s="2949"/>
      <c r="W40" s="2949"/>
      <c r="X40" s="2949"/>
      <c r="Y40" s="2949"/>
      <c r="Z40" s="2949"/>
      <c r="AA40" s="2949"/>
      <c r="AB40" s="2949"/>
      <c r="AC40" s="2949"/>
      <c r="AD40" s="2949"/>
    </row>
    <row r="41" spans="1:30" ht="13.5" customHeight="1">
      <c r="A41" s="2949"/>
      <c r="B41" s="2949"/>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4"/>
      <c r="L41" s="2950"/>
      <c r="M41" s="2949"/>
      <c r="N41" s="2949"/>
      <c r="O41" s="2949"/>
      <c r="P41" s="2949"/>
      <c r="Q41" s="2949"/>
      <c r="R41" s="2949"/>
      <c r="S41" s="2949"/>
      <c r="T41" s="2949"/>
      <c r="U41" s="2949"/>
      <c r="V41" s="2949"/>
      <c r="W41" s="2949"/>
      <c r="X41" s="2949"/>
      <c r="Y41" s="2949"/>
      <c r="Z41" s="2949"/>
      <c r="AA41" s="2949"/>
      <c r="AB41" s="2949"/>
      <c r="AC41" s="2949"/>
      <c r="AD41" s="2949"/>
    </row>
    <row r="42" spans="1:30" s="459" customFormat="1" ht="13.5" customHeight="1">
      <c r="A42" s="2952"/>
      <c r="B42" s="2952"/>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7"/>
      <c r="L42" s="2951"/>
      <c r="M42" s="2952"/>
      <c r="N42" s="2952"/>
      <c r="O42" s="2952"/>
      <c r="P42" s="2952"/>
      <c r="Q42" s="2952"/>
      <c r="R42" s="2952"/>
      <c r="S42" s="2952"/>
      <c r="T42" s="2952"/>
      <c r="U42" s="2952"/>
      <c r="V42" s="2952"/>
      <c r="W42" s="2952"/>
      <c r="X42" s="2952"/>
      <c r="Y42" s="2952"/>
      <c r="Z42" s="2952"/>
      <c r="AA42" s="2952"/>
      <c r="AB42" s="2952"/>
      <c r="AC42" s="2952"/>
      <c r="AD42" s="2952"/>
    </row>
    <row r="43" spans="1:30" s="459" customFormat="1">
      <c r="A43" s="2952"/>
      <c r="B43" s="2955"/>
      <c r="C43" s="2956"/>
      <c r="D43" s="2952"/>
      <c r="E43" s="2952"/>
      <c r="F43" s="2952"/>
      <c r="G43" s="2952"/>
      <c r="H43" s="2952"/>
      <c r="I43" s="2952"/>
      <c r="J43" s="2952"/>
      <c r="K43" s="2957"/>
      <c r="L43" s="2951"/>
      <c r="M43" s="2952"/>
      <c r="N43" s="2952"/>
      <c r="O43" s="2952"/>
      <c r="P43" s="2952"/>
      <c r="Q43" s="2952"/>
      <c r="R43" s="2952"/>
      <c r="S43" s="2952"/>
      <c r="T43" s="2952"/>
      <c r="U43" s="2952"/>
      <c r="V43" s="2952"/>
      <c r="W43" s="2952"/>
      <c r="X43" s="2952"/>
      <c r="Y43" s="2952"/>
      <c r="Z43" s="2952"/>
      <c r="AA43" s="2952"/>
      <c r="AB43" s="2952"/>
      <c r="AC43" s="2952"/>
      <c r="AD43" s="2952"/>
    </row>
    <row r="44" spans="1:30">
      <c r="A44" s="2949"/>
      <c r="B44" s="2955"/>
      <c r="C44" s="2956"/>
      <c r="D44" s="2949"/>
      <c r="E44" s="2949"/>
      <c r="F44" s="2949"/>
      <c r="G44" s="2949"/>
      <c r="H44" s="2949"/>
      <c r="I44" s="2949"/>
      <c r="J44" s="2949"/>
      <c r="K44" s="2954"/>
      <c r="L44" s="2950"/>
      <c r="M44" s="2949"/>
      <c r="N44" s="2949"/>
      <c r="O44" s="2949"/>
      <c r="P44" s="2949"/>
      <c r="Q44" s="2949"/>
      <c r="R44" s="2949"/>
      <c r="S44" s="2949"/>
      <c r="T44" s="2949"/>
      <c r="U44" s="2949"/>
      <c r="V44" s="2949"/>
      <c r="W44" s="2949"/>
      <c r="X44" s="2949"/>
      <c r="Y44" s="2949"/>
      <c r="Z44" s="2949"/>
      <c r="AA44" s="2949"/>
      <c r="AB44" s="2949"/>
      <c r="AC44" s="2949"/>
      <c r="AD44" s="2949"/>
    </row>
    <row r="45" spans="1:30" ht="21.75" thickBot="1">
      <c r="A45" s="703" t="s">
        <v>2494</v>
      </c>
      <c r="B45" s="699"/>
      <c r="C45" s="704"/>
      <c r="D45" s="704"/>
      <c r="E45" s="704"/>
      <c r="F45" s="705"/>
      <c r="G45" s="705"/>
      <c r="H45" s="704"/>
      <c r="I45" s="704"/>
      <c r="J45" s="704"/>
      <c r="K45" s="706"/>
      <c r="L45" s="707"/>
      <c r="M45" s="704"/>
      <c r="N45" s="2993"/>
      <c r="O45" s="2993"/>
      <c r="P45" s="2993"/>
      <c r="Q45" s="2963"/>
      <c r="R45" s="2949"/>
      <c r="S45" s="2949"/>
      <c r="T45" s="2949"/>
      <c r="U45" s="2949"/>
      <c r="V45" s="2949"/>
      <c r="W45" s="2949"/>
      <c r="X45" s="2949"/>
      <c r="Y45" s="2949"/>
      <c r="Z45" s="2949"/>
      <c r="AA45" s="2949"/>
      <c r="AB45" s="2949"/>
      <c r="AC45" s="2949"/>
      <c r="AD45" s="2949"/>
    </row>
    <row r="46" spans="1:30" s="465" customFormat="1" ht="15">
      <c r="A46" s="462" t="s">
        <v>2368</v>
      </c>
      <c r="B46" s="463"/>
      <c r="C46" s="1346" t="str">
        <f>YEAR(C7)&amp;"-"&amp;MONTH(C7)</f>
        <v>2021-11</v>
      </c>
      <c r="D46" s="1347">
        <f>EDATE(C46,-1)</f>
        <v>44470</v>
      </c>
      <c r="E46" s="1347">
        <f t="shared" ref="E46:O46" si="16">EDATE(D46,-1)</f>
        <v>44440</v>
      </c>
      <c r="F46" s="1347">
        <f t="shared" si="16"/>
        <v>44409</v>
      </c>
      <c r="G46" s="1347">
        <f t="shared" si="16"/>
        <v>44378</v>
      </c>
      <c r="H46" s="1347">
        <f t="shared" si="16"/>
        <v>44348</v>
      </c>
      <c r="I46" s="1347">
        <f t="shared" si="16"/>
        <v>44317</v>
      </c>
      <c r="J46" s="1347">
        <f t="shared" si="16"/>
        <v>44287</v>
      </c>
      <c r="K46" s="1347">
        <f t="shared" si="16"/>
        <v>44256</v>
      </c>
      <c r="L46" s="1347">
        <f t="shared" si="16"/>
        <v>44228</v>
      </c>
      <c r="M46" s="1347">
        <f t="shared" si="16"/>
        <v>44197</v>
      </c>
      <c r="N46" s="1347">
        <f t="shared" si="16"/>
        <v>44166</v>
      </c>
      <c r="O46" s="1347">
        <f t="shared" si="16"/>
        <v>44136</v>
      </c>
      <c r="P46" s="3000"/>
      <c r="Q46" s="2965"/>
      <c r="R46" s="2965"/>
      <c r="S46" s="2965"/>
      <c r="T46" s="2965"/>
      <c r="U46" s="2965"/>
      <c r="V46" s="2965"/>
      <c r="W46" s="2965"/>
      <c r="X46" s="2965"/>
      <c r="Y46" s="2965"/>
      <c r="Z46" s="2965"/>
      <c r="AA46" s="2965"/>
      <c r="AB46" s="2965"/>
      <c r="AC46" s="2965"/>
      <c r="AD46" s="2965"/>
    </row>
    <row r="47" spans="1:30" s="113" customFormat="1" ht="15">
      <c r="A47" s="466"/>
      <c r="B47" s="467"/>
      <c r="C47" s="1345">
        <v>100</v>
      </c>
      <c r="D47" s="469"/>
      <c r="E47" s="469"/>
      <c r="F47" s="469"/>
      <c r="G47" s="469"/>
      <c r="H47" s="469"/>
      <c r="I47" s="469"/>
      <c r="J47" s="469"/>
      <c r="K47" s="469"/>
      <c r="L47" s="469"/>
      <c r="M47" s="470"/>
      <c r="N47" s="469"/>
      <c r="O47" s="471"/>
      <c r="P47" s="2963"/>
      <c r="Q47" s="2884"/>
      <c r="R47" s="2884"/>
      <c r="S47" s="2884"/>
      <c r="T47" s="2884"/>
      <c r="U47" s="2884"/>
      <c r="V47" s="2884"/>
      <c r="W47" s="2884"/>
      <c r="X47" s="2884"/>
      <c r="Y47" s="2884"/>
      <c r="Z47" s="2884"/>
      <c r="AA47" s="2884"/>
      <c r="AB47" s="2884"/>
      <c r="AC47" s="2884"/>
      <c r="AD47" s="2884"/>
    </row>
    <row r="48" spans="1:30" s="113" customFormat="1" ht="15.75" thickBot="1">
      <c r="A48" s="472" t="s">
        <v>2405</v>
      </c>
      <c r="B48" s="473"/>
      <c r="C48" s="474"/>
      <c r="D48" s="475"/>
      <c r="E48" s="475"/>
      <c r="F48" s="475"/>
      <c r="G48" s="475"/>
      <c r="H48" s="475"/>
      <c r="I48" s="475"/>
      <c r="J48" s="475"/>
      <c r="K48" s="475"/>
      <c r="L48" s="475"/>
      <c r="M48" s="476"/>
      <c r="N48" s="475"/>
      <c r="O48" s="477"/>
      <c r="P48" s="2963"/>
      <c r="Q48" s="2963"/>
      <c r="R48" s="2884"/>
      <c r="S48" s="2884"/>
      <c r="T48" s="2884"/>
      <c r="U48" s="2884"/>
      <c r="V48" s="2884"/>
      <c r="W48" s="2884"/>
      <c r="X48" s="2884"/>
      <c r="Y48" s="2884"/>
      <c r="Z48" s="2884"/>
      <c r="AA48" s="2884"/>
      <c r="AB48" s="2884"/>
      <c r="AC48" s="2884"/>
      <c r="AD48" s="2884"/>
    </row>
    <row r="49" spans="1:30" s="113" customFormat="1" ht="15">
      <c r="A49" s="478" t="s">
        <v>2370</v>
      </c>
      <c r="B49" s="467"/>
      <c r="C49" s="479" t="s">
        <v>2472</v>
      </c>
      <c r="D49" s="480"/>
      <c r="E49" s="480"/>
      <c r="F49" s="480"/>
      <c r="G49" s="480"/>
      <c r="H49" s="480"/>
      <c r="I49" s="480"/>
      <c r="J49" s="480"/>
      <c r="K49" s="480"/>
      <c r="L49" s="481"/>
      <c r="M49" s="482"/>
      <c r="N49" s="2976"/>
      <c r="O49" s="2976"/>
      <c r="P49" s="3001"/>
      <c r="Q49" s="2963"/>
      <c r="R49" s="2884"/>
      <c r="S49" s="2884"/>
      <c r="T49" s="2884"/>
      <c r="U49" s="2884"/>
      <c r="V49" s="2884"/>
      <c r="W49" s="2884"/>
      <c r="X49" s="2884"/>
      <c r="Y49" s="2884"/>
      <c r="Z49" s="2884"/>
      <c r="AA49" s="2884"/>
      <c r="AB49" s="2884"/>
      <c r="AC49" s="2884"/>
      <c r="AD49" s="2884"/>
    </row>
    <row r="50" spans="1:30" s="113" customFormat="1" ht="15.75" thickBot="1">
      <c r="A50" s="478"/>
      <c r="B50" s="467"/>
      <c r="C50" s="595">
        <v>100</v>
      </c>
      <c r="D50" s="469"/>
      <c r="E50" s="469"/>
      <c r="F50" s="469"/>
      <c r="G50" s="469"/>
      <c r="H50" s="469"/>
      <c r="I50" s="469"/>
      <c r="J50" s="469"/>
      <c r="K50" s="469"/>
      <c r="L50" s="469"/>
      <c r="M50" s="471"/>
      <c r="N50" s="2976"/>
      <c r="O50" s="2976"/>
      <c r="P50" s="2963"/>
      <c r="Q50" s="2963"/>
      <c r="R50" s="2884"/>
      <c r="S50" s="2884"/>
      <c r="T50" s="2884"/>
      <c r="U50" s="2884"/>
      <c r="V50" s="2884"/>
      <c r="W50" s="2884"/>
      <c r="X50" s="2884"/>
      <c r="Y50" s="2884"/>
      <c r="Z50" s="2884"/>
      <c r="AA50" s="2884"/>
      <c r="AB50" s="2884"/>
      <c r="AC50" s="2884"/>
      <c r="AD50" s="2884"/>
    </row>
    <row r="51" spans="1:30">
      <c r="A51" s="484" t="s">
        <v>2408</v>
      </c>
      <c r="B51" s="485" t="s">
        <v>2374</v>
      </c>
      <c r="C51" s="486">
        <f>C9</f>
        <v>0</v>
      </c>
      <c r="D51" s="487"/>
      <c r="E51" s="487"/>
      <c r="F51" s="487"/>
      <c r="G51" s="487"/>
      <c r="H51" s="487"/>
      <c r="I51" s="487"/>
      <c r="J51" s="487"/>
      <c r="K51" s="488"/>
      <c r="L51" s="489"/>
      <c r="M51" s="490"/>
      <c r="N51" s="2977"/>
      <c r="O51" s="2977"/>
      <c r="P51" s="3002"/>
      <c r="Q51" s="2963"/>
      <c r="R51" s="2949"/>
      <c r="S51" s="2949"/>
      <c r="T51" s="2949"/>
      <c r="U51" s="2949"/>
      <c r="V51" s="2949"/>
      <c r="W51" s="2949"/>
      <c r="X51" s="2949"/>
      <c r="Y51" s="2949"/>
      <c r="Z51" s="2949"/>
      <c r="AA51" s="2949"/>
      <c r="AB51" s="2949"/>
      <c r="AC51" s="2949"/>
      <c r="AD51" s="2949"/>
    </row>
    <row r="52" spans="1:30" ht="15.75" thickBot="1">
      <c r="A52" s="491"/>
      <c r="B52" s="492"/>
      <c r="C52" s="493">
        <v>100</v>
      </c>
      <c r="D52" s="493"/>
      <c r="E52" s="493"/>
      <c r="F52" s="493"/>
      <c r="G52" s="493"/>
      <c r="H52" s="493"/>
      <c r="I52" s="493"/>
      <c r="J52" s="493"/>
      <c r="K52" s="493"/>
      <c r="L52" s="493"/>
      <c r="M52" s="494"/>
      <c r="N52" s="2978"/>
      <c r="O52" s="2978"/>
      <c r="P52" s="3002"/>
      <c r="Q52" s="2963"/>
      <c r="R52" s="2949"/>
      <c r="S52" s="2949"/>
      <c r="T52" s="2949"/>
      <c r="U52" s="2949"/>
      <c r="V52" s="2949"/>
      <c r="W52" s="2949"/>
      <c r="X52" s="2949"/>
      <c r="Y52" s="2949"/>
      <c r="Z52" s="2949"/>
      <c r="AA52" s="2949"/>
      <c r="AB52" s="2949"/>
      <c r="AC52" s="2949"/>
      <c r="AD52" s="2949"/>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7"/>
      <c r="O53" s="2977"/>
      <c r="P53" s="3002"/>
      <c r="Q53" s="2963"/>
      <c r="R53" s="2949"/>
      <c r="S53" s="2949"/>
      <c r="T53" s="2949"/>
      <c r="U53" s="2949"/>
      <c r="V53" s="2949"/>
      <c r="W53" s="2949"/>
      <c r="X53" s="2949"/>
      <c r="Y53" s="2949"/>
      <c r="Z53" s="2949"/>
      <c r="AA53" s="2949"/>
      <c r="AB53" s="2949"/>
      <c r="AC53" s="2949"/>
      <c r="AD53" s="294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8"/>
      <c r="O54" s="2978"/>
      <c r="P54" s="3002"/>
      <c r="Q54" s="2963"/>
      <c r="R54" s="2949"/>
      <c r="S54" s="2949"/>
      <c r="T54" s="2949"/>
      <c r="U54" s="2949"/>
      <c r="V54" s="2949"/>
      <c r="W54" s="2949"/>
      <c r="X54" s="2949"/>
      <c r="Y54" s="2949"/>
      <c r="Z54" s="2949"/>
      <c r="AA54" s="2949"/>
      <c r="AB54" s="2949"/>
      <c r="AC54" s="2949"/>
      <c r="AD54" s="2949"/>
    </row>
    <row r="55" spans="1:30" ht="15.75" thickTop="1">
      <c r="A55" s="491"/>
      <c r="B55" s="616">
        <f>B11</f>
        <v>111</v>
      </c>
      <c r="C55" s="506"/>
      <c r="D55" s="506"/>
      <c r="E55" s="506"/>
      <c r="F55" s="506"/>
      <c r="G55" s="506"/>
      <c r="H55" s="506"/>
      <c r="I55" s="506"/>
      <c r="J55" s="506"/>
      <c r="K55" s="507"/>
      <c r="L55" s="508"/>
      <c r="M55" s="509"/>
      <c r="N55" s="2977"/>
      <c r="O55" s="2977"/>
      <c r="P55" s="3002"/>
      <c r="Q55" s="2963"/>
      <c r="R55" s="2949"/>
      <c r="S55" s="2949"/>
      <c r="T55" s="2949"/>
      <c r="U55" s="2949"/>
      <c r="V55" s="2949"/>
      <c r="W55" s="2949"/>
      <c r="X55" s="2949"/>
      <c r="Y55" s="2949"/>
      <c r="Z55" s="2949"/>
      <c r="AA55" s="2949"/>
      <c r="AB55" s="2949"/>
      <c r="AC55" s="2949"/>
      <c r="AD55" s="2949"/>
    </row>
    <row r="56" spans="1:30" ht="15.75" thickBot="1">
      <c r="A56" s="491"/>
      <c r="B56" s="492"/>
      <c r="C56" s="517"/>
      <c r="D56" s="493"/>
      <c r="E56" s="493"/>
      <c r="F56" s="493"/>
      <c r="G56" s="493"/>
      <c r="H56" s="493"/>
      <c r="I56" s="493"/>
      <c r="J56" s="493"/>
      <c r="K56" s="493"/>
      <c r="L56" s="493"/>
      <c r="M56" s="494"/>
      <c r="N56" s="2978"/>
      <c r="O56" s="2978"/>
      <c r="P56" s="3002"/>
      <c r="Q56" s="2963"/>
      <c r="R56" s="2949"/>
      <c r="S56" s="2949"/>
      <c r="T56" s="2949"/>
      <c r="U56" s="2949"/>
      <c r="V56" s="2949"/>
      <c r="W56" s="2949"/>
      <c r="X56" s="2949"/>
      <c r="Y56" s="2949"/>
      <c r="Z56" s="2949"/>
      <c r="AA56" s="2949"/>
      <c r="AB56" s="2949"/>
      <c r="AC56" s="2949"/>
      <c r="AD56" s="2949"/>
    </row>
    <row r="57" spans="1:30" s="430" customFormat="1" ht="15.75" thickTop="1">
      <c r="A57" s="510"/>
      <c r="B57" s="495">
        <f>B12</f>
        <v>111</v>
      </c>
      <c r="C57" s="506"/>
      <c r="D57" s="506"/>
      <c r="E57" s="506"/>
      <c r="F57" s="506"/>
      <c r="G57" s="511"/>
      <c r="H57" s="512"/>
      <c r="I57" s="512"/>
      <c r="J57" s="512"/>
      <c r="K57" s="512"/>
      <c r="L57" s="513"/>
      <c r="M57" s="514"/>
      <c r="N57" s="2979"/>
      <c r="O57" s="2979"/>
      <c r="P57" s="3003"/>
      <c r="Q57" s="2970"/>
      <c r="R57" s="2971"/>
      <c r="S57" s="2971"/>
      <c r="T57" s="2971"/>
      <c r="U57" s="2971"/>
      <c r="V57" s="2971"/>
      <c r="W57" s="2971"/>
      <c r="X57" s="2971"/>
      <c r="Y57" s="2971"/>
      <c r="Z57" s="2971"/>
      <c r="AA57" s="2971"/>
      <c r="AB57" s="2971"/>
      <c r="AC57" s="2971"/>
      <c r="AD57" s="2971"/>
    </row>
    <row r="58" spans="1:30" s="430" customFormat="1" ht="15.75" thickBot="1">
      <c r="A58" s="510"/>
      <c r="B58" s="500"/>
      <c r="C58" s="517"/>
      <c r="D58" s="493"/>
      <c r="E58" s="493"/>
      <c r="F58" s="493"/>
      <c r="G58" s="493"/>
      <c r="H58" s="493"/>
      <c r="I58" s="493"/>
      <c r="J58" s="493"/>
      <c r="K58" s="493"/>
      <c r="L58" s="493"/>
      <c r="M58" s="494"/>
      <c r="N58" s="2978"/>
      <c r="O58" s="2978"/>
      <c r="P58" s="3003"/>
      <c r="Q58" s="2970"/>
      <c r="R58" s="2971"/>
      <c r="S58" s="2971"/>
      <c r="T58" s="2971"/>
      <c r="U58" s="2971"/>
      <c r="V58" s="2971"/>
      <c r="W58" s="2971"/>
      <c r="X58" s="2971"/>
      <c r="Y58" s="2971"/>
      <c r="Z58" s="2971"/>
      <c r="AA58" s="2971"/>
      <c r="AB58" s="2971"/>
      <c r="AC58" s="2971"/>
      <c r="AD58" s="2971"/>
    </row>
    <row r="59" spans="1:30" s="430" customFormat="1" ht="15.75" thickTop="1">
      <c r="A59" s="510"/>
      <c r="B59" s="495">
        <f>B13</f>
        <v>111</v>
      </c>
      <c r="C59" s="506"/>
      <c r="D59" s="506"/>
      <c r="E59" s="506"/>
      <c r="F59" s="506"/>
      <c r="G59" s="511"/>
      <c r="H59" s="512"/>
      <c r="I59" s="512"/>
      <c r="J59" s="512"/>
      <c r="K59" s="512"/>
      <c r="L59" s="513"/>
      <c r="M59" s="514"/>
      <c r="N59" s="2979"/>
      <c r="O59" s="2979"/>
      <c r="P59" s="2947"/>
      <c r="Q59" s="2973"/>
      <c r="R59" s="2971"/>
      <c r="S59" s="2971"/>
      <c r="T59" s="2971"/>
      <c r="U59" s="2971"/>
      <c r="V59" s="2971"/>
      <c r="W59" s="2971"/>
      <c r="X59" s="2971"/>
      <c r="Y59" s="2971"/>
      <c r="Z59" s="2971"/>
      <c r="AA59" s="2971"/>
      <c r="AB59" s="2971"/>
      <c r="AC59" s="2971"/>
      <c r="AD59" s="2971"/>
    </row>
    <row r="60" spans="1:30" s="430" customFormat="1" ht="15.75" thickBot="1">
      <c r="A60" s="510"/>
      <c r="B60" s="500"/>
      <c r="C60" s="517"/>
      <c r="D60" s="517"/>
      <c r="E60" s="517"/>
      <c r="F60" s="517"/>
      <c r="G60" s="517"/>
      <c r="H60" s="519"/>
      <c r="I60" s="519"/>
      <c r="J60" s="519"/>
      <c r="K60" s="519"/>
      <c r="L60" s="519"/>
      <c r="M60" s="520"/>
      <c r="N60" s="2979"/>
      <c r="O60" s="2979"/>
      <c r="P60" s="3003"/>
      <c r="Q60" s="2970"/>
      <c r="R60" s="2971"/>
      <c r="S60" s="2971"/>
      <c r="T60" s="2971"/>
      <c r="U60" s="2971"/>
      <c r="V60" s="2971"/>
      <c r="W60" s="2971"/>
      <c r="X60" s="2971"/>
      <c r="Y60" s="2971"/>
      <c r="Z60" s="2971"/>
      <c r="AA60" s="2971"/>
      <c r="AB60" s="2971"/>
      <c r="AC60" s="2971"/>
      <c r="AD60" s="2971"/>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7"/>
      <c r="O61" s="2977"/>
      <c r="P61" s="3004"/>
      <c r="Q61" s="2963"/>
      <c r="R61" s="2949"/>
      <c r="S61" s="2949"/>
      <c r="T61" s="2949"/>
      <c r="U61" s="2949"/>
      <c r="V61" s="2949"/>
      <c r="W61" s="2949"/>
      <c r="X61" s="2949"/>
      <c r="Y61" s="2949"/>
      <c r="Z61" s="2949"/>
      <c r="AA61" s="2949"/>
      <c r="AB61" s="2949"/>
      <c r="AC61" s="2949"/>
      <c r="AD61" s="294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8"/>
      <c r="O62" s="2978"/>
      <c r="P62" s="3002"/>
      <c r="Q62" s="2963"/>
      <c r="R62" s="2949"/>
      <c r="S62" s="2949"/>
      <c r="T62" s="2949"/>
      <c r="U62" s="2949"/>
      <c r="V62" s="2949"/>
      <c r="W62" s="2949"/>
      <c r="X62" s="2949"/>
      <c r="Y62" s="2949"/>
      <c r="Z62" s="2949"/>
      <c r="AA62" s="2949"/>
      <c r="AB62" s="2949"/>
      <c r="AC62" s="2949"/>
      <c r="AD62" s="2949"/>
    </row>
    <row r="63" spans="1:30" ht="27.75" thickTop="1">
      <c r="A63" s="491"/>
      <c r="B63" s="495" t="s">
        <v>2560</v>
      </c>
      <c r="C63" s="535" t="s">
        <v>2417</v>
      </c>
      <c r="D63" s="535" t="s">
        <v>2418</v>
      </c>
      <c r="E63" s="535" t="s">
        <v>2419</v>
      </c>
      <c r="F63" s="535" t="s">
        <v>2420</v>
      </c>
      <c r="G63" s="535" t="s">
        <v>2421</v>
      </c>
      <c r="H63" s="496"/>
      <c r="I63" s="496"/>
      <c r="J63" s="496"/>
      <c r="K63" s="497"/>
      <c r="L63" s="498"/>
      <c r="M63" s="499"/>
      <c r="N63" s="2977"/>
      <c r="O63" s="2977"/>
      <c r="P63" s="3002"/>
      <c r="Q63" s="2963"/>
      <c r="R63" s="2949"/>
      <c r="S63" s="2949"/>
      <c r="T63" s="2949"/>
      <c r="U63" s="2949"/>
      <c r="V63" s="2949"/>
      <c r="W63" s="2949"/>
      <c r="X63" s="2949"/>
      <c r="Y63" s="2949"/>
      <c r="Z63" s="2949"/>
      <c r="AA63" s="2949"/>
      <c r="AB63" s="2949"/>
      <c r="AC63" s="2949"/>
      <c r="AD63" s="294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8"/>
      <c r="O64" s="2978"/>
      <c r="P64" s="3002"/>
      <c r="Q64" s="2963"/>
      <c r="R64" s="2949"/>
      <c r="S64" s="2949"/>
      <c r="T64" s="2949"/>
      <c r="U64" s="2949"/>
      <c r="V64" s="2949"/>
      <c r="W64" s="2949"/>
      <c r="X64" s="2949"/>
      <c r="Y64" s="2949"/>
      <c r="Z64" s="2949"/>
      <c r="AA64" s="2949"/>
      <c r="AB64" s="2949"/>
      <c r="AC64" s="2949"/>
      <c r="AD64" s="2949"/>
    </row>
    <row r="65" spans="1:30" ht="15.75" thickTop="1">
      <c r="A65" s="491"/>
      <c r="B65" s="503" t="s">
        <v>2509</v>
      </c>
      <c r="C65" s="616" t="s">
        <v>2495</v>
      </c>
      <c r="D65" s="616" t="s">
        <v>2496</v>
      </c>
      <c r="E65" s="616" t="s">
        <v>2497</v>
      </c>
      <c r="F65" s="616" t="s">
        <v>2498</v>
      </c>
      <c r="G65" s="616" t="s">
        <v>2499</v>
      </c>
      <c r="H65" s="496"/>
      <c r="I65" s="496"/>
      <c r="J65" s="496"/>
      <c r="K65" s="496"/>
      <c r="L65" s="496"/>
      <c r="M65" s="1291"/>
      <c r="N65" s="2978"/>
      <c r="O65" s="2978"/>
      <c r="P65" s="3002"/>
      <c r="Q65" s="2963"/>
      <c r="R65" s="2949"/>
      <c r="S65" s="2949"/>
      <c r="T65" s="2949"/>
      <c r="U65" s="2949"/>
      <c r="V65" s="2949"/>
      <c r="W65" s="2949"/>
      <c r="X65" s="2949"/>
      <c r="Y65" s="2949"/>
      <c r="Z65" s="2949"/>
      <c r="AA65" s="2949"/>
      <c r="AB65" s="2949"/>
      <c r="AC65" s="2949"/>
      <c r="AD65" s="294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8"/>
      <c r="O66" s="2978"/>
      <c r="P66" s="3002"/>
      <c r="Q66" s="2963"/>
      <c r="R66" s="2949"/>
      <c r="S66" s="2949"/>
      <c r="T66" s="2949"/>
      <c r="U66" s="2949"/>
      <c r="V66" s="2949"/>
      <c r="W66" s="2949"/>
      <c r="X66" s="2949"/>
      <c r="Y66" s="2949"/>
      <c r="Z66" s="2949"/>
      <c r="AA66" s="2949"/>
      <c r="AB66" s="2949"/>
      <c r="AC66" s="2949"/>
      <c r="AD66" s="2949"/>
    </row>
    <row r="67" spans="1:30" ht="15.75" thickTop="1">
      <c r="A67" s="491"/>
      <c r="B67" s="495" t="s">
        <v>2429</v>
      </c>
      <c r="C67" s="535" t="s">
        <v>2417</v>
      </c>
      <c r="D67" s="535" t="s">
        <v>2418</v>
      </c>
      <c r="E67" s="535" t="s">
        <v>2419</v>
      </c>
      <c r="F67" s="535" t="s">
        <v>2420</v>
      </c>
      <c r="G67" s="535" t="s">
        <v>2421</v>
      </c>
      <c r="H67" s="496"/>
      <c r="I67" s="496"/>
      <c r="J67" s="496"/>
      <c r="K67" s="497"/>
      <c r="L67" s="498"/>
      <c r="M67" s="499"/>
      <c r="N67" s="2977"/>
      <c r="O67" s="2977"/>
      <c r="P67" s="3002"/>
      <c r="Q67" s="2963"/>
      <c r="R67" s="2949"/>
      <c r="S67" s="2949"/>
      <c r="T67" s="2949"/>
      <c r="U67" s="2949"/>
      <c r="V67" s="2949"/>
      <c r="W67" s="2949"/>
      <c r="X67" s="2949"/>
      <c r="Y67" s="2949"/>
      <c r="Z67" s="2949"/>
      <c r="AA67" s="2949"/>
      <c r="AB67" s="2949"/>
      <c r="AC67" s="2949"/>
      <c r="AD67" s="294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8"/>
      <c r="O68" s="2978"/>
      <c r="P68" s="3002"/>
      <c r="Q68" s="2963"/>
      <c r="R68" s="2949"/>
      <c r="S68" s="2949"/>
      <c r="T68" s="2949"/>
      <c r="U68" s="2949"/>
      <c r="V68" s="2949"/>
      <c r="W68" s="2949"/>
      <c r="X68" s="2949"/>
      <c r="Y68" s="2949"/>
      <c r="Z68" s="2949"/>
      <c r="AA68" s="2949"/>
      <c r="AB68" s="2949"/>
      <c r="AC68" s="2949"/>
      <c r="AD68" s="2949"/>
    </row>
    <row r="69" spans="1:30" ht="15.75" thickTop="1">
      <c r="A69" s="491"/>
      <c r="B69" s="495" t="s">
        <v>2549</v>
      </c>
      <c r="C69" s="511"/>
      <c r="D69" s="511"/>
      <c r="E69" s="511"/>
      <c r="F69" s="511"/>
      <c r="G69" s="511"/>
      <c r="H69" s="540"/>
      <c r="I69" s="540"/>
      <c r="J69" s="540"/>
      <c r="K69" s="541"/>
      <c r="L69" s="542"/>
      <c r="M69" s="543"/>
      <c r="N69" s="2977"/>
      <c r="O69" s="2977"/>
      <c r="P69" s="3002"/>
      <c r="Q69" s="2963"/>
      <c r="R69" s="2949"/>
      <c r="S69" s="2949"/>
      <c r="T69" s="2949"/>
      <c r="U69" s="2949"/>
      <c r="V69" s="2949"/>
      <c r="W69" s="2949"/>
      <c r="X69" s="2949"/>
      <c r="Y69" s="2949"/>
      <c r="Z69" s="2949"/>
      <c r="AA69" s="2949"/>
      <c r="AB69" s="2949"/>
      <c r="AC69" s="2949"/>
      <c r="AD69" s="2949"/>
    </row>
    <row r="70" spans="1:30" ht="15.75" thickBot="1">
      <c r="A70" s="491"/>
      <c r="B70" s="500"/>
      <c r="C70" s="501">
        <v>100</v>
      </c>
      <c r="D70" s="501">
        <f>C70-$K22</f>
        <v>100</v>
      </c>
      <c r="E70" s="501"/>
      <c r="F70" s="501"/>
      <c r="G70" s="501"/>
      <c r="H70" s="501"/>
      <c r="I70" s="501"/>
      <c r="J70" s="501"/>
      <c r="K70" s="501"/>
      <c r="L70" s="501"/>
      <c r="M70" s="502"/>
      <c r="N70" s="2978"/>
      <c r="O70" s="2978"/>
      <c r="P70" s="3002"/>
      <c r="Q70" s="2963"/>
      <c r="R70" s="2949"/>
      <c r="S70" s="2949"/>
      <c r="T70" s="2949"/>
      <c r="U70" s="2949"/>
      <c r="V70" s="2949"/>
      <c r="W70" s="2949"/>
      <c r="X70" s="2949"/>
      <c r="Y70" s="2949"/>
      <c r="Z70" s="2949"/>
      <c r="AA70" s="2949"/>
      <c r="AB70" s="2949"/>
      <c r="AC70" s="2949"/>
      <c r="AD70" s="2949"/>
    </row>
    <row r="71" spans="1:30" s="113" customFormat="1" ht="15.75" thickTop="1">
      <c r="A71" s="536"/>
      <c r="B71" s="495">
        <f>B23</f>
        <v>111</v>
      </c>
      <c r="C71" s="506"/>
      <c r="D71" s="506"/>
      <c r="E71" s="506"/>
      <c r="F71" s="506"/>
      <c r="G71" s="511"/>
      <c r="H71" s="511"/>
      <c r="I71" s="511"/>
      <c r="J71" s="511"/>
      <c r="K71" s="511"/>
      <c r="L71" s="537"/>
      <c r="M71" s="538"/>
      <c r="N71" s="2976"/>
      <c r="O71" s="2976"/>
      <c r="P71" s="3002"/>
      <c r="Q71" s="2963"/>
      <c r="R71" s="2884"/>
      <c r="S71" s="2884"/>
      <c r="T71" s="2884"/>
      <c r="U71" s="2884"/>
      <c r="V71" s="2884"/>
      <c r="W71" s="2884"/>
      <c r="X71" s="2884"/>
      <c r="Y71" s="2884"/>
      <c r="Z71" s="2884"/>
      <c r="AA71" s="2884"/>
      <c r="AB71" s="2884"/>
      <c r="AC71" s="2884"/>
      <c r="AD71" s="2884"/>
    </row>
    <row r="72" spans="1:30" s="113" customFormat="1" ht="15.75" thickBot="1">
      <c r="A72" s="536"/>
      <c r="B72" s="500"/>
      <c r="C72" s="517"/>
      <c r="D72" s="493"/>
      <c r="E72" s="493"/>
      <c r="F72" s="493"/>
      <c r="G72" s="493"/>
      <c r="H72" s="493"/>
      <c r="I72" s="493"/>
      <c r="J72" s="493"/>
      <c r="K72" s="493"/>
      <c r="L72" s="493"/>
      <c r="M72" s="494"/>
      <c r="N72" s="2978"/>
      <c r="O72" s="2978"/>
      <c r="P72" s="3002"/>
      <c r="Q72" s="2963"/>
      <c r="R72" s="2884"/>
      <c r="S72" s="2884"/>
      <c r="T72" s="2884"/>
      <c r="U72" s="2884"/>
      <c r="V72" s="2884"/>
      <c r="W72" s="2884"/>
      <c r="X72" s="2884"/>
      <c r="Y72" s="2884"/>
      <c r="Z72" s="2884"/>
      <c r="AA72" s="2884"/>
      <c r="AB72" s="2884"/>
      <c r="AC72" s="2884"/>
      <c r="AD72" s="2884"/>
    </row>
    <row r="73" spans="1:30" s="113" customFormat="1" ht="15.75" thickTop="1">
      <c r="A73" s="536"/>
      <c r="B73" s="495">
        <f>B24</f>
        <v>111</v>
      </c>
      <c r="C73" s="506"/>
      <c r="D73" s="506"/>
      <c r="E73" s="506"/>
      <c r="F73" s="506"/>
      <c r="G73" s="511"/>
      <c r="H73" s="511"/>
      <c r="I73" s="511"/>
      <c r="J73" s="511"/>
      <c r="K73" s="511"/>
      <c r="L73" s="511"/>
      <c r="M73" s="538"/>
      <c r="N73" s="2976"/>
      <c r="O73" s="2976"/>
      <c r="P73" s="3002"/>
      <c r="Q73" s="2963"/>
      <c r="R73" s="2884"/>
      <c r="S73" s="2884"/>
      <c r="T73" s="2884"/>
      <c r="U73" s="2884"/>
      <c r="V73" s="2884"/>
      <c r="W73" s="2884"/>
      <c r="X73" s="2884"/>
      <c r="Y73" s="2884"/>
      <c r="Z73" s="2884"/>
      <c r="AA73" s="2884"/>
      <c r="AB73" s="2884"/>
      <c r="AC73" s="2884"/>
      <c r="AD73" s="2884"/>
    </row>
    <row r="74" spans="1:30" s="113" customFormat="1" ht="15.75" thickBot="1">
      <c r="A74" s="536"/>
      <c r="B74" s="500"/>
      <c r="C74" s="517"/>
      <c r="D74" s="493"/>
      <c r="E74" s="493"/>
      <c r="F74" s="493"/>
      <c r="G74" s="493"/>
      <c r="H74" s="493"/>
      <c r="I74" s="493"/>
      <c r="J74" s="493"/>
      <c r="K74" s="493"/>
      <c r="L74" s="493"/>
      <c r="M74" s="494"/>
      <c r="N74" s="2978"/>
      <c r="O74" s="2978"/>
      <c r="P74" s="3002"/>
      <c r="Q74" s="2963"/>
      <c r="R74" s="2884"/>
      <c r="S74" s="2884"/>
      <c r="T74" s="2884"/>
      <c r="U74" s="2884"/>
      <c r="V74" s="2884"/>
      <c r="W74" s="2884"/>
      <c r="X74" s="2884"/>
      <c r="Y74" s="2884"/>
      <c r="Z74" s="2884"/>
      <c r="AA74" s="2884"/>
      <c r="AB74" s="2884"/>
      <c r="AC74" s="2884"/>
      <c r="AD74" s="2884"/>
    </row>
    <row r="75" spans="1:30" s="430" customFormat="1" ht="15.75" thickTop="1">
      <c r="A75" s="510"/>
      <c r="B75" s="495">
        <f>B25</f>
        <v>111</v>
      </c>
      <c r="C75" s="506"/>
      <c r="D75" s="506"/>
      <c r="E75" s="506"/>
      <c r="F75" s="506"/>
      <c r="G75" s="511"/>
      <c r="H75" s="512"/>
      <c r="I75" s="512"/>
      <c r="J75" s="512"/>
      <c r="K75" s="512"/>
      <c r="L75" s="513"/>
      <c r="M75" s="514"/>
      <c r="N75" s="2979"/>
      <c r="O75" s="2979"/>
      <c r="P75" s="3003"/>
      <c r="Q75" s="2970"/>
      <c r="R75" s="2971"/>
      <c r="S75" s="2971"/>
      <c r="T75" s="2971"/>
      <c r="U75" s="2971"/>
      <c r="V75" s="2971"/>
      <c r="W75" s="2971"/>
      <c r="X75" s="2971"/>
      <c r="Y75" s="2971"/>
      <c r="Z75" s="2971"/>
      <c r="AA75" s="2971"/>
      <c r="AB75" s="2971"/>
      <c r="AC75" s="2971"/>
      <c r="AD75" s="2971"/>
    </row>
    <row r="76" spans="1:30" s="430" customFormat="1" ht="15.75" thickBot="1">
      <c r="A76" s="510"/>
      <c r="B76" s="500"/>
      <c r="C76" s="517"/>
      <c r="D76" s="517"/>
      <c r="E76" s="517"/>
      <c r="F76" s="517"/>
      <c r="G76" s="493"/>
      <c r="H76" s="493"/>
      <c r="I76" s="493"/>
      <c r="J76" s="493"/>
      <c r="K76" s="493"/>
      <c r="L76" s="493"/>
      <c r="M76" s="494"/>
      <c r="N76" s="2979"/>
      <c r="O76" s="2979"/>
      <c r="P76" s="3003"/>
      <c r="Q76" s="2970"/>
      <c r="R76" s="2971"/>
      <c r="S76" s="2971"/>
      <c r="T76" s="2971"/>
      <c r="U76" s="2971"/>
      <c r="V76" s="2971"/>
      <c r="W76" s="2971"/>
      <c r="X76" s="2971"/>
      <c r="Y76" s="2971"/>
      <c r="Z76" s="2971"/>
      <c r="AA76" s="2971"/>
      <c r="AB76" s="2971"/>
      <c r="AC76" s="2971"/>
      <c r="AD76" s="2971"/>
    </row>
    <row r="77" spans="1:30" ht="15" thickTop="1">
      <c r="A77" s="484" t="s">
        <v>2383</v>
      </c>
      <c r="B77" s="485" t="s">
        <v>2436</v>
      </c>
      <c r="C77" s="511"/>
      <c r="D77" s="511"/>
      <c r="E77" s="487"/>
      <c r="F77" s="487"/>
      <c r="G77" s="487"/>
      <c r="H77" s="487"/>
      <c r="I77" s="487"/>
      <c r="J77" s="487"/>
      <c r="K77" s="488"/>
      <c r="L77" s="489"/>
      <c r="M77" s="490"/>
      <c r="N77" s="2977"/>
      <c r="O77" s="2977"/>
      <c r="P77" s="3002"/>
      <c r="Q77" s="2963"/>
      <c r="R77" s="2949"/>
      <c r="S77" s="2949"/>
      <c r="T77" s="2949"/>
      <c r="U77" s="2949"/>
      <c r="V77" s="2949"/>
      <c r="W77" s="2949"/>
      <c r="X77" s="2949"/>
      <c r="Y77" s="2949"/>
      <c r="Z77" s="2949"/>
      <c r="AA77" s="2949"/>
      <c r="AB77" s="2949"/>
      <c r="AC77" s="2949"/>
      <c r="AD77" s="294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8"/>
      <c r="O78" s="2978"/>
      <c r="P78" s="3002"/>
      <c r="Q78" s="2963"/>
      <c r="R78" s="2949"/>
      <c r="S78" s="2949"/>
      <c r="T78" s="2949"/>
      <c r="U78" s="2949"/>
      <c r="V78" s="2949"/>
      <c r="W78" s="2949"/>
      <c r="X78" s="2949"/>
      <c r="Y78" s="2949"/>
      <c r="Z78" s="2949"/>
      <c r="AA78" s="2949"/>
      <c r="AB78" s="2949"/>
      <c r="AC78" s="2949"/>
      <c r="AD78" s="2949"/>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6"/>
      <c r="O79" s="2976"/>
      <c r="P79" s="3002"/>
      <c r="Q79" s="2963"/>
      <c r="R79" s="2949"/>
      <c r="S79" s="2949"/>
      <c r="T79" s="2949"/>
      <c r="U79" s="2949"/>
      <c r="V79" s="2949"/>
      <c r="W79" s="2949"/>
      <c r="X79" s="2949"/>
      <c r="Y79" s="2949"/>
      <c r="Z79" s="2949"/>
      <c r="AA79" s="2949"/>
      <c r="AB79" s="2949"/>
      <c r="AC79" s="2949"/>
      <c r="AD79" s="2949"/>
    </row>
    <row r="80" spans="1:30" ht="15">
      <c r="A80" s="491"/>
      <c r="B80" s="503"/>
      <c r="C80" s="560">
        <v>0.5</v>
      </c>
      <c r="D80" s="560">
        <v>0.6</v>
      </c>
      <c r="E80" s="560">
        <v>0.7</v>
      </c>
      <c r="F80" s="560">
        <v>0.8</v>
      </c>
      <c r="G80" s="560">
        <v>0.9</v>
      </c>
      <c r="H80" s="560">
        <v>1.0001</v>
      </c>
      <c r="I80" s="616"/>
      <c r="J80" s="616"/>
      <c r="K80" s="624"/>
      <c r="L80" s="625"/>
      <c r="M80" s="626"/>
      <c r="N80" s="2976"/>
      <c r="O80" s="2976"/>
      <c r="P80" s="3002"/>
      <c r="Q80" s="2963"/>
      <c r="R80" s="2949"/>
      <c r="S80" s="2949"/>
      <c r="T80" s="2949"/>
      <c r="U80" s="2949"/>
      <c r="V80" s="2949"/>
      <c r="W80" s="2949"/>
      <c r="X80" s="2949"/>
      <c r="Y80" s="2949"/>
      <c r="Z80" s="2949"/>
      <c r="AA80" s="2949"/>
      <c r="AB80" s="2949"/>
      <c r="AC80" s="2949"/>
      <c r="AD80" s="294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8"/>
      <c r="O81" s="2978"/>
      <c r="P81" s="3003"/>
      <c r="Q81" s="2970"/>
      <c r="R81" s="2971"/>
      <c r="S81" s="2971"/>
      <c r="T81" s="2971"/>
      <c r="U81" s="2971"/>
      <c r="V81" s="2971"/>
      <c r="W81" s="2971"/>
      <c r="X81" s="2971"/>
      <c r="Y81" s="2971"/>
      <c r="Z81" s="2971"/>
      <c r="AA81" s="2971"/>
      <c r="AB81" s="2971"/>
      <c r="AC81" s="2971"/>
      <c r="AD81" s="2971"/>
    </row>
    <row r="82" spans="1:30" ht="15" thickTop="1">
      <c r="A82" s="556"/>
      <c r="B82" s="503" t="s">
        <v>2553</v>
      </c>
      <c r="C82" s="511"/>
      <c r="D82" s="511"/>
      <c r="E82" s="540"/>
      <c r="F82" s="540"/>
      <c r="G82" s="540"/>
      <c r="H82" s="540"/>
      <c r="I82" s="540"/>
      <c r="J82" s="540"/>
      <c r="K82" s="541"/>
      <c r="L82" s="542"/>
      <c r="M82" s="543"/>
      <c r="N82" s="2977"/>
      <c r="O82" s="2977"/>
      <c r="P82" s="3002"/>
      <c r="Q82" s="2963"/>
      <c r="R82" s="2949"/>
      <c r="S82" s="2949"/>
      <c r="T82" s="2949"/>
      <c r="U82" s="2949"/>
      <c r="V82" s="2949"/>
      <c r="W82" s="2949"/>
      <c r="X82" s="2949"/>
      <c r="Y82" s="2949"/>
      <c r="Z82" s="2949"/>
      <c r="AA82" s="2949"/>
      <c r="AB82" s="2949"/>
      <c r="AC82" s="2949"/>
      <c r="AD82" s="294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8"/>
      <c r="O83" s="2978"/>
      <c r="P83" s="3002"/>
      <c r="Q83" s="2963"/>
      <c r="R83" s="2949"/>
      <c r="S83" s="2949"/>
      <c r="T83" s="2949"/>
      <c r="U83" s="2949"/>
      <c r="V83" s="2949"/>
      <c r="W83" s="2949"/>
      <c r="X83" s="2949"/>
      <c r="Y83" s="2949"/>
      <c r="Z83" s="2949"/>
      <c r="AA83" s="2949"/>
      <c r="AB83" s="2949"/>
      <c r="AC83" s="2949"/>
      <c r="AD83" s="2949"/>
    </row>
    <row r="84" spans="1:30" ht="15" thickTop="1">
      <c r="A84" s="556"/>
      <c r="B84" s="495" t="s">
        <v>2561</v>
      </c>
      <c r="C84" s="511"/>
      <c r="D84" s="511"/>
      <c r="E84" s="511"/>
      <c r="F84" s="511"/>
      <c r="G84" s="511"/>
      <c r="H84" s="511"/>
      <c r="I84" s="540"/>
      <c r="J84" s="540"/>
      <c r="K84" s="541"/>
      <c r="L84" s="542"/>
      <c r="M84" s="543"/>
      <c r="N84" s="2977"/>
      <c r="O84" s="2977"/>
      <c r="P84" s="3002"/>
      <c r="Q84" s="2963"/>
      <c r="R84" s="2949"/>
      <c r="S84" s="2949"/>
      <c r="T84" s="2949"/>
      <c r="U84" s="2949"/>
      <c r="V84" s="2949"/>
      <c r="W84" s="2949"/>
      <c r="X84" s="2949"/>
      <c r="Y84" s="2949"/>
      <c r="Z84" s="2949"/>
      <c r="AA84" s="2949"/>
      <c r="AB84" s="2949"/>
      <c r="AC84" s="2949"/>
      <c r="AD84" s="294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8"/>
      <c r="O85" s="2978"/>
      <c r="P85" s="3002"/>
      <c r="Q85" s="2963"/>
      <c r="R85" s="2949"/>
      <c r="S85" s="2949"/>
      <c r="T85" s="2949"/>
      <c r="U85" s="2949"/>
      <c r="V85" s="2949"/>
      <c r="W85" s="2949"/>
      <c r="X85" s="2949"/>
      <c r="Y85" s="2949"/>
      <c r="Z85" s="2949"/>
      <c r="AA85" s="2949"/>
      <c r="AB85" s="2949"/>
      <c r="AC85" s="2949"/>
      <c r="AD85" s="2949"/>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7"/>
      <c r="O86" s="2977"/>
      <c r="P86" s="3002"/>
      <c r="Q86" s="2963"/>
      <c r="R86" s="2949"/>
      <c r="S86" s="2949"/>
      <c r="T86" s="2949"/>
      <c r="U86" s="2949"/>
      <c r="V86" s="2949"/>
      <c r="W86" s="2949"/>
      <c r="X86" s="2949"/>
      <c r="Y86" s="2949"/>
      <c r="Z86" s="2949"/>
      <c r="AA86" s="2949"/>
      <c r="AB86" s="2949"/>
      <c r="AC86" s="2949"/>
      <c r="AD86" s="2949"/>
    </row>
    <row r="87" spans="1:30">
      <c r="A87" s="556"/>
      <c r="B87" s="503"/>
      <c r="C87" s="552"/>
      <c r="D87" s="552"/>
      <c r="E87" s="552"/>
      <c r="F87" s="552"/>
      <c r="G87" s="552"/>
      <c r="H87" s="552"/>
      <c r="I87" s="552"/>
      <c r="J87" s="553"/>
      <c r="K87" s="553"/>
      <c r="L87" s="554"/>
      <c r="M87" s="555"/>
      <c r="N87" s="2977"/>
      <c r="O87" s="2977"/>
      <c r="P87" s="3002"/>
      <c r="Q87" s="2963"/>
      <c r="R87" s="2949"/>
      <c r="S87" s="2949"/>
      <c r="T87" s="2949"/>
      <c r="U87" s="2949"/>
      <c r="V87" s="2949"/>
      <c r="W87" s="2949"/>
      <c r="X87" s="2949"/>
      <c r="Y87" s="2949"/>
      <c r="Z87" s="2949"/>
      <c r="AA87" s="2949"/>
      <c r="AB87" s="2949"/>
      <c r="AC87" s="2949"/>
      <c r="AD87" s="2949"/>
    </row>
    <row r="88" spans="1:30" ht="15.75" thickBot="1">
      <c r="A88" s="491"/>
      <c r="B88" s="500"/>
      <c r="C88" s="517"/>
      <c r="D88" s="493"/>
      <c r="E88" s="493"/>
      <c r="F88" s="493"/>
      <c r="G88" s="493"/>
      <c r="H88" s="493"/>
      <c r="I88" s="493"/>
      <c r="J88" s="493"/>
      <c r="K88" s="493"/>
      <c r="L88" s="493"/>
      <c r="M88" s="493"/>
      <c r="N88" s="2978"/>
      <c r="O88" s="2978"/>
      <c r="P88" s="3002"/>
      <c r="Q88" s="2963"/>
      <c r="R88" s="2949"/>
      <c r="S88" s="2949"/>
      <c r="T88" s="2949"/>
      <c r="U88" s="2949"/>
      <c r="V88" s="2949"/>
      <c r="W88" s="2949"/>
      <c r="X88" s="2949"/>
      <c r="Y88" s="2949"/>
      <c r="Z88" s="2949"/>
      <c r="AA88" s="2949"/>
      <c r="AB88" s="2949"/>
      <c r="AC88" s="2949"/>
      <c r="AD88" s="2949"/>
    </row>
    <row r="89" spans="1:30" s="430" customFormat="1" ht="15" thickTop="1">
      <c r="A89" s="550"/>
      <c r="B89" s="495" t="s">
        <v>2563</v>
      </c>
      <c r="C89" s="511"/>
      <c r="D89" s="511"/>
      <c r="E89" s="511"/>
      <c r="F89" s="511"/>
      <c r="G89" s="511"/>
      <c r="H89" s="511"/>
      <c r="I89" s="511"/>
      <c r="J89" s="511"/>
      <c r="K89" s="511"/>
      <c r="L89" s="511"/>
      <c r="M89" s="538"/>
      <c r="N89" s="2979"/>
      <c r="O89" s="2979"/>
      <c r="P89" s="3003"/>
      <c r="Q89" s="2970"/>
      <c r="R89" s="2971"/>
      <c r="S89" s="2971"/>
      <c r="T89" s="2971"/>
      <c r="U89" s="2971"/>
      <c r="V89" s="2971"/>
      <c r="W89" s="2971"/>
      <c r="X89" s="2971"/>
      <c r="Y89" s="2971"/>
      <c r="Z89" s="2971"/>
      <c r="AA89" s="2971"/>
      <c r="AB89" s="2971"/>
      <c r="AC89" s="2971"/>
      <c r="AD89" s="2971"/>
    </row>
    <row r="90" spans="1:30" s="430" customFormat="1" ht="15.75" thickBot="1">
      <c r="A90" s="510"/>
      <c r="B90" s="500"/>
      <c r="C90" s="517"/>
      <c r="D90" s="493"/>
      <c r="E90" s="493"/>
      <c r="F90" s="493"/>
      <c r="G90" s="493"/>
      <c r="H90" s="493"/>
      <c r="I90" s="493"/>
      <c r="J90" s="493"/>
      <c r="K90" s="493"/>
      <c r="L90" s="493"/>
      <c r="M90" s="494"/>
      <c r="N90" s="2979"/>
      <c r="O90" s="2979"/>
      <c r="P90" s="3003"/>
      <c r="Q90" s="2970"/>
      <c r="R90" s="2971"/>
      <c r="S90" s="2971"/>
      <c r="T90" s="2971"/>
      <c r="U90" s="2971"/>
      <c r="V90" s="2971"/>
      <c r="W90" s="2971"/>
      <c r="X90" s="2971"/>
      <c r="Y90" s="2971"/>
      <c r="Z90" s="2971"/>
      <c r="AA90" s="2971"/>
      <c r="AB90" s="2971"/>
      <c r="AC90" s="2971"/>
      <c r="AD90" s="2971"/>
    </row>
    <row r="91" spans="1:30" ht="15" thickTop="1">
      <c r="A91" s="556"/>
      <c r="B91" s="495">
        <f>B32</f>
        <v>111</v>
      </c>
      <c r="C91" s="506"/>
      <c r="D91" s="506"/>
      <c r="E91" s="506"/>
      <c r="F91" s="506"/>
      <c r="G91" s="511"/>
      <c r="H91" s="512"/>
      <c r="I91" s="512"/>
      <c r="J91" s="512"/>
      <c r="K91" s="512"/>
      <c r="L91" s="513"/>
      <c r="M91" s="514"/>
      <c r="N91" s="2977"/>
      <c r="O91" s="2977"/>
      <c r="P91" s="3002"/>
      <c r="Q91" s="2963"/>
      <c r="R91" s="2949"/>
      <c r="S91" s="2949"/>
      <c r="T91" s="2949"/>
      <c r="U91" s="2949"/>
      <c r="V91" s="2949"/>
      <c r="W91" s="2949"/>
      <c r="X91" s="2949"/>
      <c r="Y91" s="2949"/>
      <c r="Z91" s="2949"/>
      <c r="AA91" s="2949"/>
      <c r="AB91" s="2949"/>
      <c r="AC91" s="2949"/>
      <c r="AD91" s="2949"/>
    </row>
    <row r="92" spans="1:30" ht="15.75" thickBot="1">
      <c r="A92" s="491"/>
      <c r="B92" s="500"/>
      <c r="C92" s="517"/>
      <c r="D92" s="493"/>
      <c r="E92" s="493"/>
      <c r="F92" s="493"/>
      <c r="G92" s="517"/>
      <c r="H92" s="519"/>
      <c r="I92" s="519"/>
      <c r="J92" s="519"/>
      <c r="K92" s="519"/>
      <c r="L92" s="519"/>
      <c r="M92" s="520"/>
      <c r="N92" s="2978"/>
      <c r="O92" s="2978"/>
      <c r="P92" s="3002"/>
      <c r="Q92" s="2963"/>
      <c r="R92" s="2949"/>
      <c r="S92" s="2949"/>
      <c r="T92" s="2949"/>
      <c r="U92" s="2949"/>
      <c r="V92" s="2949"/>
      <c r="W92" s="2949"/>
      <c r="X92" s="2949"/>
      <c r="Y92" s="2949"/>
      <c r="Z92" s="2949"/>
      <c r="AA92" s="2949"/>
      <c r="AB92" s="2949"/>
      <c r="AC92" s="2949"/>
      <c r="AD92" s="2949"/>
    </row>
    <row r="93" spans="1:30" ht="15" thickTop="1">
      <c r="A93" s="556"/>
      <c r="B93" s="495">
        <f>B33</f>
        <v>111</v>
      </c>
      <c r="C93" s="506"/>
      <c r="D93" s="506"/>
      <c r="E93" s="506"/>
      <c r="F93" s="506"/>
      <c r="G93" s="511"/>
      <c r="H93" s="512"/>
      <c r="I93" s="512"/>
      <c r="J93" s="512"/>
      <c r="K93" s="512"/>
      <c r="L93" s="513"/>
      <c r="M93" s="514"/>
      <c r="N93" s="2977"/>
      <c r="O93" s="2977"/>
      <c r="P93" s="3002"/>
      <c r="Q93" s="2963"/>
      <c r="R93" s="2949"/>
      <c r="S93" s="2949"/>
      <c r="T93" s="2949"/>
      <c r="U93" s="2949"/>
      <c r="V93" s="2949"/>
      <c r="W93" s="2949"/>
      <c r="X93" s="2949"/>
      <c r="Y93" s="2949"/>
      <c r="Z93" s="2949"/>
      <c r="AA93" s="2949"/>
      <c r="AB93" s="2949"/>
      <c r="AC93" s="2949"/>
      <c r="AD93" s="2949"/>
    </row>
    <row r="94" spans="1:30" ht="15.75" thickBot="1">
      <c r="A94" s="491"/>
      <c r="B94" s="500"/>
      <c r="C94" s="517"/>
      <c r="D94" s="493"/>
      <c r="E94" s="493"/>
      <c r="F94" s="493"/>
      <c r="G94" s="517"/>
      <c r="H94" s="519"/>
      <c r="I94" s="519"/>
      <c r="J94" s="519"/>
      <c r="K94" s="519"/>
      <c r="L94" s="519"/>
      <c r="M94" s="520"/>
      <c r="N94" s="2978"/>
      <c r="O94" s="2978"/>
      <c r="P94" s="3002"/>
      <c r="Q94" s="2963"/>
      <c r="R94" s="2949"/>
      <c r="S94" s="2949"/>
      <c r="T94" s="2949"/>
      <c r="U94" s="2949"/>
      <c r="V94" s="2949"/>
      <c r="W94" s="2949"/>
      <c r="X94" s="2949"/>
      <c r="Y94" s="2949"/>
      <c r="Z94" s="2949"/>
      <c r="AA94" s="2949"/>
      <c r="AB94" s="2949"/>
      <c r="AC94" s="2949"/>
      <c r="AD94" s="2949"/>
    </row>
    <row r="95" spans="1:30" ht="15" thickTop="1">
      <c r="A95" s="556"/>
      <c r="B95" s="592">
        <f>B34</f>
        <v>111</v>
      </c>
      <c r="C95" s="506"/>
      <c r="D95" s="506"/>
      <c r="E95" s="506"/>
      <c r="F95" s="506"/>
      <c r="G95" s="511"/>
      <c r="H95" s="512"/>
      <c r="I95" s="512"/>
      <c r="J95" s="512"/>
      <c r="K95" s="512"/>
      <c r="L95" s="513"/>
      <c r="M95" s="514"/>
      <c r="N95" s="2978"/>
      <c r="O95" s="2978"/>
      <c r="P95" s="3005"/>
      <c r="Q95" s="2992"/>
      <c r="R95" s="2949"/>
      <c r="S95" s="2949"/>
      <c r="T95" s="2949"/>
      <c r="U95" s="2949"/>
      <c r="V95" s="2949"/>
      <c r="W95" s="2949"/>
      <c r="X95" s="2949"/>
      <c r="Y95" s="2949"/>
      <c r="Z95" s="2949"/>
      <c r="AA95" s="2949"/>
      <c r="AB95" s="2949"/>
      <c r="AC95" s="2949"/>
      <c r="AD95" s="2949"/>
    </row>
    <row r="96" spans="1:30" ht="15.75" thickBot="1">
      <c r="A96" s="491"/>
      <c r="B96" s="500"/>
      <c r="C96" s="517"/>
      <c r="D96" s="517"/>
      <c r="E96" s="517"/>
      <c r="F96" s="517"/>
      <c r="G96" s="517"/>
      <c r="H96" s="519"/>
      <c r="I96" s="519"/>
      <c r="J96" s="519"/>
      <c r="K96" s="519"/>
      <c r="L96" s="519"/>
      <c r="M96" s="520"/>
      <c r="N96" s="2978"/>
      <c r="O96" s="2978"/>
      <c r="P96" s="3002"/>
      <c r="Q96" s="2963"/>
      <c r="R96" s="2949"/>
      <c r="S96" s="2949"/>
      <c r="T96" s="2949"/>
      <c r="U96" s="2949"/>
      <c r="V96" s="2949"/>
      <c r="W96" s="2949"/>
      <c r="X96" s="2949"/>
      <c r="Y96" s="2949"/>
      <c r="Z96" s="2949"/>
      <c r="AA96" s="2949"/>
      <c r="AB96" s="2949"/>
      <c r="AC96" s="2949"/>
      <c r="AD96" s="2949"/>
    </row>
    <row r="97" spans="1:30" ht="15" thickTop="1">
      <c r="N97" s="2949"/>
      <c r="O97" s="2949"/>
      <c r="P97" s="2949"/>
      <c r="Q97" s="2949"/>
      <c r="R97" s="2949"/>
      <c r="S97" s="2949"/>
      <c r="T97" s="2949"/>
      <c r="U97" s="2949"/>
      <c r="V97" s="2949"/>
      <c r="W97" s="2949"/>
      <c r="X97" s="2949"/>
      <c r="Y97" s="2949"/>
      <c r="Z97" s="2949"/>
      <c r="AA97" s="2949"/>
      <c r="AB97" s="2949"/>
      <c r="AC97" s="2949"/>
      <c r="AD97" s="2949"/>
    </row>
    <row r="98" spans="1:30">
      <c r="A98" s="1067"/>
      <c r="B98" s="1067"/>
      <c r="C98" s="1067"/>
      <c r="D98" s="1067"/>
      <c r="E98" s="1067"/>
      <c r="F98" s="1067"/>
      <c r="G98" s="1067"/>
      <c r="H98" s="1067"/>
      <c r="I98" s="1067"/>
      <c r="J98" s="1067"/>
      <c r="K98" s="1068"/>
      <c r="L98" s="1069"/>
      <c r="M98" s="1067"/>
      <c r="N98" s="2949"/>
      <c r="O98" s="2949"/>
      <c r="P98" s="2949"/>
      <c r="Q98" s="2949"/>
      <c r="R98" s="2949"/>
      <c r="S98" s="2949"/>
      <c r="T98" s="2949"/>
      <c r="U98" s="2949"/>
      <c r="V98" s="2949"/>
      <c r="W98" s="2949"/>
      <c r="X98" s="2949"/>
      <c r="Y98" s="2949"/>
      <c r="Z98" s="2949"/>
      <c r="AA98" s="2949"/>
      <c r="AB98" s="2949"/>
      <c r="AC98" s="2949"/>
      <c r="AD98" s="2949"/>
    </row>
    <row r="99" spans="1:30">
      <c r="A99" s="1067"/>
      <c r="B99" s="1067"/>
      <c r="C99" s="1067"/>
      <c r="D99" s="1067"/>
      <c r="E99" s="1067"/>
      <c r="F99" s="1067"/>
      <c r="G99" s="1067"/>
      <c r="H99" s="1067"/>
      <c r="I99" s="1067"/>
      <c r="J99" s="1067"/>
      <c r="K99" s="1068"/>
      <c r="L99" s="1069"/>
      <c r="M99" s="1067"/>
      <c r="N99" s="2949"/>
      <c r="O99" s="2949"/>
      <c r="P99" s="2949"/>
      <c r="Q99" s="2949"/>
      <c r="R99" s="2949"/>
      <c r="S99" s="2949"/>
      <c r="T99" s="2949"/>
      <c r="U99" s="2949"/>
      <c r="V99" s="2949"/>
      <c r="W99" s="2949"/>
      <c r="X99" s="2949"/>
      <c r="Y99" s="2949"/>
      <c r="Z99" s="2949"/>
      <c r="AA99" s="2949"/>
      <c r="AB99" s="2949"/>
      <c r="AC99" s="2949"/>
      <c r="AD99" s="2949"/>
    </row>
    <row r="100" spans="1:30">
      <c r="A100" s="1067"/>
      <c r="B100" s="1067"/>
      <c r="C100" s="1067"/>
      <c r="D100" s="1067"/>
      <c r="E100" s="1067"/>
      <c r="F100" s="1067"/>
      <c r="G100" s="1067"/>
      <c r="H100" s="1067"/>
      <c r="I100" s="1067"/>
      <c r="J100" s="1067"/>
      <c r="K100" s="1068"/>
      <c r="L100" s="1069"/>
      <c r="M100" s="1067"/>
      <c r="N100" s="2949"/>
      <c r="O100" s="2949"/>
      <c r="P100" s="2949"/>
      <c r="Q100" s="2949"/>
      <c r="R100" s="2949"/>
      <c r="S100" s="2949"/>
      <c r="T100" s="2949"/>
      <c r="U100" s="2949"/>
      <c r="V100" s="2949"/>
      <c r="W100" s="2949"/>
      <c r="X100" s="2949"/>
      <c r="Y100" s="2949"/>
      <c r="Z100" s="2949"/>
      <c r="AA100" s="2949"/>
      <c r="AB100" s="2949"/>
      <c r="AC100" s="2949"/>
      <c r="AD100" s="2949"/>
    </row>
    <row r="101" spans="1:30">
      <c r="A101" s="1067"/>
      <c r="B101" s="1067"/>
      <c r="C101" s="1067"/>
      <c r="D101" s="1067"/>
      <c r="E101" s="1067"/>
      <c r="F101" s="1067"/>
      <c r="G101" s="1067"/>
      <c r="H101" s="1067"/>
      <c r="I101" s="1067"/>
      <c r="J101" s="1067"/>
      <c r="K101" s="1068"/>
      <c r="L101" s="1069"/>
      <c r="M101" s="1067"/>
      <c r="N101" s="2949"/>
      <c r="O101" s="2949"/>
      <c r="P101" s="2949"/>
      <c r="Q101" s="2949"/>
      <c r="R101" s="2949"/>
      <c r="S101" s="2949"/>
      <c r="T101" s="2949"/>
      <c r="U101" s="2949"/>
      <c r="V101" s="2949"/>
      <c r="W101" s="2949"/>
      <c r="X101" s="2949"/>
      <c r="Y101" s="2949"/>
      <c r="Z101" s="2949"/>
      <c r="AA101" s="2949"/>
      <c r="AB101" s="2949"/>
      <c r="AC101" s="2949"/>
      <c r="AD101" s="2949"/>
    </row>
    <row r="102" spans="1:30">
      <c r="A102" s="1067"/>
      <c r="B102" s="1067"/>
      <c r="C102" s="1067"/>
      <c r="D102" s="1067"/>
      <c r="E102" s="1067"/>
      <c r="F102" s="1067"/>
      <c r="G102" s="1067"/>
      <c r="H102" s="1067"/>
      <c r="I102" s="1067"/>
      <c r="J102" s="1067"/>
      <c r="K102" s="1068"/>
      <c r="L102" s="1069"/>
      <c r="M102" s="1067"/>
      <c r="N102" s="2949"/>
      <c r="O102" s="2949"/>
      <c r="P102" s="2949"/>
      <c r="Q102" s="2949"/>
      <c r="R102" s="2949"/>
      <c r="S102" s="2949"/>
      <c r="T102" s="2949"/>
      <c r="U102" s="2949"/>
      <c r="V102" s="2949"/>
      <c r="W102" s="2949"/>
      <c r="X102" s="2949"/>
      <c r="Y102" s="2949"/>
      <c r="Z102" s="2949"/>
      <c r="AA102" s="2949"/>
      <c r="AB102" s="2949"/>
      <c r="AC102" s="2949"/>
      <c r="AD102" s="2949"/>
    </row>
    <row r="103" spans="1:30">
      <c r="A103" s="1067"/>
      <c r="B103" s="1067"/>
      <c r="C103" s="1067"/>
      <c r="D103" s="1067"/>
      <c r="E103" s="1067"/>
      <c r="F103" s="1067"/>
      <c r="G103" s="1067"/>
      <c r="H103" s="1067"/>
      <c r="I103" s="1067"/>
      <c r="J103" s="1067"/>
      <c r="K103" s="1068"/>
      <c r="L103" s="1069"/>
      <c r="M103" s="1067"/>
      <c r="N103" s="1067"/>
      <c r="O103" s="1067"/>
      <c r="P103" s="2949"/>
      <c r="Q103" s="2949"/>
      <c r="R103" s="2949"/>
      <c r="S103" s="2949"/>
      <c r="T103" s="2949"/>
      <c r="U103" s="2949"/>
      <c r="V103" s="2949"/>
      <c r="W103" s="2949"/>
      <c r="X103" s="2949"/>
      <c r="Y103" s="2949"/>
      <c r="Z103" s="2949"/>
      <c r="AA103" s="2949"/>
      <c r="AB103" s="2949"/>
      <c r="AC103" s="2949"/>
      <c r="AD103" s="2949"/>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58"/>
      <c r="M2" s="2959"/>
      <c r="N2" s="2959"/>
      <c r="O2" s="2959"/>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58"/>
      <c r="M3" s="2959"/>
      <c r="N3" s="2959"/>
      <c r="O3" s="2959"/>
      <c r="P3" s="708"/>
      <c r="Q3" s="708"/>
      <c r="R3" s="708"/>
      <c r="S3" s="708"/>
      <c r="T3" s="708"/>
      <c r="U3" s="708"/>
      <c r="V3" s="708"/>
      <c r="W3" s="708"/>
      <c r="X3" s="708"/>
      <c r="Y3" s="708"/>
      <c r="Z3" s="708"/>
      <c r="AA3" s="708"/>
      <c r="AB3" s="725"/>
      <c r="AC3" s="722"/>
    </row>
    <row r="4" spans="1:30" ht="15">
      <c r="A4" s="361" t="s">
        <v>2465</v>
      </c>
      <c r="B4" s="362"/>
      <c r="C4" s="3302" t="s">
        <v>2466</v>
      </c>
      <c r="D4" s="3303"/>
      <c r="E4" s="3304" t="s">
        <v>2467</v>
      </c>
      <c r="F4" s="3305"/>
      <c r="G4" s="3302" t="s">
        <v>2468</v>
      </c>
      <c r="H4" s="3303"/>
      <c r="I4" s="3302" t="s">
        <v>2469</v>
      </c>
      <c r="J4" s="3303"/>
      <c r="K4" s="567" t="s">
        <v>2470</v>
      </c>
      <c r="L4" s="2939"/>
      <c r="M4" s="2940"/>
      <c r="N4" s="2940"/>
      <c r="O4" s="2940"/>
      <c r="P4" s="3306" t="s">
        <v>2471</v>
      </c>
      <c r="Q4" s="3307"/>
      <c r="R4" s="3312" t="s">
        <v>2467</v>
      </c>
      <c r="S4" s="3313"/>
      <c r="T4" s="3312" t="s">
        <v>2468</v>
      </c>
      <c r="U4" s="3313"/>
      <c r="V4" s="3318" t="s">
        <v>2469</v>
      </c>
      <c r="W4" s="3318"/>
      <c r="X4" s="1539"/>
      <c r="Y4" s="3312" t="s">
        <v>2471</v>
      </c>
      <c r="Z4" s="3313"/>
      <c r="AA4" s="3299" t="s">
        <v>2467</v>
      </c>
      <c r="AB4" s="3300" t="s">
        <v>2468</v>
      </c>
      <c r="AC4" s="3299" t="s">
        <v>2469</v>
      </c>
    </row>
    <row r="5" spans="1:30" ht="15">
      <c r="A5" s="364"/>
      <c r="B5" s="365"/>
      <c r="C5" s="3362" t="s">
        <v>2362</v>
      </c>
      <c r="D5" s="3327"/>
      <c r="E5" s="3365" t="s">
        <v>2363</v>
      </c>
      <c r="F5" s="3366"/>
      <c r="G5" s="3362" t="s">
        <v>2364</v>
      </c>
      <c r="H5" s="3327"/>
      <c r="I5" s="3362" t="s">
        <v>2365</v>
      </c>
      <c r="J5" s="3327"/>
      <c r="K5" s="567"/>
      <c r="L5" s="2939"/>
      <c r="M5" s="2940"/>
      <c r="N5" s="2940"/>
      <c r="O5" s="2940"/>
      <c r="P5" s="3308"/>
      <c r="Q5" s="3309"/>
      <c r="R5" s="3314"/>
      <c r="S5" s="3315"/>
      <c r="T5" s="3314"/>
      <c r="U5" s="3315"/>
      <c r="V5" s="3318"/>
      <c r="W5" s="3318"/>
      <c r="X5" s="1539"/>
      <c r="Y5" s="3314"/>
      <c r="Z5" s="3315"/>
      <c r="AA5" s="3300"/>
      <c r="AB5" s="3300"/>
      <c r="AC5" s="3300"/>
    </row>
    <row r="6" spans="1:30" ht="15.75" thickBot="1">
      <c r="A6" s="366"/>
      <c r="B6" s="367"/>
      <c r="C6" s="3328" t="s">
        <v>2366</v>
      </c>
      <c r="D6" s="3329"/>
      <c r="E6" s="3363" t="s">
        <v>2366</v>
      </c>
      <c r="F6" s="3364"/>
      <c r="G6" s="3328" t="s">
        <v>2366</v>
      </c>
      <c r="H6" s="3329"/>
      <c r="I6" s="3328" t="s">
        <v>2366</v>
      </c>
      <c r="J6" s="3329"/>
      <c r="K6" s="567" t="s">
        <v>2367</v>
      </c>
      <c r="L6" s="2939"/>
      <c r="M6" s="2940"/>
      <c r="N6" s="2940"/>
      <c r="O6" s="2940"/>
      <c r="P6" s="3310"/>
      <c r="Q6" s="3311"/>
      <c r="R6" s="3314"/>
      <c r="S6" s="3315"/>
      <c r="T6" s="3316"/>
      <c r="U6" s="3317"/>
      <c r="V6" s="3318"/>
      <c r="W6" s="3318"/>
      <c r="X6" s="1539"/>
      <c r="Y6" s="3316"/>
      <c r="Z6" s="3317"/>
      <c r="AA6" s="3301"/>
      <c r="AB6" s="3301"/>
      <c r="AC6" s="3301"/>
    </row>
    <row r="7" spans="1:30" s="113" customFormat="1" ht="15.75" thickBot="1">
      <c r="A7" s="368" t="s">
        <v>2368</v>
      </c>
      <c r="B7" s="369"/>
      <c r="C7" s="370">
        <f>'数据-取费表'!B2</f>
        <v>44523</v>
      </c>
      <c r="D7" s="371">
        <v>100</v>
      </c>
      <c r="E7" s="372"/>
      <c r="F7" s="373">
        <f>SUMIF(70:70,YEAR(E7)&amp;"-"&amp;INT((MONTH(E7)+2)/3),71:71)</f>
        <v>0</v>
      </c>
      <c r="G7" s="2159"/>
      <c r="H7" s="371">
        <f>SUMIF(70:70,YEAR(G7)&amp;"-"&amp;INT((MONTH(G7)+2)/3),71:71)</f>
        <v>0</v>
      </c>
      <c r="I7" s="2159"/>
      <c r="J7" s="371">
        <f>SUMIF(70:70,YEAR(I7)&amp;"-"&amp;INT((MONTH(I7)+2)/3),71:71)</f>
        <v>0</v>
      </c>
      <c r="K7" s="568"/>
      <c r="L7" s="2941"/>
      <c r="M7" s="2942"/>
      <c r="N7" s="2942"/>
      <c r="O7" s="2942"/>
      <c r="P7" s="3323" t="s">
        <v>2369</v>
      </c>
      <c r="Q7" s="3325"/>
      <c r="R7" s="710" t="s">
        <v>17</v>
      </c>
      <c r="S7" s="711">
        <f t="shared" ref="S7:S15" si="0">F7</f>
        <v>0</v>
      </c>
      <c r="T7" s="710" t="s">
        <v>17</v>
      </c>
      <c r="U7" s="711">
        <f t="shared" ref="U7:U15" si="1">H7</f>
        <v>0</v>
      </c>
      <c r="V7" s="710" t="s">
        <v>17</v>
      </c>
      <c r="W7" s="711">
        <f t="shared" ref="W7:W15" si="2">J7</f>
        <v>0</v>
      </c>
      <c r="X7" s="712"/>
      <c r="Y7" s="3323" t="s">
        <v>2369</v>
      </c>
      <c r="Z7" s="3324"/>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1"/>
      <c r="M8" s="2942"/>
      <c r="N8" s="2942"/>
      <c r="O8" s="2942"/>
      <c r="P8" s="3323" t="s">
        <v>2372</v>
      </c>
      <c r="Q8" s="3324"/>
      <c r="R8" s="710" t="s">
        <v>17</v>
      </c>
      <c r="S8" s="711">
        <f t="shared" si="0"/>
        <v>0</v>
      </c>
      <c r="T8" s="710" t="s">
        <v>17</v>
      </c>
      <c r="U8" s="711">
        <f t="shared" si="1"/>
        <v>0</v>
      </c>
      <c r="V8" s="710" t="s">
        <v>17</v>
      </c>
      <c r="W8" s="711">
        <f t="shared" si="2"/>
        <v>0</v>
      </c>
      <c r="X8" s="712"/>
      <c r="Y8" s="3323" t="s">
        <v>2372</v>
      </c>
      <c r="Z8" s="3324"/>
      <c r="AA8" s="713" t="e">
        <f t="shared" ref="AA8:AA45" si="3">D8/F8</f>
        <v>#DIV/0!</v>
      </c>
      <c r="AB8" s="713" t="e">
        <f t="shared" ref="AB8:AB45" si="4">D8/H8</f>
        <v>#DIV/0!</v>
      </c>
      <c r="AC8" s="713" t="e">
        <f t="shared" ref="AC8:AC45" si="5">D8/J8</f>
        <v>#DIV/0!</v>
      </c>
    </row>
    <row r="9" spans="1:30" s="113" customFormat="1">
      <c r="A9" s="375" t="s">
        <v>2373</v>
      </c>
      <c r="B9" s="67" t="s">
        <v>2374</v>
      </c>
      <c r="C9" s="2162"/>
      <c r="D9" s="131">
        <v>100</v>
      </c>
      <c r="E9" s="2162"/>
      <c r="F9" s="131">
        <f>SUMIF(75:75,E9,76:76)-SUMIF(75:75,C9,76:76)+100</f>
        <v>100</v>
      </c>
      <c r="G9" s="2162"/>
      <c r="H9" s="131">
        <f>SUMIF(75:75,G9,76:76)-SUMIF(75:75,C9,76:76)+100</f>
        <v>100</v>
      </c>
      <c r="I9" s="2162"/>
      <c r="J9" s="131">
        <f>SUMIF(75:75,I9,76:76)-SUMIF(75:75,C9,76:76)+100</f>
        <v>100</v>
      </c>
      <c r="K9" s="568"/>
      <c r="L9" s="2941"/>
      <c r="M9" s="2942"/>
      <c r="N9" s="2942"/>
      <c r="O9" s="2996"/>
      <c r="P9" s="3287" t="s">
        <v>2375</v>
      </c>
      <c r="Q9" s="1527" t="str">
        <f t="shared" ref="Q9:Q15" si="6">B9</f>
        <v>用途</v>
      </c>
      <c r="R9" s="710" t="s">
        <v>17</v>
      </c>
      <c r="S9" s="711">
        <f t="shared" si="0"/>
        <v>100</v>
      </c>
      <c r="T9" s="710" t="s">
        <v>17</v>
      </c>
      <c r="U9" s="711">
        <f t="shared" si="1"/>
        <v>100</v>
      </c>
      <c r="V9" s="710" t="s">
        <v>17</v>
      </c>
      <c r="W9" s="711">
        <f t="shared" si="2"/>
        <v>100</v>
      </c>
      <c r="X9" s="712"/>
      <c r="Y9" s="3185"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100</v>
      </c>
      <c r="G10" s="422"/>
      <c r="H10" s="132">
        <f>ROUND(100/'数据-取费表'!G16,0)</f>
        <v>100</v>
      </c>
      <c r="I10" s="422"/>
      <c r="J10" s="132">
        <f>ROUND(100/'数据-取费表'!G16,0)</f>
        <v>100</v>
      </c>
      <c r="K10" s="628"/>
      <c r="L10" s="2943"/>
      <c r="M10" s="2944"/>
      <c r="N10" s="2944"/>
      <c r="O10" s="2997"/>
      <c r="P10" s="3287"/>
      <c r="Q10" s="1527"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713">
        <f t="shared" si="5"/>
        <v>1</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5"/>
      <c r="M11" s="2940"/>
      <c r="N11" s="2940"/>
      <c r="O11" s="2998"/>
      <c r="P11" s="3287"/>
      <c r="Q11" s="1527" t="str">
        <f t="shared" si="6"/>
        <v>容积率</v>
      </c>
      <c r="R11" s="710" t="s">
        <v>17</v>
      </c>
      <c r="S11" s="711" t="e">
        <f t="shared" si="0"/>
        <v>#N/A</v>
      </c>
      <c r="T11" s="710" t="s">
        <v>17</v>
      </c>
      <c r="U11" s="711" t="e">
        <f t="shared" si="1"/>
        <v>#N/A</v>
      </c>
      <c r="V11" s="710" t="s">
        <v>17</v>
      </c>
      <c r="W11" s="711" t="e">
        <f t="shared" si="2"/>
        <v>#N/A</v>
      </c>
      <c r="X11" s="712"/>
      <c r="Y11" s="3185"/>
      <c r="Z11" s="55" t="str">
        <f t="shared" si="7"/>
        <v>容积率</v>
      </c>
      <c r="AA11" s="713" t="e">
        <f t="shared" si="3"/>
        <v>#N/A</v>
      </c>
      <c r="AB11" s="713" t="e">
        <f t="shared" si="4"/>
        <v>#N/A</v>
      </c>
      <c r="AC11" s="713"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41"/>
      <c r="M12" s="2942"/>
      <c r="N12" s="2942"/>
      <c r="O12" s="2996"/>
      <c r="P12" s="3287"/>
      <c r="Q12" s="1527" t="str">
        <f t="shared" si="6"/>
        <v>配建</v>
      </c>
      <c r="R12" s="710" t="s">
        <v>17</v>
      </c>
      <c r="S12" s="711">
        <f t="shared" si="0"/>
        <v>100</v>
      </c>
      <c r="T12" s="710" t="s">
        <v>17</v>
      </c>
      <c r="U12" s="711">
        <f t="shared" si="1"/>
        <v>100</v>
      </c>
      <c r="V12" s="710" t="s">
        <v>17</v>
      </c>
      <c r="W12" s="711">
        <f t="shared" si="2"/>
        <v>100</v>
      </c>
      <c r="X12" s="712"/>
      <c r="Y12" s="3185"/>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46"/>
      <c r="M13" s="2940"/>
      <c r="N13" s="2940"/>
      <c r="O13" s="2998"/>
      <c r="P13" s="3287"/>
      <c r="Q13" s="1527">
        <f t="shared" si="6"/>
        <v>111</v>
      </c>
      <c r="R13" s="710" t="s">
        <v>17</v>
      </c>
      <c r="S13" s="711">
        <f t="shared" si="0"/>
        <v>100</v>
      </c>
      <c r="T13" s="710" t="s">
        <v>17</v>
      </c>
      <c r="U13" s="711">
        <f t="shared" si="1"/>
        <v>100</v>
      </c>
      <c r="V13" s="710" t="s">
        <v>17</v>
      </c>
      <c r="W13" s="711">
        <f t="shared" si="2"/>
        <v>100</v>
      </c>
      <c r="X13" s="712"/>
      <c r="Y13" s="3185"/>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46"/>
      <c r="M14" s="2940"/>
      <c r="N14" s="2940"/>
      <c r="O14" s="2998"/>
      <c r="P14" s="3287"/>
      <c r="Q14" s="1527">
        <f t="shared" si="6"/>
        <v>111</v>
      </c>
      <c r="R14" s="710" t="s">
        <v>17</v>
      </c>
      <c r="S14" s="711">
        <f t="shared" si="0"/>
        <v>100</v>
      </c>
      <c r="T14" s="710" t="s">
        <v>17</v>
      </c>
      <c r="U14" s="711">
        <f t="shared" si="1"/>
        <v>100</v>
      </c>
      <c r="V14" s="710" t="s">
        <v>17</v>
      </c>
      <c r="W14" s="711">
        <f t="shared" si="2"/>
        <v>100</v>
      </c>
      <c r="X14" s="712"/>
      <c r="Y14" s="3185"/>
      <c r="Z14" s="55">
        <f t="shared" si="7"/>
        <v>111</v>
      </c>
      <c r="AA14" s="713">
        <f>D14/F14</f>
        <v>1</v>
      </c>
      <c r="AB14" s="713">
        <f>D14/H14</f>
        <v>1</v>
      </c>
      <c r="AC14" s="713">
        <f>D14/J14</f>
        <v>1</v>
      </c>
    </row>
    <row r="15" spans="1:30" ht="99.75">
      <c r="A15" s="399" t="s">
        <v>2379</v>
      </c>
      <c r="B15" s="65" t="s">
        <v>1942</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6"/>
      <c r="M15" s="2940"/>
      <c r="N15" s="2940"/>
      <c r="O15" s="2998"/>
      <c r="P15" s="3289" t="s">
        <v>2380</v>
      </c>
      <c r="Q15" s="1536" t="str">
        <f t="shared" si="6"/>
        <v>居住社区成熟度</v>
      </c>
      <c r="R15" s="714" t="s">
        <v>17</v>
      </c>
      <c r="S15" s="715">
        <f t="shared" si="0"/>
        <v>100</v>
      </c>
      <c r="T15" s="714" t="s">
        <v>17</v>
      </c>
      <c r="U15" s="715">
        <f t="shared" si="1"/>
        <v>100</v>
      </c>
      <c r="V15" s="714" t="s">
        <v>17</v>
      </c>
      <c r="W15" s="715">
        <f t="shared" si="2"/>
        <v>100</v>
      </c>
      <c r="X15" s="1539"/>
      <c r="Y15" s="3289" t="s">
        <v>2380</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46"/>
      <c r="M16" s="2940"/>
      <c r="N16" s="2940"/>
      <c r="O16" s="2998"/>
      <c r="P16" s="3290"/>
      <c r="Q16" s="1536"/>
      <c r="R16" s="714"/>
      <c r="S16" s="715"/>
      <c r="T16" s="714"/>
      <c r="U16" s="715"/>
      <c r="V16" s="714"/>
      <c r="W16" s="715"/>
      <c r="X16" s="1539"/>
      <c r="Y16" s="3290"/>
      <c r="Z16" s="1540"/>
      <c r="AA16" s="1537">
        <v>1</v>
      </c>
      <c r="AB16" s="1537">
        <v>1</v>
      </c>
      <c r="AC16" s="1537">
        <v>1</v>
      </c>
    </row>
    <row r="17" spans="1:29" ht="71.25">
      <c r="A17" s="387"/>
      <c r="B17" s="410" t="s">
        <v>2473</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6"/>
      <c r="M17" s="2940"/>
      <c r="N17" s="2940"/>
      <c r="O17" s="2998"/>
      <c r="P17" s="3290"/>
      <c r="Q17" s="1536" t="str">
        <f>B17</f>
        <v>商业繁华度</v>
      </c>
      <c r="R17" s="714" t="s">
        <v>17</v>
      </c>
      <c r="S17" s="715">
        <f>F17</f>
        <v>100</v>
      </c>
      <c r="T17" s="714" t="s">
        <v>17</v>
      </c>
      <c r="U17" s="715">
        <f>H17</f>
        <v>100</v>
      </c>
      <c r="V17" s="714" t="s">
        <v>17</v>
      </c>
      <c r="W17" s="715">
        <f>J17</f>
        <v>100</v>
      </c>
      <c r="X17" s="1539"/>
      <c r="Y17" s="3290"/>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46"/>
      <c r="M18" s="2940"/>
      <c r="N18" s="2940"/>
      <c r="O18" s="2998"/>
      <c r="P18" s="3290"/>
      <c r="Q18" s="1536"/>
      <c r="R18" s="714"/>
      <c r="S18" s="715"/>
      <c r="T18" s="714"/>
      <c r="U18" s="715"/>
      <c r="V18" s="714"/>
      <c r="W18" s="715"/>
      <c r="X18" s="1539"/>
      <c r="Y18" s="3290"/>
      <c r="Z18" s="1540"/>
      <c r="AA18" s="1537">
        <v>1</v>
      </c>
      <c r="AB18" s="1537">
        <v>1</v>
      </c>
      <c r="AC18" s="1537">
        <v>1</v>
      </c>
    </row>
    <row r="19" spans="1:29" ht="71.25">
      <c r="A19" s="387"/>
      <c r="B19" s="410" t="s">
        <v>2507</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6"/>
      <c r="M19" s="2940"/>
      <c r="N19" s="2940"/>
      <c r="O19" s="2998"/>
      <c r="P19" s="3290"/>
      <c r="Q19" s="1536" t="str">
        <f>B19</f>
        <v>办公集聚程度</v>
      </c>
      <c r="R19" s="714" t="s">
        <v>17</v>
      </c>
      <c r="S19" s="715">
        <f>F19</f>
        <v>100</v>
      </c>
      <c r="T19" s="714" t="s">
        <v>17</v>
      </c>
      <c r="U19" s="715">
        <f>H19</f>
        <v>100</v>
      </c>
      <c r="V19" s="714" t="s">
        <v>17</v>
      </c>
      <c r="W19" s="715">
        <f>J19</f>
        <v>100</v>
      </c>
      <c r="X19" s="1539"/>
      <c r="Y19" s="3290"/>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46"/>
      <c r="M20" s="2940"/>
      <c r="N20" s="2940"/>
      <c r="O20" s="2998"/>
      <c r="P20" s="3290"/>
      <c r="Q20" s="1536"/>
      <c r="R20" s="714"/>
      <c r="S20" s="715"/>
      <c r="T20" s="714"/>
      <c r="U20" s="715"/>
      <c r="V20" s="714"/>
      <c r="W20" s="715"/>
      <c r="X20" s="1539"/>
      <c r="Y20" s="3290"/>
      <c r="Z20" s="1540"/>
      <c r="AA20" s="1537">
        <v>1</v>
      </c>
      <c r="AB20" s="1537">
        <v>1</v>
      </c>
      <c r="AC20" s="1537">
        <v>1</v>
      </c>
    </row>
    <row r="21" spans="1:29" ht="85.5">
      <c r="A21" s="387"/>
      <c r="B21" s="410" t="s">
        <v>2529</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6"/>
      <c r="M21" s="2940"/>
      <c r="N21" s="2940"/>
      <c r="O21" s="2998"/>
      <c r="P21" s="3290"/>
      <c r="Q21" s="1536" t="str">
        <f>B21</f>
        <v>交通便捷度</v>
      </c>
      <c r="R21" s="714" t="s">
        <v>17</v>
      </c>
      <c r="S21" s="715">
        <f>F21</f>
        <v>100</v>
      </c>
      <c r="T21" s="714" t="s">
        <v>17</v>
      </c>
      <c r="U21" s="715">
        <f>H21</f>
        <v>100</v>
      </c>
      <c r="V21" s="714" t="s">
        <v>17</v>
      </c>
      <c r="W21" s="715">
        <f>J21</f>
        <v>100</v>
      </c>
      <c r="X21" s="1539"/>
      <c r="Y21" s="3290"/>
      <c r="Z21" s="1540" t="str">
        <f>Q21</f>
        <v>交通便捷度</v>
      </c>
      <c r="AA21" s="1537">
        <f t="shared" si="3"/>
        <v>1</v>
      </c>
      <c r="AB21" s="1537">
        <f t="shared" si="4"/>
        <v>1</v>
      </c>
      <c r="AC21" s="1537">
        <f t="shared" si="5"/>
        <v>1</v>
      </c>
    </row>
    <row r="22" spans="1:29" ht="15">
      <c r="A22" s="387"/>
      <c r="B22" s="1293"/>
      <c r="C22" s="406"/>
      <c r="D22" s="409"/>
      <c r="E22" s="2083"/>
      <c r="F22" s="407"/>
      <c r="G22" s="2083"/>
      <c r="H22" s="407"/>
      <c r="I22" s="2082"/>
      <c r="J22" s="407"/>
      <c r="K22" s="628"/>
      <c r="L22" s="2946"/>
      <c r="M22" s="2940"/>
      <c r="N22" s="2940"/>
      <c r="O22" s="2998"/>
      <c r="P22" s="3290"/>
      <c r="Q22" s="1536"/>
      <c r="R22" s="714"/>
      <c r="S22" s="715"/>
      <c r="T22" s="714"/>
      <c r="U22" s="715"/>
      <c r="V22" s="714"/>
      <c r="W22" s="715"/>
      <c r="X22" s="1539"/>
      <c r="Y22" s="3290"/>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6"/>
      <c r="M23" s="2940"/>
      <c r="N23" s="2940"/>
      <c r="O23" s="2998"/>
      <c r="P23" s="3290"/>
      <c r="Q23" s="1536" t="str">
        <f t="shared" ref="Q23:Q37" si="8">B23</f>
        <v>区域土地利用方向</v>
      </c>
      <c r="R23" s="714" t="s">
        <v>17</v>
      </c>
      <c r="S23" s="715">
        <f>F23</f>
        <v>100</v>
      </c>
      <c r="T23" s="714" t="s">
        <v>17</v>
      </c>
      <c r="U23" s="715">
        <f>H23</f>
        <v>100</v>
      </c>
      <c r="V23" s="714" t="s">
        <v>17</v>
      </c>
      <c r="W23" s="715">
        <f>J23</f>
        <v>100</v>
      </c>
      <c r="X23" s="1539"/>
      <c r="Y23" s="3290"/>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1"/>
      <c r="L24" s="2946"/>
      <c r="M24" s="2940"/>
      <c r="N24" s="2940"/>
      <c r="O24" s="2998"/>
      <c r="P24" s="3290"/>
      <c r="Q24" s="1536"/>
      <c r="R24" s="714"/>
      <c r="S24" s="715"/>
      <c r="T24" s="714"/>
      <c r="U24" s="715"/>
      <c r="V24" s="714"/>
      <c r="W24" s="715"/>
      <c r="X24" s="1539"/>
      <c r="Y24" s="3290"/>
      <c r="Z24" s="1540"/>
      <c r="AA24" s="1537"/>
      <c r="AB24" s="1537"/>
      <c r="AC24" s="1537"/>
    </row>
    <row r="25" spans="1:29" ht="57">
      <c r="A25" s="364"/>
      <c r="B25" s="1293" t="s">
        <v>2569</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6"/>
      <c r="M25" s="2940"/>
      <c r="N25" s="2940"/>
      <c r="O25" s="2998"/>
      <c r="P25" s="3290"/>
      <c r="Q25" s="1536" t="str">
        <f t="shared" si="8"/>
        <v>自然及人文环境状况</v>
      </c>
      <c r="R25" s="714" t="s">
        <v>17</v>
      </c>
      <c r="S25" s="715">
        <f>F25</f>
        <v>100</v>
      </c>
      <c r="T25" s="714" t="s">
        <v>17</v>
      </c>
      <c r="U25" s="715">
        <f>H25</f>
        <v>100</v>
      </c>
      <c r="V25" s="714" t="s">
        <v>17</v>
      </c>
      <c r="W25" s="715">
        <f>J25</f>
        <v>100</v>
      </c>
      <c r="X25" s="1539"/>
      <c r="Y25" s="3290"/>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46"/>
      <c r="M26" s="2940"/>
      <c r="N26" s="2940"/>
      <c r="O26" s="2998"/>
      <c r="P26" s="3290"/>
      <c r="Q26" s="1536"/>
      <c r="R26" s="714"/>
      <c r="S26" s="715"/>
      <c r="T26" s="714"/>
      <c r="U26" s="715"/>
      <c r="V26" s="714"/>
      <c r="W26" s="715"/>
      <c r="X26" s="1539"/>
      <c r="Y26" s="3290"/>
      <c r="Z26" s="1540"/>
      <c r="AA26" s="1537">
        <v>1</v>
      </c>
      <c r="AB26" s="1537">
        <v>1</v>
      </c>
      <c r="AC26" s="1537">
        <v>1</v>
      </c>
    </row>
    <row r="27" spans="1:29" s="113" customFormat="1" ht="42.75">
      <c r="A27" s="605"/>
      <c r="B27" s="1293" t="s">
        <v>2474</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1"/>
      <c r="M27" s="2942"/>
      <c r="N27" s="2942"/>
      <c r="O27" s="2996"/>
      <c r="P27" s="3290"/>
      <c r="Q27" s="1527" t="str">
        <f t="shared" si="8"/>
        <v>公共配套设施</v>
      </c>
      <c r="R27" s="710" t="s">
        <v>17</v>
      </c>
      <c r="S27" s="711">
        <f>F27</f>
        <v>100</v>
      </c>
      <c r="T27" s="710" t="s">
        <v>17</v>
      </c>
      <c r="U27" s="711">
        <f>H27</f>
        <v>100</v>
      </c>
      <c r="V27" s="710" t="s">
        <v>17</v>
      </c>
      <c r="W27" s="711">
        <f>J27</f>
        <v>100</v>
      </c>
      <c r="X27" s="712"/>
      <c r="Y27" s="3290"/>
      <c r="Z27" s="55" t="str">
        <f>Q27</f>
        <v>公共配套设施</v>
      </c>
      <c r="AA27" s="1537">
        <f>D27/F27</f>
        <v>1</v>
      </c>
      <c r="AB27" s="1537">
        <f>D27/H27</f>
        <v>1</v>
      </c>
      <c r="AC27" s="1537">
        <f>D27/J27</f>
        <v>1</v>
      </c>
    </row>
    <row r="28" spans="1:29" s="113" customFormat="1" ht="15">
      <c r="A28" s="605"/>
      <c r="B28" s="415"/>
      <c r="C28" s="2163"/>
      <c r="D28" s="407"/>
      <c r="E28" s="2089"/>
      <c r="F28" s="407"/>
      <c r="G28" s="2089"/>
      <c r="H28" s="407"/>
      <c r="I28" s="406"/>
      <c r="J28" s="407"/>
      <c r="K28" s="628"/>
      <c r="L28" s="2941"/>
      <c r="M28" s="2942"/>
      <c r="N28" s="2942"/>
      <c r="O28" s="2996"/>
      <c r="P28" s="3290"/>
      <c r="Q28" s="1527"/>
      <c r="R28" s="710"/>
      <c r="S28" s="711"/>
      <c r="T28" s="710"/>
      <c r="U28" s="711"/>
      <c r="V28" s="710"/>
      <c r="W28" s="711"/>
      <c r="X28" s="712"/>
      <c r="Y28" s="3290"/>
      <c r="Z28" s="55"/>
      <c r="AA28" s="1537">
        <v>1</v>
      </c>
      <c r="AB28" s="1537">
        <v>1</v>
      </c>
      <c r="AC28" s="1537">
        <v>1</v>
      </c>
    </row>
    <row r="29" spans="1:29" s="113" customFormat="1" ht="28.5">
      <c r="A29" s="605"/>
      <c r="B29" s="1293" t="s">
        <v>2475</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1"/>
      <c r="M29" s="2942"/>
      <c r="N29" s="2942"/>
      <c r="O29" s="2996"/>
      <c r="P29" s="3290"/>
      <c r="Q29" s="1527" t="str">
        <f t="shared" ref="Q29" si="9">B29</f>
        <v>基础设施水平</v>
      </c>
      <c r="R29" s="710" t="s">
        <v>17</v>
      </c>
      <c r="S29" s="711">
        <f>F29</f>
        <v>100</v>
      </c>
      <c r="T29" s="710" t="s">
        <v>17</v>
      </c>
      <c r="U29" s="711">
        <f>H29</f>
        <v>100</v>
      </c>
      <c r="V29" s="710" t="s">
        <v>17</v>
      </c>
      <c r="W29" s="711">
        <f>J29</f>
        <v>100</v>
      </c>
      <c r="X29" s="712"/>
      <c r="Y29" s="3290"/>
      <c r="Z29" s="55" t="str">
        <f>Q29</f>
        <v>基础设施水平</v>
      </c>
      <c r="AA29" s="1537">
        <f>D29/F29</f>
        <v>1</v>
      </c>
      <c r="AB29" s="1537">
        <f>D29/H29</f>
        <v>1</v>
      </c>
      <c r="AC29" s="1537">
        <f>D29/J29</f>
        <v>1</v>
      </c>
    </row>
    <row r="30" spans="1:29" s="113" customFormat="1" ht="15">
      <c r="A30" s="605"/>
      <c r="B30" s="415"/>
      <c r="C30" s="2163"/>
      <c r="D30" s="407"/>
      <c r="E30" s="2164"/>
      <c r="F30" s="407"/>
      <c r="G30" s="2164"/>
      <c r="H30" s="407"/>
      <c r="I30" s="2164"/>
      <c r="J30" s="407"/>
      <c r="K30" s="628"/>
      <c r="L30" s="2941"/>
      <c r="M30" s="2942"/>
      <c r="N30" s="2942"/>
      <c r="O30" s="2996"/>
      <c r="P30" s="3290"/>
      <c r="Q30" s="1527"/>
      <c r="R30" s="710"/>
      <c r="S30" s="711"/>
      <c r="T30" s="710"/>
      <c r="U30" s="711"/>
      <c r="V30" s="710"/>
      <c r="W30" s="711"/>
      <c r="X30" s="712"/>
      <c r="Y30" s="3290"/>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6"/>
      <c r="M31" s="2940"/>
      <c r="N31" s="2940"/>
      <c r="O31" s="2998"/>
      <c r="P31" s="3290"/>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90"/>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6"/>
      <c r="M32" s="2940"/>
      <c r="N32" s="2940"/>
      <c r="O32" s="2998"/>
      <c r="P32" s="3290"/>
      <c r="Q32" s="1536" t="str">
        <f t="shared" si="8"/>
        <v>毗邻道路的类型与等级</v>
      </c>
      <c r="R32" s="714" t="s">
        <v>17</v>
      </c>
      <c r="S32" s="715">
        <f t="shared" si="10"/>
        <v>100</v>
      </c>
      <c r="T32" s="714" t="s">
        <v>17</v>
      </c>
      <c r="U32" s="715">
        <f t="shared" si="11"/>
        <v>100</v>
      </c>
      <c r="V32" s="714" t="s">
        <v>17</v>
      </c>
      <c r="W32" s="715">
        <f t="shared" si="12"/>
        <v>100</v>
      </c>
      <c r="X32" s="1539"/>
      <c r="Y32" s="3290"/>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46"/>
      <c r="M33" s="2940"/>
      <c r="N33" s="2940"/>
      <c r="O33" s="2998"/>
      <c r="P33" s="3290"/>
      <c r="Q33" s="1536"/>
      <c r="R33" s="714"/>
      <c r="S33" s="715"/>
      <c r="T33" s="714"/>
      <c r="U33" s="715"/>
      <c r="V33" s="714"/>
      <c r="W33" s="715"/>
      <c r="X33" s="1539"/>
      <c r="Y33" s="3290"/>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6"/>
      <c r="M34" s="2940"/>
      <c r="N34" s="2940"/>
      <c r="O34" s="2998"/>
      <c r="P34" s="3290"/>
      <c r="Q34" s="1536" t="str">
        <f t="shared" si="8"/>
        <v>土地级别</v>
      </c>
      <c r="R34" s="714" t="s">
        <v>17</v>
      </c>
      <c r="S34" s="715">
        <f t="shared" si="10"/>
        <v>100</v>
      </c>
      <c r="T34" s="714" t="s">
        <v>17</v>
      </c>
      <c r="U34" s="715">
        <f t="shared" si="11"/>
        <v>100</v>
      </c>
      <c r="V34" s="714" t="s">
        <v>17</v>
      </c>
      <c r="W34" s="715">
        <f t="shared" si="12"/>
        <v>100</v>
      </c>
      <c r="X34" s="1539"/>
      <c r="Y34" s="3290"/>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6"/>
      <c r="M35" s="2940"/>
      <c r="N35" s="2940"/>
      <c r="O35" s="2998"/>
      <c r="P35" s="3290"/>
      <c r="Q35" s="1536">
        <f t="shared" si="8"/>
        <v>111</v>
      </c>
      <c r="R35" s="714" t="s">
        <v>17</v>
      </c>
      <c r="S35" s="715">
        <f t="shared" si="10"/>
        <v>100</v>
      </c>
      <c r="T35" s="714" t="s">
        <v>17</v>
      </c>
      <c r="U35" s="715">
        <f t="shared" si="11"/>
        <v>100</v>
      </c>
      <c r="V35" s="714" t="s">
        <v>17</v>
      </c>
      <c r="W35" s="715">
        <f t="shared" si="12"/>
        <v>100</v>
      </c>
      <c r="X35" s="1539"/>
      <c r="Y35" s="3290"/>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6"/>
      <c r="M36" s="2940"/>
      <c r="N36" s="2940"/>
      <c r="O36" s="2998"/>
      <c r="P36" s="3382" t="s">
        <v>2385</v>
      </c>
      <c r="Q36" s="1536">
        <f t="shared" si="8"/>
        <v>111</v>
      </c>
      <c r="R36" s="714" t="s">
        <v>17</v>
      </c>
      <c r="S36" s="715">
        <f t="shared" si="10"/>
        <v>100</v>
      </c>
      <c r="T36" s="714" t="s">
        <v>17</v>
      </c>
      <c r="U36" s="715">
        <f t="shared" si="11"/>
        <v>100</v>
      </c>
      <c r="V36" s="714" t="s">
        <v>17</v>
      </c>
      <c r="W36" s="715">
        <f t="shared" si="12"/>
        <v>100</v>
      </c>
      <c r="X36" s="1539"/>
      <c r="Y36" s="3294"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5"/>
      <c r="M37" s="2947"/>
      <c r="N37" s="2947"/>
      <c r="O37" s="2999"/>
      <c r="P37" s="3294"/>
      <c r="Q37" s="1536">
        <f t="shared" si="8"/>
        <v>111</v>
      </c>
      <c r="R37" s="717" t="s">
        <v>17</v>
      </c>
      <c r="S37" s="718">
        <f t="shared" si="10"/>
        <v>100</v>
      </c>
      <c r="T37" s="717" t="s">
        <v>17</v>
      </c>
      <c r="U37" s="718">
        <f t="shared" si="11"/>
        <v>100</v>
      </c>
      <c r="V37" s="717" t="s">
        <v>17</v>
      </c>
      <c r="W37" s="718">
        <f t="shared" si="12"/>
        <v>100</v>
      </c>
      <c r="X37" s="719"/>
      <c r="Y37" s="3294"/>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6"/>
      <c r="M38" s="2940"/>
      <c r="N38" s="2940"/>
      <c r="O38" s="2998"/>
      <c r="P38" s="3294"/>
      <c r="Q38" s="1536" t="str">
        <f>B38</f>
        <v>宗地面积</v>
      </c>
      <c r="R38" s="714" t="s">
        <v>17</v>
      </c>
      <c r="S38" s="715" t="e">
        <f t="shared" si="10"/>
        <v>#N/A</v>
      </c>
      <c r="T38" s="714" t="s">
        <v>17</v>
      </c>
      <c r="U38" s="715" t="e">
        <f t="shared" si="11"/>
        <v>#N/A</v>
      </c>
      <c r="V38" s="714" t="s">
        <v>17</v>
      </c>
      <c r="W38" s="715" t="e">
        <f t="shared" si="12"/>
        <v>#N/A</v>
      </c>
      <c r="X38" s="1539"/>
      <c r="Y38" s="3294"/>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46"/>
      <c r="M39" s="2940"/>
      <c r="N39" s="2940"/>
      <c r="O39" s="2998"/>
      <c r="P39" s="3294"/>
      <c r="Q39" s="1536" t="str">
        <f t="shared" ref="Q39:Q45" si="14">B39</f>
        <v>宗地形状</v>
      </c>
      <c r="R39" s="714" t="s">
        <v>17</v>
      </c>
      <c r="S39" s="715">
        <f t="shared" si="10"/>
        <v>100</v>
      </c>
      <c r="T39" s="714" t="s">
        <v>17</v>
      </c>
      <c r="U39" s="715">
        <f t="shared" si="11"/>
        <v>100</v>
      </c>
      <c r="V39" s="714" t="s">
        <v>17</v>
      </c>
      <c r="W39" s="715">
        <f t="shared" si="12"/>
        <v>100</v>
      </c>
      <c r="X39" s="1539"/>
      <c r="Y39" s="3294"/>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46"/>
      <c r="M40" s="2940"/>
      <c r="N40" s="2940"/>
      <c r="O40" s="2998"/>
      <c r="P40" s="3294"/>
      <c r="Q40" s="1536" t="str">
        <f t="shared" si="14"/>
        <v>临街宽度及深度</v>
      </c>
      <c r="R40" s="714" t="s">
        <v>17</v>
      </c>
      <c r="S40" s="715">
        <f t="shared" si="10"/>
        <v>100</v>
      </c>
      <c r="T40" s="714" t="s">
        <v>17</v>
      </c>
      <c r="U40" s="715">
        <f t="shared" si="11"/>
        <v>100</v>
      </c>
      <c r="V40" s="714" t="s">
        <v>17</v>
      </c>
      <c r="W40" s="715">
        <f t="shared" si="12"/>
        <v>100</v>
      </c>
      <c r="X40" s="1539"/>
      <c r="Y40" s="3294"/>
      <c r="Z40" s="1540" t="str">
        <f t="shared" si="13"/>
        <v>临街宽度及深度</v>
      </c>
      <c r="AA40" s="1537">
        <f t="shared" si="3"/>
        <v>1</v>
      </c>
      <c r="AB40" s="1537">
        <f t="shared" si="4"/>
        <v>1</v>
      </c>
      <c r="AC40" s="1537">
        <f t="shared" si="5"/>
        <v>1</v>
      </c>
    </row>
    <row r="41" spans="1:29" s="113" customFormat="1" ht="15">
      <c r="A41" s="432"/>
      <c r="B41" s="381" t="s">
        <v>2574</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1"/>
      <c r="M41" s="2942"/>
      <c r="N41" s="2942"/>
      <c r="O41" s="2996"/>
      <c r="P41" s="3294"/>
      <c r="Q41" s="1536" t="str">
        <f t="shared" si="14"/>
        <v>宗地开发程度</v>
      </c>
      <c r="R41" s="710" t="s">
        <v>17</v>
      </c>
      <c r="S41" s="711">
        <f t="shared" si="10"/>
        <v>100</v>
      </c>
      <c r="T41" s="710" t="s">
        <v>17</v>
      </c>
      <c r="U41" s="711">
        <f t="shared" si="11"/>
        <v>100</v>
      </c>
      <c r="V41" s="710" t="s">
        <v>17</v>
      </c>
      <c r="W41" s="711">
        <f t="shared" si="12"/>
        <v>100</v>
      </c>
      <c r="X41" s="712"/>
      <c r="Y41" s="3294"/>
      <c r="Z41" s="55" t="str">
        <f t="shared" si="13"/>
        <v>宗地开发程度</v>
      </c>
      <c r="AA41" s="713">
        <f t="shared" si="3"/>
        <v>1</v>
      </c>
      <c r="AB41" s="713">
        <f t="shared" si="4"/>
        <v>1</v>
      </c>
      <c r="AC41" s="713">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46"/>
      <c r="M42" s="2940"/>
      <c r="N42" s="2940"/>
      <c r="O42" s="2998"/>
      <c r="P42" s="3294" t="s">
        <v>2385</v>
      </c>
      <c r="Q42" s="1536" t="str">
        <f t="shared" si="14"/>
        <v>工程地质条件</v>
      </c>
      <c r="R42" s="714" t="s">
        <v>17</v>
      </c>
      <c r="S42" s="715">
        <f t="shared" si="10"/>
        <v>100</v>
      </c>
      <c r="T42" s="714" t="s">
        <v>17</v>
      </c>
      <c r="U42" s="715">
        <f t="shared" si="11"/>
        <v>100</v>
      </c>
      <c r="V42" s="714" t="s">
        <v>17</v>
      </c>
      <c r="W42" s="715">
        <f t="shared" si="12"/>
        <v>100</v>
      </c>
      <c r="X42" s="1539"/>
      <c r="Y42" s="3294"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6"/>
      <c r="M43" s="2940"/>
      <c r="N43" s="2940"/>
      <c r="O43" s="2998"/>
      <c r="P43" s="3294"/>
      <c r="Q43" s="1536">
        <f t="shared" si="14"/>
        <v>111</v>
      </c>
      <c r="R43" s="714" t="s">
        <v>17</v>
      </c>
      <c r="S43" s="715">
        <f t="shared" si="10"/>
        <v>100</v>
      </c>
      <c r="T43" s="714" t="s">
        <v>17</v>
      </c>
      <c r="U43" s="715">
        <f t="shared" si="11"/>
        <v>100</v>
      </c>
      <c r="V43" s="714" t="s">
        <v>17</v>
      </c>
      <c r="W43" s="715">
        <f t="shared" si="12"/>
        <v>100</v>
      </c>
      <c r="X43" s="1539"/>
      <c r="Y43" s="3294"/>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6"/>
      <c r="M44" s="2940"/>
      <c r="N44" s="2940"/>
      <c r="O44" s="2998"/>
      <c r="P44" s="3294"/>
      <c r="Q44" s="1536">
        <f t="shared" si="14"/>
        <v>111</v>
      </c>
      <c r="R44" s="714" t="s">
        <v>17</v>
      </c>
      <c r="S44" s="715">
        <f t="shared" si="10"/>
        <v>100</v>
      </c>
      <c r="T44" s="714" t="s">
        <v>17</v>
      </c>
      <c r="U44" s="715">
        <f t="shared" si="11"/>
        <v>100</v>
      </c>
      <c r="V44" s="714" t="s">
        <v>17</v>
      </c>
      <c r="W44" s="715">
        <f t="shared" si="12"/>
        <v>100</v>
      </c>
      <c r="X44" s="1539"/>
      <c r="Y44" s="3294"/>
      <c r="Z44" s="1540">
        <f t="shared" si="13"/>
        <v>111</v>
      </c>
      <c r="AA44" s="1537">
        <f t="shared" si="3"/>
        <v>1</v>
      </c>
      <c r="AB44" s="1537">
        <f t="shared" si="4"/>
        <v>1</v>
      </c>
      <c r="AC44" s="1537">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5"/>
      <c r="M45" s="2947"/>
      <c r="N45" s="2947"/>
      <c r="O45" s="2999"/>
      <c r="P45" s="3294"/>
      <c r="Q45" s="1536">
        <f t="shared" si="14"/>
        <v>111</v>
      </c>
      <c r="R45" s="717" t="s">
        <v>17</v>
      </c>
      <c r="S45" s="718">
        <f t="shared" si="10"/>
        <v>100</v>
      </c>
      <c r="T45" s="717" t="s">
        <v>17</v>
      </c>
      <c r="U45" s="718">
        <f t="shared" si="11"/>
        <v>100</v>
      </c>
      <c r="V45" s="717" t="s">
        <v>17</v>
      </c>
      <c r="W45" s="718">
        <f t="shared" si="12"/>
        <v>100</v>
      </c>
      <c r="X45" s="719"/>
      <c r="Y45" s="3294"/>
      <c r="Z45" s="720">
        <f t="shared" si="13"/>
        <v>111</v>
      </c>
      <c r="AA45" s="1537">
        <f t="shared" si="3"/>
        <v>1</v>
      </c>
      <c r="AB45" s="1537">
        <f t="shared" si="4"/>
        <v>1</v>
      </c>
      <c r="AC45" s="1537">
        <f t="shared" si="5"/>
        <v>1</v>
      </c>
    </row>
    <row r="46" spans="1:29" ht="15">
      <c r="A46" s="438" t="s">
        <v>2540</v>
      </c>
      <c r="B46" s="2167" t="s">
        <v>2576</v>
      </c>
      <c r="C46" s="638" t="s">
        <v>1</v>
      </c>
      <c r="D46" s="440"/>
      <c r="E46" s="441"/>
      <c r="F46" s="442"/>
      <c r="G46" s="443"/>
      <c r="H46" s="444"/>
      <c r="I46" s="441"/>
      <c r="J46" s="444"/>
      <c r="K46" s="723"/>
      <c r="L46" s="2948"/>
      <c r="M46" s="2949"/>
      <c r="N46" s="2940"/>
      <c r="O46" s="2949"/>
      <c r="P46" s="3287" t="str">
        <f>A46</f>
        <v>成交单价</v>
      </c>
      <c r="Q46" s="3287"/>
      <c r="R46" s="3318">
        <f>E46</f>
        <v>0</v>
      </c>
      <c r="S46" s="3318"/>
      <c r="T46" s="3318">
        <f>G46</f>
        <v>0</v>
      </c>
      <c r="U46" s="3318"/>
      <c r="V46" s="3318">
        <f>I46</f>
        <v>0</v>
      </c>
      <c r="W46" s="3318"/>
      <c r="X46" s="699"/>
      <c r="Y46" s="721"/>
      <c r="Z46" s="699"/>
      <c r="AA46" s="699"/>
      <c r="AB46" s="699"/>
      <c r="AC46" s="699"/>
    </row>
    <row r="47" spans="1:29" ht="15.75" thickBot="1">
      <c r="A47" s="445" t="s">
        <v>2489</v>
      </c>
      <c r="B47" s="639"/>
      <c r="C47" s="448" t="e">
        <f>R48</f>
        <v>#DIV/0!</v>
      </c>
      <c r="D47" s="2537" t="s">
        <v>2880</v>
      </c>
      <c r="E47" s="448" t="e">
        <f>R47</f>
        <v>#DIV/0!</v>
      </c>
      <c r="F47" s="2538"/>
      <c r="G47" s="447" t="e">
        <f>T47</f>
        <v>#DIV/0!</v>
      </c>
      <c r="H47" s="2538"/>
      <c r="I47" s="448" t="e">
        <f>V47</f>
        <v>#DIV/0!</v>
      </c>
      <c r="J47" s="2538"/>
      <c r="K47" s="2540">
        <f>F47+H47+J47</f>
        <v>0</v>
      </c>
      <c r="L47" s="2948"/>
      <c r="M47" s="2949"/>
      <c r="N47" s="2949"/>
      <c r="O47" s="2949"/>
      <c r="P47" s="3287" t="str">
        <f>A47</f>
        <v>比较价值（元/平方米）</v>
      </c>
      <c r="Q47" s="3287"/>
      <c r="R47" s="3384" t="e">
        <f>ROUND(PRODUCT(R46,AA7:AA45),0)</f>
        <v>#DIV/0!</v>
      </c>
      <c r="S47" s="3384"/>
      <c r="T47" s="3384" t="e">
        <f>ROUND(PRODUCT(T46,AB7:AB45),0)</f>
        <v>#DIV/0!</v>
      </c>
      <c r="U47" s="3384"/>
      <c r="V47" s="3384" t="e">
        <f>ROUND(PRODUCT(V46,AC7:AC45),0)</f>
        <v>#DIV/0!</v>
      </c>
      <c r="W47" s="3384"/>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48"/>
      <c r="M48" s="2949"/>
      <c r="N48" s="2949"/>
      <c r="O48" s="2949"/>
      <c r="P48" s="3284" t="str">
        <f>A48</f>
        <v>估价对象XX用房的比较价值（楼面单价，元/平方米）</v>
      </c>
      <c r="Q48" s="3285"/>
      <c r="R48" s="3385" t="e">
        <f>ROUND(IF(D47="简单平均",AVERAGE(R47:W47),R47*F47+T47*H47+V47*J47),0)</f>
        <v>#DIV/0!</v>
      </c>
      <c r="S48" s="3385"/>
      <c r="T48" s="3385"/>
      <c r="U48" s="3385"/>
      <c r="V48" s="3385"/>
      <c r="W48" s="3385"/>
      <c r="X48" s="699"/>
      <c r="Y48" s="699"/>
      <c r="Z48" s="699"/>
      <c r="AA48" s="699"/>
      <c r="AB48" s="699"/>
      <c r="AC48" s="699"/>
    </row>
    <row r="49" spans="1:29">
      <c r="A49" s="2949"/>
      <c r="B49" s="2949"/>
      <c r="C49" s="2949"/>
      <c r="D49" s="2949"/>
      <c r="E49" s="2949"/>
      <c r="F49" s="2949"/>
      <c r="G49" s="2953"/>
      <c r="H49" s="2949"/>
      <c r="I49" s="2949"/>
      <c r="J49" s="2949"/>
      <c r="K49" s="2954"/>
      <c r="L49" s="2950"/>
      <c r="M49" s="2949"/>
      <c r="N49" s="2949"/>
      <c r="O49" s="2949"/>
      <c r="P49" s="2949"/>
      <c r="Q49" s="2949"/>
      <c r="R49" s="2949"/>
      <c r="S49" s="2949"/>
      <c r="T49" s="2949"/>
      <c r="U49" s="2949"/>
      <c r="V49" s="2949"/>
      <c r="W49" s="2949"/>
      <c r="X49" s="2949"/>
      <c r="Y49" s="2949"/>
      <c r="Z49" s="2949"/>
      <c r="AA49" s="2949"/>
      <c r="AB49" s="2949"/>
      <c r="AC49" s="2949"/>
    </row>
    <row r="50" spans="1:29">
      <c r="A50" s="2949"/>
      <c r="B50" s="2949"/>
      <c r="C50" s="2949"/>
      <c r="D50" s="2949"/>
      <c r="E50" s="2949"/>
      <c r="F50" s="2949"/>
      <c r="G50" s="2949"/>
      <c r="H50" s="2949"/>
      <c r="I50" s="2949"/>
      <c r="J50" s="2949"/>
      <c r="K50" s="2954"/>
      <c r="L50" s="2950"/>
      <c r="M50" s="2949"/>
      <c r="N50" s="2949"/>
      <c r="O50" s="2949"/>
      <c r="P50" s="2949"/>
      <c r="Q50" s="2949"/>
      <c r="R50" s="2949"/>
      <c r="S50" s="2949"/>
      <c r="T50" s="2949"/>
      <c r="U50" s="2949"/>
      <c r="V50" s="2949"/>
      <c r="W50" s="2949"/>
      <c r="X50" s="2949"/>
      <c r="Y50" s="2949"/>
      <c r="Z50" s="2949"/>
      <c r="AA50" s="2949"/>
      <c r="AB50" s="2949"/>
      <c r="AC50" s="2949"/>
    </row>
    <row r="51" spans="1:29" ht="13.5" customHeight="1">
      <c r="A51" s="2949"/>
      <c r="B51" s="2949"/>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4"/>
      <c r="L51" s="2950"/>
      <c r="M51" s="2949"/>
      <c r="N51" s="2949"/>
      <c r="O51" s="2949"/>
      <c r="P51" s="2949"/>
      <c r="Q51" s="2949"/>
      <c r="R51" s="2949"/>
      <c r="S51" s="2949"/>
      <c r="T51" s="2949"/>
      <c r="U51" s="2949"/>
      <c r="V51" s="2949"/>
      <c r="W51" s="2949"/>
      <c r="X51" s="2949"/>
      <c r="Y51" s="2949"/>
      <c r="Z51" s="2949"/>
      <c r="AA51" s="2949"/>
      <c r="AB51" s="2949"/>
      <c r="AC51" s="2949"/>
    </row>
    <row r="52" spans="1:29" ht="13.5" customHeight="1">
      <c r="A52" s="2949"/>
      <c r="B52" s="2949"/>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4"/>
      <c r="L52" s="2950"/>
      <c r="M52" s="2949"/>
      <c r="N52" s="2949"/>
      <c r="O52" s="2949"/>
      <c r="P52" s="2949"/>
      <c r="Q52" s="2949"/>
      <c r="R52" s="2949"/>
      <c r="S52" s="2949"/>
      <c r="T52" s="2949"/>
      <c r="U52" s="2949"/>
      <c r="V52" s="2949"/>
      <c r="W52" s="2949"/>
      <c r="X52" s="2949"/>
      <c r="Y52" s="2949"/>
      <c r="Z52" s="2949"/>
      <c r="AA52" s="2949"/>
      <c r="AB52" s="2949"/>
      <c r="AC52" s="2949"/>
    </row>
    <row r="53" spans="1:29" s="459" customFormat="1" ht="13.5" customHeight="1">
      <c r="A53" s="2952"/>
      <c r="B53" s="2952"/>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7"/>
      <c r="L53" s="2951"/>
      <c r="M53" s="2952"/>
      <c r="N53" s="2952"/>
      <c r="O53" s="2952"/>
      <c r="P53" s="2952"/>
      <c r="Q53" s="2952"/>
      <c r="R53" s="2952"/>
      <c r="S53" s="2952"/>
      <c r="T53" s="2952"/>
      <c r="U53" s="2952"/>
      <c r="V53" s="2952"/>
      <c r="W53" s="2952"/>
      <c r="X53" s="2952"/>
      <c r="Y53" s="2952"/>
      <c r="Z53" s="2952"/>
      <c r="AA53" s="2952"/>
      <c r="AB53" s="2952"/>
      <c r="AC53" s="2952"/>
    </row>
    <row r="54" spans="1:29" s="459" customFormat="1" ht="15" thickBot="1">
      <c r="A54" s="2952"/>
      <c r="B54" s="2955"/>
      <c r="C54" s="702"/>
      <c r="D54" s="700"/>
      <c r="E54" s="700"/>
      <c r="F54" s="700"/>
      <c r="G54" s="700"/>
      <c r="H54" s="700"/>
      <c r="I54" s="700"/>
      <c r="J54" s="700"/>
      <c r="K54" s="2957"/>
      <c r="L54" s="2951"/>
      <c r="M54" s="2952"/>
      <c r="N54" s="2952"/>
      <c r="O54" s="2952"/>
      <c r="P54" s="2952"/>
      <c r="Q54" s="2952"/>
      <c r="R54" s="2952"/>
      <c r="S54" s="2952"/>
      <c r="T54" s="2952"/>
      <c r="U54" s="2952"/>
      <c r="V54" s="2952"/>
      <c r="W54" s="2952"/>
      <c r="X54" s="2952"/>
      <c r="Y54" s="2952"/>
      <c r="Z54" s="2952"/>
      <c r="AA54" s="2952"/>
      <c r="AB54" s="2952"/>
      <c r="AC54" s="2952"/>
    </row>
    <row r="55" spans="1:29" ht="27" customHeight="1">
      <c r="A55" s="640" t="s">
        <v>2578</v>
      </c>
      <c r="B55" s="641" t="s">
        <v>2579</v>
      </c>
      <c r="C55" s="2168" t="s">
        <v>2580</v>
      </c>
      <c r="D55" s="2169" t="s">
        <v>2581</v>
      </c>
      <c r="E55" s="642" t="s">
        <v>2582</v>
      </c>
      <c r="F55" s="1021" t="s">
        <v>2583</v>
      </c>
      <c r="G55" s="3302" t="s">
        <v>2584</v>
      </c>
      <c r="H55" s="3386"/>
      <c r="I55" s="140" t="s">
        <v>2585</v>
      </c>
      <c r="J55" s="2170" t="str">
        <f>项目基本情况!F35</f>
        <v>江苏省扬州市广陵区</v>
      </c>
      <c r="K55" s="2171" t="s">
        <v>2586</v>
      </c>
      <c r="L55" s="2950"/>
      <c r="M55" s="2949"/>
      <c r="N55" s="2949"/>
      <c r="O55" s="2949"/>
      <c r="P55" s="2949"/>
      <c r="Q55" s="2949"/>
      <c r="R55" s="2949"/>
      <c r="S55" s="2949"/>
      <c r="T55" s="2949"/>
      <c r="U55" s="2949"/>
      <c r="V55" s="2949"/>
      <c r="W55" s="2949"/>
      <c r="X55" s="2949"/>
      <c r="Y55" s="2949"/>
      <c r="Z55" s="2949"/>
      <c r="AA55" s="2949"/>
      <c r="AB55" s="2949"/>
      <c r="AC55" s="2949"/>
    </row>
    <row r="56" spans="1:29" s="648" customFormat="1">
      <c r="A56" s="644" t="s">
        <v>2587</v>
      </c>
      <c r="B56" s="645" t="e">
        <f>C48</f>
        <v>#DIV/0!</v>
      </c>
      <c r="C56" s="646">
        <v>1</v>
      </c>
      <c r="D56" s="1075">
        <v>1</v>
      </c>
      <c r="E56" s="646">
        <f>'数据-汇总表'!E8+'数据-汇总表'!E9</f>
        <v>519.96</v>
      </c>
      <c r="F56" s="1017" t="e">
        <f t="shared" ref="F56:F65" si="15">ROUND(B56*E56/10000,0)</f>
        <v>#DIV/0!</v>
      </c>
      <c r="G56" s="3298"/>
      <c r="H56" s="3287"/>
      <c r="I56" s="1022">
        <v>1</v>
      </c>
      <c r="J56" s="1025">
        <v>1</v>
      </c>
      <c r="K56" s="2952"/>
      <c r="L56" s="3006"/>
      <c r="M56" s="3006"/>
      <c r="N56" s="3006"/>
      <c r="O56" s="3006"/>
      <c r="P56" s="3006"/>
      <c r="Q56" s="3006"/>
      <c r="R56" s="3006"/>
      <c r="S56" s="3006"/>
      <c r="T56" s="3006"/>
      <c r="U56" s="3006"/>
      <c r="V56" s="3006"/>
      <c r="W56" s="3006"/>
      <c r="X56" s="3006"/>
      <c r="Y56" s="3006"/>
      <c r="Z56" s="3006"/>
      <c r="AA56" s="3006"/>
      <c r="AB56" s="3006"/>
      <c r="AC56" s="3006"/>
    </row>
    <row r="57" spans="1:29" s="648" customFormat="1">
      <c r="A57" s="649" t="s">
        <v>2588</v>
      </c>
      <c r="B57" s="224" t="e">
        <f>ROUND($C$48*C57*D57,0)</f>
        <v>#DIV/0!</v>
      </c>
      <c r="C57" s="176">
        <f t="shared" ref="C57:C65" si="16">IF($C$55="北京市系数",I57,J57)</f>
        <v>0</v>
      </c>
      <c r="D57" s="1076">
        <v>0.25</v>
      </c>
      <c r="E57" s="650"/>
      <c r="F57" s="1017" t="e">
        <f t="shared" si="15"/>
        <v>#DIV/0!</v>
      </c>
      <c r="G57" s="3387" t="s">
        <v>2589</v>
      </c>
      <c r="H57" s="1018">
        <f>项目基本情况!B37</f>
        <v>0</v>
      </c>
      <c r="I57" s="1022">
        <f>SUMIF(修正!A45:A56,H57,修正!B45:B56)</f>
        <v>0</v>
      </c>
      <c r="J57" s="1026"/>
      <c r="K57" s="2949"/>
      <c r="L57" s="3006"/>
      <c r="M57" s="3006"/>
      <c r="N57" s="3006"/>
      <c r="O57" s="3006"/>
      <c r="P57" s="3006"/>
      <c r="Q57" s="3006"/>
      <c r="R57" s="3006"/>
      <c r="S57" s="3006"/>
      <c r="T57" s="3006"/>
      <c r="U57" s="3006"/>
      <c r="V57" s="3006"/>
      <c r="W57" s="3006"/>
      <c r="X57" s="3006"/>
      <c r="Y57" s="3006"/>
      <c r="Z57" s="3006"/>
      <c r="AA57" s="3006"/>
      <c r="AB57" s="3006"/>
      <c r="AC57" s="3006"/>
    </row>
    <row r="58" spans="1:29" s="648" customFormat="1">
      <c r="A58" s="649" t="s">
        <v>2590</v>
      </c>
      <c r="B58" s="224" t="e">
        <f t="shared" ref="B58:B65" si="17">ROUND($C$48*C58*D58,0)</f>
        <v>#DIV/0!</v>
      </c>
      <c r="C58" s="176">
        <f t="shared" si="16"/>
        <v>0</v>
      </c>
      <c r="D58" s="1076">
        <v>0.25</v>
      </c>
      <c r="E58" s="650"/>
      <c r="F58" s="1017" t="e">
        <f t="shared" si="15"/>
        <v>#DIV/0!</v>
      </c>
      <c r="G58" s="3387"/>
      <c r="H58" s="1018">
        <f>项目基本情况!B37</f>
        <v>0</v>
      </c>
      <c r="I58" s="1022">
        <f>SUMIF(修正!A45:A56,H58,修正!C45:C56)</f>
        <v>0</v>
      </c>
      <c r="J58" s="1026"/>
      <c r="K58" s="2952"/>
      <c r="L58" s="3006"/>
      <c r="M58" s="3006"/>
      <c r="N58" s="3006"/>
      <c r="O58" s="3006"/>
      <c r="P58" s="3006"/>
      <c r="Q58" s="3006"/>
      <c r="R58" s="3006"/>
      <c r="S58" s="3006"/>
      <c r="T58" s="3006"/>
      <c r="U58" s="3006"/>
      <c r="V58" s="3006"/>
      <c r="W58" s="3006"/>
      <c r="X58" s="3006"/>
      <c r="Y58" s="3006"/>
      <c r="Z58" s="3006"/>
      <c r="AA58" s="3006"/>
      <c r="AB58" s="3006"/>
      <c r="AC58" s="3006"/>
    </row>
    <row r="59" spans="1:29" s="648" customFormat="1">
      <c r="A59" s="649" t="s">
        <v>2591</v>
      </c>
      <c r="B59" s="224" t="e">
        <f t="shared" si="17"/>
        <v>#DIV/0!</v>
      </c>
      <c r="C59" s="176">
        <f t="shared" si="16"/>
        <v>0</v>
      </c>
      <c r="D59" s="1076">
        <v>0.25</v>
      </c>
      <c r="E59" s="650"/>
      <c r="F59" s="1017" t="e">
        <f t="shared" si="15"/>
        <v>#DIV/0!</v>
      </c>
      <c r="G59" s="3387"/>
      <c r="H59" s="1018">
        <f>项目基本情况!B37</f>
        <v>0</v>
      </c>
      <c r="I59" s="1022">
        <f>SUMIF(修正!A45:A56,H59,修正!D45:D56)</f>
        <v>0</v>
      </c>
      <c r="J59" s="1026"/>
      <c r="K59" s="2949"/>
      <c r="L59" s="3006"/>
      <c r="M59" s="3006"/>
      <c r="N59" s="3006"/>
      <c r="O59" s="3006"/>
      <c r="P59" s="3006"/>
      <c r="Q59" s="3006"/>
      <c r="R59" s="3006"/>
      <c r="S59" s="3006"/>
      <c r="T59" s="3006"/>
      <c r="U59" s="3006"/>
      <c r="V59" s="3006"/>
      <c r="W59" s="3006"/>
      <c r="X59" s="3006"/>
      <c r="Y59" s="3006"/>
      <c r="Z59" s="3006"/>
      <c r="AA59" s="3006"/>
      <c r="AB59" s="3006"/>
      <c r="AC59" s="3006"/>
    </row>
    <row r="60" spans="1:29" s="648" customFormat="1">
      <c r="A60" s="649" t="s">
        <v>2592</v>
      </c>
      <c r="B60" s="224" t="e">
        <f t="shared" si="17"/>
        <v>#DIV/0!</v>
      </c>
      <c r="C60" s="176">
        <f t="shared" si="16"/>
        <v>0</v>
      </c>
      <c r="D60" s="1076">
        <v>0.25</v>
      </c>
      <c r="E60" s="650"/>
      <c r="F60" s="1017" t="e">
        <f t="shared" si="15"/>
        <v>#DIV/0!</v>
      </c>
      <c r="G60" s="3387"/>
      <c r="H60" s="1018">
        <f>项目基本情况!B37</f>
        <v>0</v>
      </c>
      <c r="I60" s="1022">
        <f>SUMIF(修正!A45:A56,H60,修正!E45:E56)</f>
        <v>0</v>
      </c>
      <c r="J60" s="1026"/>
      <c r="K60" s="2952"/>
      <c r="L60" s="3006"/>
      <c r="M60" s="3006"/>
      <c r="N60" s="3006"/>
      <c r="O60" s="3006"/>
      <c r="P60" s="3006"/>
      <c r="Q60" s="3006"/>
      <c r="R60" s="3006"/>
      <c r="S60" s="3006"/>
      <c r="T60" s="3006"/>
      <c r="U60" s="3006"/>
      <c r="V60" s="3006"/>
      <c r="W60" s="3006"/>
      <c r="X60" s="3006"/>
      <c r="Y60" s="3006"/>
      <c r="Z60" s="3006"/>
      <c r="AA60" s="3006"/>
      <c r="AB60" s="3006"/>
      <c r="AC60" s="3006"/>
    </row>
    <row r="61" spans="1:29" s="648" customFormat="1">
      <c r="A61" s="649" t="s">
        <v>2593</v>
      </c>
      <c r="B61" s="224" t="e">
        <f t="shared" si="17"/>
        <v>#DIV/0!</v>
      </c>
      <c r="C61" s="176">
        <f t="shared" si="16"/>
        <v>0</v>
      </c>
      <c r="D61" s="1076">
        <v>0.25</v>
      </c>
      <c r="E61" s="223">
        <f>'数据-汇总表'!E11</f>
        <v>0</v>
      </c>
      <c r="F61" s="1017" t="e">
        <f t="shared" si="15"/>
        <v>#DIV/0!</v>
      </c>
      <c r="G61" s="2172" t="s">
        <v>2594</v>
      </c>
      <c r="H61" s="1018">
        <f>项目基本情况!C37</f>
        <v>0</v>
      </c>
      <c r="I61" s="1022">
        <f>SUMIF(修正!A45:A56,H61,修正!F45:F56)</f>
        <v>0</v>
      </c>
      <c r="J61" s="1026"/>
      <c r="K61" s="2949"/>
      <c r="L61" s="3006"/>
      <c r="M61" s="3006"/>
      <c r="N61" s="3006"/>
      <c r="O61" s="3006"/>
      <c r="P61" s="3006"/>
      <c r="Q61" s="3006"/>
      <c r="R61" s="3006"/>
      <c r="S61" s="3006"/>
      <c r="T61" s="3006"/>
      <c r="U61" s="3006"/>
      <c r="V61" s="3006"/>
      <c r="W61" s="3006"/>
      <c r="X61" s="3006"/>
      <c r="Y61" s="3006"/>
      <c r="Z61" s="3006"/>
      <c r="AA61" s="3006"/>
      <c r="AB61" s="3006"/>
      <c r="AC61" s="3006"/>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2"/>
      <c r="L62" s="3006"/>
      <c r="M62" s="3006"/>
      <c r="N62" s="3006"/>
      <c r="O62" s="3006"/>
      <c r="P62" s="3006"/>
      <c r="Q62" s="3006"/>
      <c r="R62" s="3006"/>
      <c r="S62" s="3006"/>
      <c r="T62" s="3006"/>
      <c r="U62" s="3006"/>
      <c r="V62" s="3006"/>
      <c r="W62" s="3006"/>
      <c r="X62" s="3006"/>
      <c r="Y62" s="3006"/>
      <c r="Z62" s="3006"/>
      <c r="AA62" s="3006"/>
      <c r="AB62" s="3006"/>
      <c r="AC62" s="3006"/>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49"/>
      <c r="L63" s="3006"/>
      <c r="M63" s="3006"/>
      <c r="N63" s="3006"/>
      <c r="O63" s="3006"/>
      <c r="P63" s="3006"/>
      <c r="Q63" s="3006"/>
      <c r="R63" s="3006"/>
      <c r="S63" s="3006"/>
      <c r="T63" s="3006"/>
      <c r="U63" s="3006"/>
      <c r="V63" s="3006"/>
      <c r="W63" s="3006"/>
      <c r="X63" s="3006"/>
      <c r="Y63" s="3006"/>
      <c r="Z63" s="3006"/>
      <c r="AA63" s="3006"/>
      <c r="AB63" s="3006"/>
      <c r="AC63" s="3006"/>
    </row>
    <row r="64" spans="1:29" s="648" customFormat="1">
      <c r="A64" s="649" t="s">
        <v>2599</v>
      </c>
      <c r="B64" s="224" t="e">
        <f t="shared" si="17"/>
        <v>#DIV/0!</v>
      </c>
      <c r="C64" s="176">
        <f t="shared" si="16"/>
        <v>0</v>
      </c>
      <c r="D64" s="1076">
        <v>0.25</v>
      </c>
      <c r="E64" s="223">
        <f>'数据-汇总表'!E14</f>
        <v>0</v>
      </c>
      <c r="F64" s="1017" t="e">
        <f t="shared" si="15"/>
        <v>#DIV/0!</v>
      </c>
      <c r="G64" s="2172" t="s">
        <v>2589</v>
      </c>
      <c r="H64" s="1018">
        <f>项目基本情况!B37</f>
        <v>0</v>
      </c>
      <c r="I64" s="1022">
        <f>SUMIF(修正!A45:A56,H64,修正!H45:H56)</f>
        <v>0</v>
      </c>
      <c r="J64" s="1026"/>
      <c r="K64" s="2952"/>
      <c r="L64" s="3006"/>
      <c r="M64" s="3006"/>
      <c r="N64" s="3006"/>
      <c r="O64" s="3006"/>
      <c r="P64" s="3006"/>
      <c r="Q64" s="3006"/>
      <c r="R64" s="3006"/>
      <c r="S64" s="3006"/>
      <c r="T64" s="3006"/>
      <c r="U64" s="3006"/>
      <c r="V64" s="3006"/>
      <c r="W64" s="3006"/>
      <c r="X64" s="3006"/>
      <c r="Y64" s="3006"/>
      <c r="Z64" s="3006"/>
      <c r="AA64" s="3006"/>
      <c r="AB64" s="3006"/>
      <c r="AC64" s="3006"/>
    </row>
    <row r="65" spans="1:29" s="648" customFormat="1" ht="15" thickBot="1">
      <c r="A65" s="649" t="s">
        <v>2600</v>
      </c>
      <c r="B65" s="224" t="e">
        <f t="shared" si="17"/>
        <v>#DIV/0!</v>
      </c>
      <c r="C65" s="176">
        <f t="shared" si="16"/>
        <v>0</v>
      </c>
      <c r="D65" s="1076">
        <v>0.25</v>
      </c>
      <c r="E65" s="223">
        <f>'数据-汇总表'!E15</f>
        <v>0</v>
      </c>
      <c r="F65" s="1017" t="e">
        <f t="shared" si="15"/>
        <v>#DIV/0!</v>
      </c>
      <c r="G65" s="2173" t="s">
        <v>2594</v>
      </c>
      <c r="H65" s="1028">
        <f>项目基本情况!C37</f>
        <v>0</v>
      </c>
      <c r="I65" s="1024">
        <f>SUMIF(修正!A45:A56,H65,修正!H45:H56)</f>
        <v>0</v>
      </c>
      <c r="J65" s="1027"/>
      <c r="K65" s="2949"/>
      <c r="L65" s="3006"/>
      <c r="M65" s="3006"/>
      <c r="N65" s="3006"/>
      <c r="O65" s="3006"/>
      <c r="P65" s="3006"/>
      <c r="Q65" s="3006"/>
      <c r="R65" s="3006"/>
      <c r="S65" s="3006"/>
      <c r="T65" s="3006"/>
      <c r="U65" s="3006"/>
      <c r="V65" s="3006"/>
      <c r="W65" s="3006"/>
      <c r="X65" s="3006"/>
      <c r="Y65" s="3006"/>
      <c r="Z65" s="3006"/>
      <c r="AA65" s="3006"/>
      <c r="AB65" s="3006"/>
      <c r="AC65" s="3006"/>
    </row>
    <row r="66" spans="1:29" s="648" customFormat="1" ht="13.5" thickBot="1">
      <c r="A66" s="651" t="s">
        <v>2601</v>
      </c>
      <c r="B66" s="652" t="s">
        <v>28</v>
      </c>
      <c r="C66" s="652" t="s">
        <v>29</v>
      </c>
      <c r="D66" s="652" t="s">
        <v>997</v>
      </c>
      <c r="E66" s="652">
        <f>IF(B46="楼面地价",SUM(E56:E65),'数据-汇总表'!D3)</f>
        <v>519.96</v>
      </c>
      <c r="F66" s="653" t="e">
        <f>IF(B46="楼面地价",SUM(F56:F65),ROUND(C48*E66/10000,0))</f>
        <v>#DIV/0!</v>
      </c>
      <c r="G66" s="726"/>
      <c r="H66" s="726"/>
      <c r="I66" s="726"/>
      <c r="J66" s="726"/>
      <c r="K66" s="3007"/>
      <c r="L66" s="3006"/>
      <c r="M66" s="3006"/>
      <c r="N66" s="3006"/>
      <c r="O66" s="3006"/>
      <c r="P66" s="3006"/>
      <c r="Q66" s="3006"/>
      <c r="R66" s="3006"/>
      <c r="S66" s="3006"/>
      <c r="T66" s="3006"/>
      <c r="U66" s="3006"/>
      <c r="V66" s="3006"/>
      <c r="W66" s="3006"/>
      <c r="X66" s="3006"/>
      <c r="Y66" s="3006"/>
      <c r="Z66" s="3006"/>
      <c r="AA66" s="3006"/>
      <c r="AB66" s="3006"/>
      <c r="AC66" s="3006"/>
    </row>
    <row r="67" spans="1:29">
      <c r="A67" s="699"/>
      <c r="B67" s="701"/>
      <c r="C67" s="702"/>
      <c r="D67" s="699"/>
      <c r="E67" s="699"/>
      <c r="F67" s="699"/>
      <c r="G67" s="699"/>
      <c r="H67" s="699"/>
      <c r="I67" s="699"/>
      <c r="J67" s="1058"/>
      <c r="K67" s="1019"/>
      <c r="L67" s="1020"/>
      <c r="M67" s="1058"/>
      <c r="N67" s="1058"/>
      <c r="O67" s="1058"/>
      <c r="P67" s="2949"/>
      <c r="Q67" s="2949"/>
      <c r="R67" s="2949"/>
      <c r="S67" s="2949"/>
      <c r="T67" s="2949"/>
      <c r="U67" s="2949"/>
      <c r="V67" s="2949"/>
      <c r="W67" s="2949"/>
      <c r="X67" s="2949"/>
      <c r="Y67" s="2949"/>
      <c r="Z67" s="2949"/>
      <c r="AA67" s="2949"/>
      <c r="AB67" s="2949"/>
      <c r="AC67" s="2949"/>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49"/>
      <c r="Q68" s="2949"/>
      <c r="R68" s="2949"/>
      <c r="S68" s="2949"/>
      <c r="T68" s="2949"/>
      <c r="U68" s="2949"/>
      <c r="V68" s="2949"/>
      <c r="W68" s="2949"/>
      <c r="X68" s="2949"/>
      <c r="Y68" s="2949"/>
      <c r="Z68" s="2949"/>
      <c r="AA68" s="2949"/>
      <c r="AB68" s="2949"/>
      <c r="AC68" s="2949"/>
    </row>
    <row r="69" spans="1:29" ht="21.75" thickBot="1">
      <c r="A69" s="703" t="s">
        <v>2494</v>
      </c>
      <c r="B69" s="699"/>
      <c r="C69" s="704"/>
      <c r="D69" s="704"/>
      <c r="E69" s="704"/>
      <c r="F69" s="705"/>
      <c r="G69" s="705"/>
      <c r="H69" s="704"/>
      <c r="I69" s="704"/>
      <c r="J69" s="1071"/>
      <c r="K69" s="1072"/>
      <c r="L69" s="1073"/>
      <c r="M69" s="1071"/>
      <c r="N69" s="2993"/>
      <c r="O69" s="2993"/>
      <c r="P69" s="2993"/>
      <c r="Q69" s="2963"/>
      <c r="R69" s="2949"/>
      <c r="S69" s="2949"/>
      <c r="T69" s="2949"/>
      <c r="U69" s="2949"/>
      <c r="V69" s="2949"/>
      <c r="W69" s="2949"/>
      <c r="X69" s="2949"/>
      <c r="Y69" s="2949"/>
      <c r="Z69" s="2949"/>
      <c r="AA69" s="2949"/>
      <c r="AB69" s="2949"/>
      <c r="AC69" s="2949"/>
    </row>
    <row r="70" spans="1:29" s="465" customFormat="1" ht="15">
      <c r="A70" s="2174" t="s">
        <v>2602</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0"/>
      <c r="Q70" s="2965"/>
      <c r="R70" s="2965"/>
      <c r="S70" s="2965"/>
      <c r="T70" s="2965"/>
      <c r="U70" s="2965"/>
      <c r="V70" s="2965"/>
      <c r="W70" s="2965"/>
      <c r="X70" s="2965"/>
      <c r="Y70" s="2965"/>
      <c r="Z70" s="2965"/>
      <c r="AA70" s="2965"/>
      <c r="AB70" s="2965"/>
      <c r="AC70" s="2965"/>
    </row>
    <row r="71" spans="1:29" s="113" customFormat="1" ht="30" customHeight="1">
      <c r="A71" s="2175" t="s">
        <v>2603</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3"/>
      <c r="Q71" s="2884"/>
      <c r="R71" s="2884"/>
      <c r="S71" s="2884"/>
      <c r="T71" s="2884"/>
      <c r="U71" s="2884"/>
      <c r="V71" s="2884"/>
      <c r="W71" s="2884"/>
      <c r="X71" s="2884"/>
      <c r="Y71" s="2884"/>
      <c r="Z71" s="2884"/>
      <c r="AA71" s="2884"/>
      <c r="AB71" s="2884"/>
      <c r="AC71" s="2884"/>
    </row>
    <row r="72" spans="1:29" s="113" customFormat="1" ht="15.75" thickBot="1">
      <c r="A72" s="472" t="s">
        <v>2405</v>
      </c>
      <c r="B72" s="473"/>
      <c r="C72" s="474"/>
      <c r="D72" s="475"/>
      <c r="E72" s="475"/>
      <c r="F72" s="475"/>
      <c r="G72" s="475"/>
      <c r="H72" s="475"/>
      <c r="I72" s="475"/>
      <c r="J72" s="475"/>
      <c r="K72" s="475"/>
      <c r="L72" s="475"/>
      <c r="M72" s="476"/>
      <c r="N72" s="475"/>
      <c r="O72" s="1074"/>
      <c r="P72" s="2963"/>
      <c r="Q72" s="2963"/>
      <c r="R72" s="2884"/>
      <c r="S72" s="2884"/>
      <c r="T72" s="2884"/>
      <c r="U72" s="2884"/>
      <c r="V72" s="2884"/>
      <c r="W72" s="2884"/>
      <c r="X72" s="2884"/>
      <c r="Y72" s="2884"/>
      <c r="Z72" s="2884"/>
      <c r="AA72" s="2884"/>
      <c r="AB72" s="2884"/>
      <c r="AC72" s="2884"/>
    </row>
    <row r="73" spans="1:29" s="113" customFormat="1" ht="15">
      <c r="A73" s="478" t="s">
        <v>2370</v>
      </c>
      <c r="B73" s="467"/>
      <c r="C73" s="479" t="s">
        <v>2472</v>
      </c>
      <c r="D73" s="480"/>
      <c r="E73" s="480"/>
      <c r="F73" s="480"/>
      <c r="G73" s="480"/>
      <c r="H73" s="480"/>
      <c r="I73" s="480"/>
      <c r="J73" s="480"/>
      <c r="K73" s="480"/>
      <c r="L73" s="481"/>
      <c r="M73" s="482"/>
      <c r="N73" s="2976"/>
      <c r="O73" s="2976"/>
      <c r="P73" s="3001"/>
      <c r="Q73" s="2963"/>
      <c r="R73" s="2884"/>
      <c r="S73" s="2884"/>
      <c r="T73" s="2884"/>
      <c r="U73" s="2884"/>
      <c r="V73" s="2884"/>
      <c r="W73" s="2884"/>
      <c r="X73" s="2884"/>
      <c r="Y73" s="2884"/>
      <c r="Z73" s="2884"/>
      <c r="AA73" s="2884"/>
      <c r="AB73" s="2884"/>
      <c r="AC73" s="2884"/>
    </row>
    <row r="74" spans="1:29" s="113" customFormat="1" ht="15.75" thickBot="1">
      <c r="A74" s="478"/>
      <c r="B74" s="467"/>
      <c r="C74" s="595">
        <v>100</v>
      </c>
      <c r="D74" s="469"/>
      <c r="E74" s="469"/>
      <c r="F74" s="469"/>
      <c r="G74" s="469"/>
      <c r="H74" s="469"/>
      <c r="I74" s="469"/>
      <c r="J74" s="469"/>
      <c r="K74" s="469"/>
      <c r="L74" s="469"/>
      <c r="M74" s="471"/>
      <c r="N74" s="2976"/>
      <c r="O74" s="2976"/>
      <c r="P74" s="2963"/>
      <c r="Q74" s="2963"/>
      <c r="R74" s="2884"/>
      <c r="S74" s="2884"/>
      <c r="T74" s="2884"/>
      <c r="U74" s="2884"/>
      <c r="V74" s="2884"/>
      <c r="W74" s="2884"/>
      <c r="X74" s="2884"/>
      <c r="Y74" s="2884"/>
      <c r="Z74" s="2884"/>
      <c r="AA74" s="2884"/>
      <c r="AB74" s="2884"/>
      <c r="AC74" s="2884"/>
    </row>
    <row r="75" spans="1:29">
      <c r="A75" s="484" t="s">
        <v>2408</v>
      </c>
      <c r="B75" s="485" t="s">
        <v>2374</v>
      </c>
      <c r="C75" s="487"/>
      <c r="D75" s="487"/>
      <c r="E75" s="487"/>
      <c r="F75" s="487"/>
      <c r="G75" s="487"/>
      <c r="H75" s="487"/>
      <c r="I75" s="487"/>
      <c r="J75" s="487"/>
      <c r="K75" s="488"/>
      <c r="L75" s="489"/>
      <c r="M75" s="490"/>
      <c r="N75" s="2977"/>
      <c r="O75" s="2977"/>
      <c r="P75" s="3002"/>
      <c r="Q75" s="2963"/>
      <c r="R75" s="2949"/>
      <c r="S75" s="2949"/>
      <c r="T75" s="2949"/>
      <c r="U75" s="2949"/>
      <c r="V75" s="2949"/>
      <c r="W75" s="2949"/>
      <c r="X75" s="2949"/>
      <c r="Y75" s="2949"/>
      <c r="Z75" s="2949"/>
      <c r="AA75" s="2949"/>
      <c r="AB75" s="2949"/>
      <c r="AC75" s="2949"/>
    </row>
    <row r="76" spans="1:29" ht="15.75" thickBot="1">
      <c r="A76" s="491"/>
      <c r="B76" s="492"/>
      <c r="C76" s="493"/>
      <c r="D76" s="493"/>
      <c r="E76" s="493"/>
      <c r="F76" s="493"/>
      <c r="G76" s="493"/>
      <c r="H76" s="493"/>
      <c r="I76" s="493"/>
      <c r="J76" s="493"/>
      <c r="K76" s="493"/>
      <c r="L76" s="493"/>
      <c r="M76" s="494"/>
      <c r="N76" s="2978"/>
      <c r="O76" s="2978"/>
      <c r="P76" s="3002"/>
      <c r="Q76" s="2963"/>
      <c r="R76" s="2949"/>
      <c r="S76" s="2949"/>
      <c r="T76" s="2949"/>
      <c r="U76" s="2949"/>
      <c r="V76" s="2949"/>
      <c r="W76" s="2949"/>
      <c r="X76" s="2949"/>
      <c r="Y76" s="2949"/>
      <c r="Z76" s="2949"/>
      <c r="AA76" s="2949"/>
      <c r="AB76" s="2949"/>
      <c r="AC76" s="2949"/>
    </row>
    <row r="77" spans="1:29" ht="27.75" thickTop="1">
      <c r="A77" s="491"/>
      <c r="B77" s="495" t="s">
        <v>2377</v>
      </c>
      <c r="C77" s="496"/>
      <c r="D77" s="496"/>
      <c r="E77" s="496"/>
      <c r="F77" s="496"/>
      <c r="G77" s="496"/>
      <c r="H77" s="496"/>
      <c r="I77" s="496"/>
      <c r="J77" s="496"/>
      <c r="K77" s="497"/>
      <c r="L77" s="498"/>
      <c r="M77" s="499"/>
      <c r="N77" s="2977"/>
      <c r="O77" s="2977"/>
      <c r="P77" s="3002"/>
      <c r="Q77" s="2963"/>
      <c r="R77" s="2949"/>
      <c r="S77" s="2949"/>
      <c r="T77" s="2949"/>
      <c r="U77" s="2949"/>
      <c r="V77" s="2949"/>
      <c r="W77" s="2949"/>
      <c r="X77" s="2949"/>
      <c r="Y77" s="2949"/>
      <c r="Z77" s="2949"/>
      <c r="AA77" s="2949"/>
      <c r="AB77" s="2949"/>
      <c r="AC77" s="2949"/>
    </row>
    <row r="78" spans="1:29" ht="15.75" thickBot="1">
      <c r="A78" s="491"/>
      <c r="B78" s="500"/>
      <c r="C78" s="501"/>
      <c r="D78" s="501"/>
      <c r="E78" s="501"/>
      <c r="F78" s="501"/>
      <c r="G78" s="501"/>
      <c r="H78" s="501"/>
      <c r="I78" s="501"/>
      <c r="J78" s="501"/>
      <c r="K78" s="501"/>
      <c r="L78" s="501"/>
      <c r="M78" s="502"/>
      <c r="N78" s="2978"/>
      <c r="O78" s="2978"/>
      <c r="P78" s="3002"/>
      <c r="Q78" s="2963"/>
      <c r="R78" s="2949"/>
      <c r="S78" s="2949"/>
      <c r="T78" s="2949"/>
      <c r="U78" s="2949"/>
      <c r="V78" s="2949"/>
      <c r="W78" s="2949"/>
      <c r="X78" s="2949"/>
      <c r="Y78" s="2949"/>
      <c r="Z78" s="2949"/>
      <c r="AA78" s="2949"/>
      <c r="AB78" s="2949"/>
      <c r="AC78" s="2949"/>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8"/>
      <c r="O79" s="2978"/>
      <c r="P79" s="3002"/>
      <c r="Q79" s="2963"/>
      <c r="R79" s="2949"/>
      <c r="S79" s="2949"/>
      <c r="T79" s="2949"/>
      <c r="U79" s="2949"/>
      <c r="V79" s="2949"/>
      <c r="W79" s="2949"/>
      <c r="X79" s="2949"/>
      <c r="Y79" s="2949"/>
      <c r="Z79" s="2949"/>
      <c r="AA79" s="2949"/>
      <c r="AB79" s="2949"/>
      <c r="AC79" s="2949"/>
    </row>
    <row r="80" spans="1:29" ht="15">
      <c r="A80" s="491"/>
      <c r="B80" s="505"/>
      <c r="C80" s="506"/>
      <c r="D80" s="506"/>
      <c r="E80" s="506"/>
      <c r="F80" s="506"/>
      <c r="G80" s="506"/>
      <c r="H80" s="506"/>
      <c r="I80" s="506"/>
      <c r="J80" s="506"/>
      <c r="K80" s="507"/>
      <c r="L80" s="508"/>
      <c r="M80" s="509"/>
      <c r="N80" s="2977"/>
      <c r="O80" s="2977"/>
      <c r="P80" s="3002"/>
      <c r="Q80" s="2963"/>
      <c r="R80" s="2949"/>
      <c r="S80" s="2949"/>
      <c r="T80" s="2949"/>
      <c r="U80" s="2949"/>
      <c r="V80" s="2949"/>
      <c r="W80" s="2949"/>
      <c r="X80" s="2949"/>
      <c r="Y80" s="2949"/>
      <c r="Z80" s="2949"/>
      <c r="AA80" s="2949"/>
      <c r="AB80" s="2949"/>
      <c r="AC80" s="2949"/>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8"/>
      <c r="O81" s="2978"/>
      <c r="P81" s="3002"/>
      <c r="Q81" s="2963"/>
      <c r="R81" s="2949"/>
      <c r="S81" s="2949"/>
      <c r="T81" s="2949"/>
      <c r="U81" s="2949"/>
      <c r="V81" s="2949"/>
      <c r="W81" s="2949"/>
      <c r="X81" s="2949"/>
      <c r="Y81" s="2949"/>
      <c r="Z81" s="2949"/>
      <c r="AA81" s="2949"/>
      <c r="AB81" s="2949"/>
      <c r="AC81" s="2949"/>
    </row>
    <row r="82" spans="1:29" s="430" customFormat="1" ht="15.75" thickTop="1">
      <c r="A82" s="510"/>
      <c r="B82" s="495" t="str">
        <f>B12</f>
        <v>配建</v>
      </c>
      <c r="C82" s="511"/>
      <c r="D82" s="511"/>
      <c r="E82" s="511"/>
      <c r="F82" s="511"/>
      <c r="G82" s="511"/>
      <c r="H82" s="512"/>
      <c r="I82" s="512"/>
      <c r="J82" s="512"/>
      <c r="K82" s="512"/>
      <c r="L82" s="513"/>
      <c r="M82" s="514"/>
      <c r="N82" s="2979"/>
      <c r="O82" s="2979"/>
      <c r="P82" s="3003"/>
      <c r="Q82" s="2970"/>
      <c r="R82" s="2971"/>
      <c r="S82" s="2971"/>
      <c r="T82" s="2971"/>
      <c r="U82" s="2971"/>
      <c r="V82" s="2971"/>
      <c r="W82" s="2971"/>
      <c r="X82" s="2971"/>
      <c r="Y82" s="2971"/>
      <c r="Z82" s="2971"/>
      <c r="AA82" s="2971"/>
      <c r="AB82" s="2971"/>
      <c r="AC82" s="2971"/>
    </row>
    <row r="83" spans="1:29" s="430" customFormat="1" ht="15.75" thickBot="1">
      <c r="A83" s="510"/>
      <c r="B83" s="500"/>
      <c r="C83" s="517"/>
      <c r="D83" s="493"/>
      <c r="E83" s="493"/>
      <c r="F83" s="493"/>
      <c r="G83" s="493"/>
      <c r="H83" s="493"/>
      <c r="I83" s="493"/>
      <c r="J83" s="493"/>
      <c r="K83" s="493"/>
      <c r="L83" s="493"/>
      <c r="M83" s="494"/>
      <c r="N83" s="2978"/>
      <c r="O83" s="2978"/>
      <c r="P83" s="3003"/>
      <c r="Q83" s="2970"/>
      <c r="R83" s="2971"/>
      <c r="S83" s="2971"/>
      <c r="T83" s="2971"/>
      <c r="U83" s="2971"/>
      <c r="V83" s="2971"/>
      <c r="W83" s="2971"/>
      <c r="X83" s="2971"/>
      <c r="Y83" s="2971"/>
      <c r="Z83" s="2971"/>
      <c r="AA83" s="2971"/>
      <c r="AB83" s="2971"/>
      <c r="AC83" s="2971"/>
    </row>
    <row r="84" spans="1:29" s="430" customFormat="1" ht="15.75" thickTop="1">
      <c r="A84" s="510"/>
      <c r="B84" s="495">
        <f>B13</f>
        <v>111</v>
      </c>
      <c r="C84" s="511"/>
      <c r="D84" s="511"/>
      <c r="E84" s="511"/>
      <c r="F84" s="511"/>
      <c r="G84" s="511"/>
      <c r="H84" s="512"/>
      <c r="I84" s="512"/>
      <c r="J84" s="512"/>
      <c r="K84" s="512"/>
      <c r="L84" s="513"/>
      <c r="M84" s="514"/>
      <c r="N84" s="2979"/>
      <c r="O84" s="2979"/>
      <c r="P84" s="2947"/>
      <c r="Q84" s="2973"/>
      <c r="R84" s="2971"/>
      <c r="S84" s="2971"/>
      <c r="T84" s="2971"/>
      <c r="U84" s="2971"/>
      <c r="V84" s="2971"/>
      <c r="W84" s="2971"/>
      <c r="X84" s="2971"/>
      <c r="Y84" s="2971"/>
      <c r="Z84" s="2971"/>
      <c r="AA84" s="2971"/>
      <c r="AB84" s="2971"/>
      <c r="AC84" s="2971"/>
    </row>
    <row r="85" spans="1:29" s="430" customFormat="1" ht="15.75" thickBot="1">
      <c r="A85" s="510"/>
      <c r="B85" s="500"/>
      <c r="C85" s="517"/>
      <c r="D85" s="517"/>
      <c r="E85" s="517"/>
      <c r="F85" s="517"/>
      <c r="G85" s="517"/>
      <c r="H85" s="519"/>
      <c r="I85" s="519"/>
      <c r="J85" s="519"/>
      <c r="K85" s="519"/>
      <c r="L85" s="519"/>
      <c r="M85" s="520"/>
      <c r="N85" s="2979"/>
      <c r="O85" s="2979"/>
      <c r="P85" s="3003"/>
      <c r="Q85" s="2970"/>
      <c r="R85" s="2971"/>
      <c r="S85" s="2971"/>
      <c r="T85" s="2971"/>
      <c r="U85" s="2971"/>
      <c r="V85" s="2971"/>
      <c r="W85" s="2971"/>
      <c r="X85" s="2971"/>
      <c r="Y85" s="2971"/>
      <c r="Z85" s="2971"/>
      <c r="AA85" s="2971"/>
      <c r="AB85" s="2971"/>
      <c r="AC85" s="2971"/>
    </row>
    <row r="86" spans="1:29" s="430" customFormat="1" ht="15.75" thickTop="1">
      <c r="A86" s="510"/>
      <c r="B86" s="503">
        <f>B14</f>
        <v>111</v>
      </c>
      <c r="C86" s="480"/>
      <c r="D86" s="480"/>
      <c r="E86" s="480"/>
      <c r="F86" s="480"/>
      <c r="G86" s="480"/>
      <c r="H86" s="521"/>
      <c r="I86" s="521"/>
      <c r="J86" s="521"/>
      <c r="K86" s="521"/>
      <c r="L86" s="522"/>
      <c r="M86" s="523"/>
      <c r="N86" s="2979"/>
      <c r="O86" s="2979"/>
      <c r="P86" s="3008"/>
      <c r="Q86" s="2970"/>
      <c r="R86" s="2971"/>
      <c r="S86" s="2971"/>
      <c r="T86" s="2971"/>
      <c r="U86" s="2971"/>
      <c r="V86" s="2971"/>
      <c r="W86" s="2971"/>
      <c r="X86" s="2971"/>
      <c r="Y86" s="2971"/>
      <c r="Z86" s="2971"/>
      <c r="AA86" s="2971"/>
      <c r="AB86" s="2971"/>
      <c r="AC86" s="2971"/>
    </row>
    <row r="87" spans="1:29" s="430" customFormat="1" ht="15.75" thickBot="1">
      <c r="A87" s="525"/>
      <c r="B87" s="526"/>
      <c r="C87" s="527"/>
      <c r="D87" s="527"/>
      <c r="E87" s="527"/>
      <c r="F87" s="527"/>
      <c r="G87" s="527"/>
      <c r="H87" s="528"/>
      <c r="I87" s="528"/>
      <c r="J87" s="528"/>
      <c r="K87" s="528"/>
      <c r="L87" s="528"/>
      <c r="M87" s="529"/>
      <c r="N87" s="2979"/>
      <c r="O87" s="2979"/>
      <c r="P87" s="3003"/>
      <c r="Q87" s="2970"/>
      <c r="R87" s="2971"/>
      <c r="S87" s="2971"/>
      <c r="T87" s="2971"/>
      <c r="U87" s="2971"/>
      <c r="V87" s="2971"/>
      <c r="W87" s="2971"/>
      <c r="X87" s="2971"/>
      <c r="Y87" s="2971"/>
      <c r="Z87" s="2971"/>
      <c r="AA87" s="2971"/>
      <c r="AB87" s="2971"/>
      <c r="AC87" s="2971"/>
    </row>
    <row r="88" spans="1:29">
      <c r="A88" s="484" t="s">
        <v>2379</v>
      </c>
      <c r="B88" s="485" t="s">
        <v>2416</v>
      </c>
      <c r="C88" s="530" t="s">
        <v>2417</v>
      </c>
      <c r="D88" s="530" t="s">
        <v>2418</v>
      </c>
      <c r="E88" s="530" t="s">
        <v>2419</v>
      </c>
      <c r="F88" s="530" t="s">
        <v>2420</v>
      </c>
      <c r="G88" s="530" t="s">
        <v>2421</v>
      </c>
      <c r="H88" s="486"/>
      <c r="I88" s="486"/>
      <c r="J88" s="486"/>
      <c r="K88" s="531"/>
      <c r="L88" s="532"/>
      <c r="M88" s="533"/>
      <c r="N88" s="2977"/>
      <c r="O88" s="2977"/>
      <c r="P88" s="3004"/>
      <c r="Q88" s="2963"/>
      <c r="R88" s="2949"/>
      <c r="S88" s="2949"/>
      <c r="T88" s="2949"/>
      <c r="U88" s="2949"/>
      <c r="V88" s="2949"/>
      <c r="W88" s="2949"/>
      <c r="X88" s="2949"/>
      <c r="Y88" s="2949"/>
      <c r="Z88" s="2949"/>
      <c r="AA88" s="2949"/>
      <c r="AB88" s="2949"/>
      <c r="AC88" s="2949"/>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8"/>
      <c r="O89" s="2978"/>
      <c r="P89" s="3002"/>
      <c r="Q89" s="2963"/>
      <c r="R89" s="2949"/>
      <c r="S89" s="2949"/>
      <c r="T89" s="2949"/>
      <c r="U89" s="2949"/>
      <c r="V89" s="2949"/>
      <c r="W89" s="2949"/>
      <c r="X89" s="2949"/>
      <c r="Y89" s="2949"/>
      <c r="Z89" s="2949"/>
      <c r="AA89" s="2949"/>
      <c r="AB89" s="2949"/>
      <c r="AC89" s="2949"/>
    </row>
    <row r="90" spans="1:29" ht="15.75" thickTop="1">
      <c r="A90" s="491"/>
      <c r="B90" s="495" t="s">
        <v>2604</v>
      </c>
      <c r="C90" s="535" t="s">
        <v>2417</v>
      </c>
      <c r="D90" s="535" t="s">
        <v>2418</v>
      </c>
      <c r="E90" s="535" t="s">
        <v>2419</v>
      </c>
      <c r="F90" s="535" t="s">
        <v>2420</v>
      </c>
      <c r="G90" s="535" t="s">
        <v>2421</v>
      </c>
      <c r="H90" s="496"/>
      <c r="I90" s="496"/>
      <c r="J90" s="496"/>
      <c r="K90" s="497"/>
      <c r="L90" s="498"/>
      <c r="M90" s="499"/>
      <c r="N90" s="2977"/>
      <c r="O90" s="2977"/>
      <c r="P90" s="3002"/>
      <c r="Q90" s="2963"/>
      <c r="R90" s="2949"/>
      <c r="S90" s="2949"/>
      <c r="T90" s="2949"/>
      <c r="U90" s="2949"/>
      <c r="V90" s="2949"/>
      <c r="W90" s="2949"/>
      <c r="X90" s="2949"/>
      <c r="Y90" s="2949"/>
      <c r="Z90" s="2949"/>
      <c r="AA90" s="2949"/>
      <c r="AB90" s="2949"/>
      <c r="AC90" s="2949"/>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8"/>
      <c r="O91" s="2978"/>
      <c r="P91" s="3002"/>
      <c r="Q91" s="2963"/>
      <c r="R91" s="2949"/>
      <c r="S91" s="2949"/>
      <c r="T91" s="2949"/>
      <c r="U91" s="2949"/>
      <c r="V91" s="2949"/>
      <c r="W91" s="2949"/>
      <c r="X91" s="2949"/>
      <c r="Y91" s="2949"/>
      <c r="Z91" s="2949"/>
      <c r="AA91" s="2949"/>
      <c r="AB91" s="2949"/>
      <c r="AC91" s="2949"/>
    </row>
    <row r="92" spans="1:29" ht="15.75" thickTop="1">
      <c r="A92" s="491"/>
      <c r="B92" s="495" t="s">
        <v>2517</v>
      </c>
      <c r="C92" s="535" t="s">
        <v>2417</v>
      </c>
      <c r="D92" s="535" t="s">
        <v>2418</v>
      </c>
      <c r="E92" s="535" t="s">
        <v>2419</v>
      </c>
      <c r="F92" s="535" t="s">
        <v>2420</v>
      </c>
      <c r="G92" s="535" t="s">
        <v>2421</v>
      </c>
      <c r="H92" s="496"/>
      <c r="I92" s="496"/>
      <c r="J92" s="496"/>
      <c r="K92" s="497"/>
      <c r="L92" s="498"/>
      <c r="M92" s="499"/>
      <c r="N92" s="2977"/>
      <c r="O92" s="2977"/>
      <c r="P92" s="3002"/>
      <c r="Q92" s="2963"/>
      <c r="R92" s="2949"/>
      <c r="S92" s="2949"/>
      <c r="T92" s="2949"/>
      <c r="U92" s="2949"/>
      <c r="V92" s="2949"/>
      <c r="W92" s="2949"/>
      <c r="X92" s="2949"/>
      <c r="Y92" s="2949"/>
      <c r="Z92" s="2949"/>
      <c r="AA92" s="2949"/>
      <c r="AB92" s="2949"/>
      <c r="AC92" s="2949"/>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8"/>
      <c r="O93" s="2978"/>
      <c r="P93" s="3002"/>
      <c r="Q93" s="2963"/>
      <c r="R93" s="2949"/>
      <c r="S93" s="2949"/>
      <c r="T93" s="2949"/>
      <c r="U93" s="2949"/>
      <c r="V93" s="2949"/>
      <c r="W93" s="2949"/>
      <c r="X93" s="2949"/>
      <c r="Y93" s="2949"/>
      <c r="Z93" s="2949"/>
      <c r="AA93" s="2949"/>
      <c r="AB93" s="2949"/>
      <c r="AC93" s="2949"/>
    </row>
    <row r="94" spans="1:29" ht="15.75" thickTop="1">
      <c r="A94" s="491"/>
      <c r="B94" s="495" t="s">
        <v>2422</v>
      </c>
      <c r="C94" s="535" t="s">
        <v>2417</v>
      </c>
      <c r="D94" s="535" t="s">
        <v>2418</v>
      </c>
      <c r="E94" s="535" t="s">
        <v>2419</v>
      </c>
      <c r="F94" s="535" t="s">
        <v>2420</v>
      </c>
      <c r="G94" s="535" t="s">
        <v>2421</v>
      </c>
      <c r="H94" s="496"/>
      <c r="I94" s="496"/>
      <c r="J94" s="496"/>
      <c r="K94" s="497"/>
      <c r="L94" s="498"/>
      <c r="M94" s="499"/>
      <c r="N94" s="2977"/>
      <c r="O94" s="2977"/>
      <c r="P94" s="3002"/>
      <c r="Q94" s="2963"/>
      <c r="R94" s="2949"/>
      <c r="S94" s="2949"/>
      <c r="T94" s="2949"/>
      <c r="U94" s="2949"/>
      <c r="V94" s="2949"/>
      <c r="W94" s="2949"/>
      <c r="X94" s="2949"/>
      <c r="Y94" s="2949"/>
      <c r="Z94" s="2949"/>
      <c r="AA94" s="2949"/>
      <c r="AB94" s="2949"/>
      <c r="AC94" s="2949"/>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8"/>
      <c r="O95" s="2978"/>
      <c r="P95" s="3002"/>
      <c r="Q95" s="2963"/>
      <c r="R95" s="2949"/>
      <c r="S95" s="2949"/>
      <c r="T95" s="2949"/>
      <c r="U95" s="2949"/>
      <c r="V95" s="2949"/>
      <c r="W95" s="2949"/>
      <c r="X95" s="2949"/>
      <c r="Y95" s="2949"/>
      <c r="Z95" s="2949"/>
      <c r="AA95" s="2949"/>
      <c r="AB95" s="2949"/>
      <c r="AC95" s="2949"/>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6"/>
      <c r="O96" s="2976"/>
      <c r="P96" s="3002"/>
      <c r="Q96" s="2963"/>
      <c r="R96" s="2884"/>
      <c r="S96" s="2884"/>
      <c r="T96" s="2884"/>
      <c r="U96" s="2884"/>
      <c r="V96" s="2884"/>
      <c r="W96" s="2884"/>
      <c r="X96" s="2884"/>
      <c r="Y96" s="2884"/>
      <c r="Z96" s="2884"/>
      <c r="AA96" s="2884"/>
      <c r="AB96" s="2884"/>
      <c r="AC96" s="2884"/>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8"/>
      <c r="O97" s="2978"/>
      <c r="P97" s="3002"/>
      <c r="Q97" s="2963"/>
      <c r="R97" s="2884"/>
      <c r="S97" s="2884"/>
      <c r="T97" s="2884"/>
      <c r="U97" s="2884"/>
      <c r="V97" s="2884"/>
      <c r="W97" s="2884"/>
      <c r="X97" s="2884"/>
      <c r="Y97" s="2884"/>
      <c r="Z97" s="2884"/>
      <c r="AA97" s="2884"/>
      <c r="AB97" s="2884"/>
      <c r="AC97" s="2884"/>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6"/>
      <c r="O98" s="2976"/>
      <c r="P98" s="3002"/>
      <c r="Q98" s="2963"/>
      <c r="R98" s="2884"/>
      <c r="S98" s="2884"/>
      <c r="T98" s="2884"/>
      <c r="U98" s="2884"/>
      <c r="V98" s="2884"/>
      <c r="W98" s="2884"/>
      <c r="X98" s="2884"/>
      <c r="Y98" s="2884"/>
      <c r="Z98" s="2884"/>
      <c r="AA98" s="2884"/>
      <c r="AB98" s="2884"/>
      <c r="AC98" s="2884"/>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8"/>
      <c r="O99" s="2978"/>
      <c r="P99" s="3002"/>
      <c r="Q99" s="2963"/>
      <c r="R99" s="2884"/>
      <c r="S99" s="2884"/>
      <c r="T99" s="2884"/>
      <c r="U99" s="2884"/>
      <c r="V99" s="2884"/>
      <c r="W99" s="2884"/>
      <c r="X99" s="2884"/>
      <c r="Y99" s="2884"/>
      <c r="Z99" s="2884"/>
      <c r="AA99" s="2884"/>
      <c r="AB99" s="2884"/>
      <c r="AC99" s="2884"/>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9"/>
      <c r="O100" s="2979"/>
      <c r="P100" s="3003"/>
      <c r="Q100" s="2970"/>
      <c r="R100" s="2971"/>
      <c r="S100" s="2971"/>
      <c r="T100" s="2971"/>
      <c r="U100" s="2971"/>
      <c r="V100" s="2971"/>
      <c r="W100" s="2971"/>
      <c r="X100" s="2971"/>
      <c r="Y100" s="2971"/>
      <c r="Z100" s="2971"/>
      <c r="AA100" s="2971"/>
      <c r="AB100" s="2971"/>
      <c r="AC100" s="2971"/>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9"/>
      <c r="O101" s="2979"/>
      <c r="P101" s="3003"/>
      <c r="Q101" s="2970"/>
      <c r="R101" s="2971"/>
      <c r="S101" s="2971"/>
      <c r="T101" s="2971"/>
      <c r="U101" s="2971"/>
      <c r="V101" s="2971"/>
      <c r="W101" s="2971"/>
      <c r="X101" s="2971"/>
      <c r="Y101" s="2971"/>
      <c r="Z101" s="2971"/>
      <c r="AA101" s="2971"/>
      <c r="AB101" s="2971"/>
      <c r="AC101" s="2971"/>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79"/>
      <c r="O102" s="2979"/>
      <c r="P102" s="3003"/>
      <c r="Q102" s="2970"/>
      <c r="R102" s="2971"/>
      <c r="S102" s="2971"/>
      <c r="T102" s="2971"/>
      <c r="U102" s="2971"/>
      <c r="V102" s="2971"/>
      <c r="W102" s="2971"/>
      <c r="X102" s="2971"/>
      <c r="Y102" s="2971"/>
      <c r="Z102" s="2971"/>
      <c r="AA102" s="2971"/>
      <c r="AB102" s="2971"/>
      <c r="AC102" s="2971"/>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79"/>
      <c r="O103" s="2979"/>
      <c r="P103" s="3003"/>
      <c r="Q103" s="2970"/>
      <c r="R103" s="2971"/>
      <c r="S103" s="2971"/>
      <c r="T103" s="2971"/>
      <c r="U103" s="2971"/>
      <c r="V103" s="2971"/>
      <c r="W103" s="2971"/>
      <c r="X103" s="2971"/>
      <c r="Y103" s="2971"/>
      <c r="Z103" s="2971"/>
      <c r="AA103" s="2971"/>
      <c r="AB103" s="2971"/>
      <c r="AC103" s="2971"/>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7"/>
      <c r="O104" s="2977"/>
      <c r="P104" s="3002"/>
      <c r="Q104" s="2963"/>
      <c r="R104" s="2949"/>
      <c r="S104" s="2949"/>
      <c r="T104" s="2949"/>
      <c r="U104" s="2949"/>
      <c r="V104" s="2949"/>
      <c r="W104" s="2949"/>
      <c r="X104" s="2949"/>
      <c r="Y104" s="2949"/>
      <c r="Z104" s="2949"/>
      <c r="AA104" s="2949"/>
      <c r="AB104" s="2949"/>
      <c r="AC104" s="2949"/>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8"/>
      <c r="O105" s="2978"/>
      <c r="P105" s="3002"/>
      <c r="Q105" s="2963"/>
      <c r="R105" s="2949"/>
      <c r="S105" s="2949"/>
      <c r="T105" s="2949"/>
      <c r="U105" s="2949"/>
      <c r="V105" s="2949"/>
      <c r="W105" s="2949"/>
      <c r="X105" s="2949"/>
      <c r="Y105" s="2949"/>
      <c r="Z105" s="2949"/>
      <c r="AA105" s="2949"/>
      <c r="AB105" s="2949"/>
      <c r="AC105" s="2949"/>
    </row>
    <row r="106" spans="1:29" ht="27.75" thickTop="1">
      <c r="A106" s="491"/>
      <c r="B106" s="495" t="s">
        <v>2511</v>
      </c>
      <c r="C106" s="511"/>
      <c r="D106" s="511"/>
      <c r="E106" s="511"/>
      <c r="F106" s="511"/>
      <c r="G106" s="511"/>
      <c r="H106" s="540"/>
      <c r="I106" s="540"/>
      <c r="J106" s="540"/>
      <c r="K106" s="541"/>
      <c r="L106" s="542"/>
      <c r="M106" s="543"/>
      <c r="N106" s="2977"/>
      <c r="O106" s="2977"/>
      <c r="P106" s="3002"/>
      <c r="Q106" s="2963"/>
      <c r="R106" s="2949"/>
      <c r="S106" s="2949"/>
      <c r="T106" s="2949"/>
      <c r="U106" s="2949"/>
      <c r="V106" s="2949"/>
      <c r="W106" s="2949"/>
      <c r="X106" s="2949"/>
      <c r="Y106" s="2949"/>
      <c r="Z106" s="2949"/>
      <c r="AA106" s="2949"/>
      <c r="AB106" s="2949"/>
      <c r="AC106" s="2949"/>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8"/>
      <c r="O107" s="2978"/>
      <c r="P107" s="3002"/>
      <c r="Q107" s="2963"/>
      <c r="R107" s="2949"/>
      <c r="S107" s="2949"/>
      <c r="T107" s="2949"/>
      <c r="U107" s="2949"/>
      <c r="V107" s="2949"/>
      <c r="W107" s="2949"/>
      <c r="X107" s="2949"/>
      <c r="Y107" s="2949"/>
      <c r="Z107" s="2949"/>
      <c r="AA107" s="2949"/>
      <c r="AB107" s="2949"/>
      <c r="AC107" s="2949"/>
    </row>
    <row r="108" spans="1:29" ht="15.75" thickTop="1">
      <c r="A108" s="491"/>
      <c r="B108" s="495" t="s">
        <v>2570</v>
      </c>
      <c r="C108" s="540"/>
      <c r="D108" s="540"/>
      <c r="E108" s="540"/>
      <c r="F108" s="540"/>
      <c r="G108" s="540"/>
      <c r="H108" s="540"/>
      <c r="I108" s="540"/>
      <c r="J108" s="540"/>
      <c r="K108" s="541"/>
      <c r="L108" s="542"/>
      <c r="M108" s="543"/>
      <c r="N108" s="2977"/>
      <c r="O108" s="2977"/>
      <c r="P108" s="3002"/>
      <c r="Q108" s="2963"/>
      <c r="R108" s="2949"/>
      <c r="S108" s="2949"/>
      <c r="T108" s="2949"/>
      <c r="U108" s="2949"/>
      <c r="V108" s="2949"/>
      <c r="W108" s="2949"/>
      <c r="X108" s="2949"/>
      <c r="Y108" s="2949"/>
      <c r="Z108" s="2949"/>
      <c r="AA108" s="2949"/>
      <c r="AB108" s="2949"/>
      <c r="AC108" s="2949"/>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8"/>
      <c r="O109" s="2978"/>
      <c r="P109" s="3002"/>
      <c r="Q109" s="2963"/>
      <c r="R109" s="2949"/>
      <c r="S109" s="2949"/>
      <c r="T109" s="2949"/>
      <c r="U109" s="2949"/>
      <c r="V109" s="2949"/>
      <c r="W109" s="2949"/>
      <c r="X109" s="2949"/>
      <c r="Y109" s="2949"/>
      <c r="Z109" s="2949"/>
      <c r="AA109" s="2949"/>
      <c r="AB109" s="2949"/>
      <c r="AC109" s="2949"/>
    </row>
    <row r="110" spans="1:29" ht="15.75" thickTop="1">
      <c r="A110" s="491"/>
      <c r="B110" s="503">
        <f>B35</f>
        <v>111</v>
      </c>
      <c r="C110" s="511"/>
      <c r="D110" s="511"/>
      <c r="E110" s="511"/>
      <c r="F110" s="511"/>
      <c r="G110" s="544"/>
      <c r="H110" s="544"/>
      <c r="I110" s="544"/>
      <c r="J110" s="544"/>
      <c r="K110" s="545"/>
      <c r="L110" s="546"/>
      <c r="M110" s="547"/>
      <c r="N110" s="2977"/>
      <c r="O110" s="2977"/>
      <c r="P110" s="3002"/>
      <c r="Q110" s="2963"/>
      <c r="R110" s="2949"/>
      <c r="S110" s="2949"/>
      <c r="T110" s="2949"/>
      <c r="U110" s="2949"/>
      <c r="V110" s="2949"/>
      <c r="W110" s="2949"/>
      <c r="X110" s="2949"/>
      <c r="Y110" s="2949"/>
      <c r="Z110" s="2949"/>
      <c r="AA110" s="2949"/>
      <c r="AB110" s="2949"/>
      <c r="AC110" s="2949"/>
    </row>
    <row r="111" spans="1:29" ht="15.75" thickBot="1">
      <c r="A111" s="491"/>
      <c r="B111" s="526"/>
      <c r="C111" s="517"/>
      <c r="D111" s="517"/>
      <c r="E111" s="517"/>
      <c r="F111" s="517"/>
      <c r="G111" s="548"/>
      <c r="H111" s="548"/>
      <c r="I111" s="548"/>
      <c r="J111" s="548"/>
      <c r="K111" s="548"/>
      <c r="L111" s="548"/>
      <c r="M111" s="549"/>
      <c r="N111" s="2978"/>
      <c r="O111" s="2978"/>
      <c r="P111" s="3002"/>
      <c r="Q111" s="2963"/>
      <c r="R111" s="2949"/>
      <c r="S111" s="2949"/>
      <c r="T111" s="2949"/>
      <c r="U111" s="2949"/>
      <c r="V111" s="2949"/>
      <c r="W111" s="2949"/>
      <c r="X111" s="2949"/>
      <c r="Y111" s="2949"/>
      <c r="Z111" s="2949"/>
      <c r="AA111" s="2949"/>
      <c r="AB111" s="2949"/>
      <c r="AC111" s="2949"/>
    </row>
    <row r="112" spans="1:29" ht="15" thickTop="1">
      <c r="A112" s="631"/>
      <c r="B112" s="495">
        <f>B36</f>
        <v>111</v>
      </c>
      <c r="C112" s="480"/>
      <c r="D112" s="480"/>
      <c r="E112" s="480"/>
      <c r="F112" s="480"/>
      <c r="G112" s="540"/>
      <c r="H112" s="540"/>
      <c r="I112" s="540"/>
      <c r="J112" s="540"/>
      <c r="K112" s="541"/>
      <c r="L112" s="542"/>
      <c r="M112" s="543"/>
      <c r="N112" s="2977"/>
      <c r="O112" s="2977"/>
      <c r="P112" s="3002"/>
      <c r="Q112" s="2963"/>
      <c r="R112" s="2949"/>
      <c r="S112" s="2949"/>
      <c r="T112" s="2949"/>
      <c r="U112" s="2949"/>
      <c r="V112" s="2949"/>
      <c r="W112" s="2949"/>
      <c r="X112" s="2949"/>
      <c r="Y112" s="2949"/>
      <c r="Z112" s="2949"/>
      <c r="AA112" s="2949"/>
      <c r="AB112" s="2949"/>
      <c r="AC112" s="2949"/>
    </row>
    <row r="113" spans="1:29" ht="15.75" thickBot="1">
      <c r="A113" s="491"/>
      <c r="B113" s="500"/>
      <c r="C113" s="527"/>
      <c r="D113" s="527"/>
      <c r="E113" s="527"/>
      <c r="F113" s="527"/>
      <c r="G113" s="493"/>
      <c r="H113" s="493"/>
      <c r="I113" s="493"/>
      <c r="J113" s="493"/>
      <c r="K113" s="493"/>
      <c r="L113" s="493"/>
      <c r="M113" s="494"/>
      <c r="N113" s="2978"/>
      <c r="O113" s="2978"/>
      <c r="P113" s="3002"/>
      <c r="Q113" s="2963"/>
      <c r="R113" s="2949"/>
      <c r="S113" s="2949"/>
      <c r="T113" s="2949"/>
      <c r="U113" s="2949"/>
      <c r="V113" s="2949"/>
      <c r="W113" s="2949"/>
      <c r="X113" s="2949"/>
      <c r="Y113" s="2949"/>
      <c r="Z113" s="2949"/>
      <c r="AA113" s="2949"/>
      <c r="AB113" s="2949"/>
      <c r="AC113" s="2949"/>
    </row>
    <row r="114" spans="1:29" s="430" customFormat="1" ht="15" thickTop="1">
      <c r="A114" s="550"/>
      <c r="B114" s="551">
        <f>B37</f>
        <v>111</v>
      </c>
      <c r="C114" s="552"/>
      <c r="D114" s="552"/>
      <c r="E114" s="552"/>
      <c r="F114" s="552"/>
      <c r="G114" s="552"/>
      <c r="H114" s="552"/>
      <c r="I114" s="552"/>
      <c r="J114" s="553"/>
      <c r="K114" s="553"/>
      <c r="L114" s="554"/>
      <c r="M114" s="555"/>
      <c r="N114" s="2979"/>
      <c r="O114" s="2979"/>
      <c r="P114" s="3003"/>
      <c r="Q114" s="2970"/>
      <c r="R114" s="2971"/>
      <c r="S114" s="2971"/>
      <c r="T114" s="2971"/>
      <c r="U114" s="2971"/>
      <c r="V114" s="2971"/>
      <c r="W114" s="2971"/>
      <c r="X114" s="2971"/>
      <c r="Y114" s="2971"/>
      <c r="Z114" s="2971"/>
      <c r="AA114" s="2971"/>
      <c r="AB114" s="2971"/>
      <c r="AC114" s="2971"/>
    </row>
    <row r="115" spans="1:29" s="430" customFormat="1" ht="15.75" thickBot="1">
      <c r="A115" s="510"/>
      <c r="B115" s="503"/>
      <c r="C115" s="469"/>
      <c r="D115" s="633"/>
      <c r="E115" s="633"/>
      <c r="F115" s="633"/>
      <c r="G115" s="633"/>
      <c r="H115" s="633"/>
      <c r="I115" s="633"/>
      <c r="J115" s="633"/>
      <c r="K115" s="633"/>
      <c r="L115" s="633"/>
      <c r="M115" s="655"/>
      <c r="N115" s="2978"/>
      <c r="O115" s="2978"/>
      <c r="P115" s="3003"/>
      <c r="Q115" s="2970"/>
      <c r="R115" s="2971"/>
      <c r="S115" s="2971"/>
      <c r="T115" s="2971"/>
      <c r="U115" s="2971"/>
      <c r="V115" s="2971"/>
      <c r="W115" s="2971"/>
      <c r="X115" s="2971"/>
      <c r="Y115" s="2971"/>
      <c r="Z115" s="2971"/>
      <c r="AA115" s="2971"/>
      <c r="AB115" s="2971"/>
      <c r="AC115" s="2971"/>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7"/>
      <c r="O116" s="2977"/>
      <c r="P116" s="3002"/>
      <c r="Q116" s="2963"/>
      <c r="R116" s="2949"/>
      <c r="S116" s="2949"/>
      <c r="T116" s="2949"/>
      <c r="U116" s="2949"/>
      <c r="V116" s="2949"/>
      <c r="W116" s="2949"/>
      <c r="X116" s="2949"/>
      <c r="Y116" s="2949"/>
      <c r="Z116" s="2949"/>
      <c r="AA116" s="2949"/>
      <c r="AB116" s="2949"/>
      <c r="AC116" s="2949"/>
    </row>
    <row r="117" spans="1:29" ht="15">
      <c r="A117" s="491"/>
      <c r="B117" s="503"/>
      <c r="C117" s="552"/>
      <c r="D117" s="552"/>
      <c r="E117" s="552"/>
      <c r="F117" s="552"/>
      <c r="G117" s="552"/>
      <c r="H117" s="552"/>
      <c r="I117" s="552"/>
      <c r="J117" s="553"/>
      <c r="K117" s="553"/>
      <c r="L117" s="554"/>
      <c r="M117" s="555"/>
      <c r="N117" s="2977"/>
      <c r="O117" s="2977"/>
      <c r="P117" s="3002"/>
      <c r="Q117" s="2963"/>
      <c r="R117" s="2949"/>
      <c r="S117" s="2949"/>
      <c r="T117" s="2949"/>
      <c r="U117" s="2949"/>
      <c r="V117" s="2949"/>
      <c r="W117" s="2949"/>
      <c r="X117" s="2949"/>
      <c r="Y117" s="2949"/>
      <c r="Z117" s="2949"/>
      <c r="AA117" s="2949"/>
      <c r="AB117" s="2949"/>
      <c r="AC117" s="2949"/>
    </row>
    <row r="118" spans="1:29" ht="15.75" thickBot="1">
      <c r="A118" s="491"/>
      <c r="B118" s="500"/>
      <c r="C118" s="527"/>
      <c r="D118" s="548"/>
      <c r="E118" s="548"/>
      <c r="F118" s="548"/>
      <c r="G118" s="548"/>
      <c r="H118" s="548"/>
      <c r="I118" s="548"/>
      <c r="J118" s="548"/>
      <c r="K118" s="548"/>
      <c r="L118" s="548"/>
      <c r="M118" s="549"/>
      <c r="N118" s="2978"/>
      <c r="O118" s="2978"/>
      <c r="P118" s="3002"/>
      <c r="Q118" s="2963"/>
      <c r="R118" s="2949"/>
      <c r="S118" s="2949"/>
      <c r="T118" s="2949"/>
      <c r="U118" s="2949"/>
      <c r="V118" s="2949"/>
      <c r="W118" s="2949"/>
      <c r="X118" s="2949"/>
      <c r="Y118" s="2949"/>
      <c r="Z118" s="2949"/>
      <c r="AA118" s="2949"/>
      <c r="AB118" s="2949"/>
      <c r="AC118" s="2949"/>
    </row>
    <row r="119" spans="1:29" ht="15" thickTop="1">
      <c r="A119" s="556"/>
      <c r="B119" s="495" t="s">
        <v>2612</v>
      </c>
      <c r="C119" s="540"/>
      <c r="D119" s="540"/>
      <c r="E119" s="540"/>
      <c r="F119" s="540"/>
      <c r="G119" s="540"/>
      <c r="H119" s="540"/>
      <c r="I119" s="540"/>
      <c r="J119" s="540"/>
      <c r="K119" s="541"/>
      <c r="L119" s="542"/>
      <c r="M119" s="543"/>
      <c r="N119" s="2977"/>
      <c r="O119" s="2977"/>
      <c r="P119" s="3002"/>
      <c r="Q119" s="2963"/>
      <c r="R119" s="2949"/>
      <c r="S119" s="2949"/>
      <c r="T119" s="2949"/>
      <c r="U119" s="2949"/>
      <c r="V119" s="2949"/>
      <c r="W119" s="2949"/>
      <c r="X119" s="2949"/>
      <c r="Y119" s="2949"/>
      <c r="Z119" s="2949"/>
      <c r="AA119" s="2949"/>
      <c r="AB119" s="2949"/>
      <c r="AC119" s="2949"/>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8"/>
      <c r="O120" s="2978"/>
      <c r="P120" s="3002"/>
      <c r="Q120" s="2963"/>
      <c r="R120" s="2949"/>
      <c r="S120" s="2949"/>
      <c r="T120" s="2949"/>
      <c r="U120" s="2949"/>
      <c r="V120" s="2949"/>
      <c r="W120" s="2949"/>
      <c r="X120" s="2949"/>
      <c r="Y120" s="2949"/>
      <c r="Z120" s="2949"/>
      <c r="AA120" s="2949"/>
      <c r="AB120" s="2949"/>
      <c r="AC120" s="2949"/>
    </row>
    <row r="121" spans="1:29" ht="15" thickTop="1">
      <c r="A121" s="556"/>
      <c r="B121" s="495" t="s">
        <v>2613</v>
      </c>
      <c r="C121" s="511"/>
      <c r="D121" s="511"/>
      <c r="E121" s="511"/>
      <c r="F121" s="540"/>
      <c r="G121" s="540"/>
      <c r="H121" s="540"/>
      <c r="I121" s="540"/>
      <c r="J121" s="540"/>
      <c r="K121" s="541"/>
      <c r="L121" s="542"/>
      <c r="M121" s="543"/>
      <c r="N121" s="2977"/>
      <c r="O121" s="2977"/>
      <c r="P121" s="3002"/>
      <c r="Q121" s="2963"/>
      <c r="R121" s="2949"/>
      <c r="S121" s="2949"/>
      <c r="T121" s="2949"/>
      <c r="U121" s="2949"/>
      <c r="V121" s="2949"/>
      <c r="W121" s="2949"/>
      <c r="X121" s="2949"/>
      <c r="Y121" s="2949"/>
      <c r="Z121" s="2949"/>
      <c r="AA121" s="2949"/>
      <c r="AB121" s="2949"/>
      <c r="AC121" s="2949"/>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8"/>
      <c r="O122" s="2978"/>
      <c r="P122" s="3002"/>
      <c r="Q122" s="2963"/>
      <c r="R122" s="2949"/>
      <c r="S122" s="2949"/>
      <c r="T122" s="2949"/>
      <c r="U122" s="2949"/>
      <c r="V122" s="2949"/>
      <c r="W122" s="2949"/>
      <c r="X122" s="2949"/>
      <c r="Y122" s="2949"/>
      <c r="Z122" s="2949"/>
      <c r="AA122" s="2949"/>
      <c r="AB122" s="2949"/>
      <c r="AC122" s="2949"/>
    </row>
    <row r="123" spans="1:29" s="430" customFormat="1" ht="15" thickTop="1">
      <c r="A123" s="550"/>
      <c r="B123" s="495" t="s">
        <v>2614</v>
      </c>
      <c r="C123" s="511"/>
      <c r="D123" s="511"/>
      <c r="E123" s="511"/>
      <c r="F123" s="511"/>
      <c r="G123" s="511"/>
      <c r="H123" s="540"/>
      <c r="I123" s="540"/>
      <c r="J123" s="540"/>
      <c r="K123" s="541"/>
      <c r="L123" s="542"/>
      <c r="M123" s="543"/>
      <c r="N123" s="2979"/>
      <c r="O123" s="2979"/>
      <c r="P123" s="3003"/>
      <c r="Q123" s="2970"/>
      <c r="R123" s="2971"/>
      <c r="S123" s="2971"/>
      <c r="T123" s="2971"/>
      <c r="U123" s="2971"/>
      <c r="V123" s="2971"/>
      <c r="W123" s="2971"/>
      <c r="X123" s="2971"/>
      <c r="Y123" s="2971"/>
      <c r="Z123" s="2971"/>
      <c r="AA123" s="2971"/>
      <c r="AB123" s="2971"/>
      <c r="AC123" s="2971"/>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9"/>
      <c r="O124" s="2979"/>
      <c r="P124" s="3003"/>
      <c r="Q124" s="2970"/>
      <c r="R124" s="2971"/>
      <c r="S124" s="2971"/>
      <c r="T124" s="2971"/>
      <c r="U124" s="2971"/>
      <c r="V124" s="2971"/>
      <c r="W124" s="2971"/>
      <c r="X124" s="2971"/>
      <c r="Y124" s="2971"/>
      <c r="Z124" s="2971"/>
      <c r="AA124" s="2971"/>
      <c r="AB124" s="2971"/>
      <c r="AC124" s="2971"/>
    </row>
    <row r="125" spans="1:29" ht="15" thickTop="1">
      <c r="A125" s="556"/>
      <c r="B125" s="495" t="s">
        <v>2615</v>
      </c>
      <c r="C125" s="511"/>
      <c r="D125" s="511"/>
      <c r="E125" s="540"/>
      <c r="F125" s="540"/>
      <c r="G125" s="540"/>
      <c r="H125" s="540"/>
      <c r="I125" s="540"/>
      <c r="J125" s="540"/>
      <c r="K125" s="541"/>
      <c r="L125" s="542"/>
      <c r="M125" s="543"/>
      <c r="N125" s="2977"/>
      <c r="O125" s="2977"/>
      <c r="P125" s="3002"/>
      <c r="Q125" s="2963"/>
      <c r="R125" s="2949"/>
      <c r="S125" s="2949"/>
      <c r="T125" s="2949"/>
      <c r="U125" s="2949"/>
      <c r="V125" s="2949"/>
      <c r="W125" s="2949"/>
      <c r="X125" s="2949"/>
      <c r="Y125" s="2949"/>
      <c r="Z125" s="2949"/>
      <c r="AA125" s="2949"/>
      <c r="AB125" s="2949"/>
      <c r="AC125" s="2949"/>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8"/>
      <c r="O126" s="2978"/>
      <c r="P126" s="3002"/>
      <c r="Q126" s="2963"/>
      <c r="R126" s="2949"/>
      <c r="S126" s="2949"/>
      <c r="T126" s="2949"/>
      <c r="U126" s="2949"/>
      <c r="V126" s="2949"/>
      <c r="W126" s="2949"/>
      <c r="X126" s="2949"/>
      <c r="Y126" s="2949"/>
      <c r="Z126" s="2949"/>
      <c r="AA126" s="2949"/>
      <c r="AB126" s="2949"/>
      <c r="AC126" s="2949"/>
    </row>
    <row r="127" spans="1:29" ht="15" thickTop="1">
      <c r="A127" s="556"/>
      <c r="B127" s="495">
        <f>B43</f>
        <v>111</v>
      </c>
      <c r="C127" s="511"/>
      <c r="D127" s="511"/>
      <c r="E127" s="511"/>
      <c r="F127" s="511"/>
      <c r="G127" s="511"/>
      <c r="H127" s="540"/>
      <c r="I127" s="540"/>
      <c r="J127" s="540"/>
      <c r="K127" s="541"/>
      <c r="L127" s="542"/>
      <c r="M127" s="543"/>
      <c r="N127" s="2977"/>
      <c r="O127" s="2977"/>
      <c r="P127" s="3002"/>
      <c r="Q127" s="2963"/>
      <c r="R127" s="2949"/>
      <c r="S127" s="2949"/>
      <c r="T127" s="2949"/>
      <c r="U127" s="2949"/>
      <c r="V127" s="2949"/>
      <c r="W127" s="2949"/>
      <c r="X127" s="2949"/>
      <c r="Y127" s="2949"/>
      <c r="Z127" s="2949"/>
      <c r="AA127" s="2949"/>
      <c r="AB127" s="2949"/>
      <c r="AC127" s="2949"/>
    </row>
    <row r="128" spans="1:29" ht="15.75" thickBot="1">
      <c r="A128" s="491"/>
      <c r="B128" s="500"/>
      <c r="C128" s="517"/>
      <c r="D128" s="517"/>
      <c r="E128" s="517"/>
      <c r="F128" s="517"/>
      <c r="G128" s="493"/>
      <c r="H128" s="493"/>
      <c r="I128" s="493"/>
      <c r="J128" s="493"/>
      <c r="K128" s="493"/>
      <c r="L128" s="493"/>
      <c r="M128" s="494"/>
      <c r="N128" s="2978"/>
      <c r="O128" s="2978"/>
      <c r="P128" s="3002"/>
      <c r="Q128" s="2963"/>
      <c r="R128" s="2949"/>
      <c r="S128" s="2949"/>
      <c r="T128" s="2949"/>
      <c r="U128" s="2949"/>
      <c r="V128" s="2949"/>
      <c r="W128" s="2949"/>
      <c r="X128" s="2949"/>
      <c r="Y128" s="2949"/>
      <c r="Z128" s="2949"/>
      <c r="AA128" s="2949"/>
      <c r="AB128" s="2949"/>
      <c r="AC128" s="2949"/>
    </row>
    <row r="129" spans="1:29" ht="15" thickTop="1">
      <c r="A129" s="556"/>
      <c r="B129" s="495">
        <f>B44</f>
        <v>111</v>
      </c>
      <c r="C129" s="480"/>
      <c r="D129" s="480"/>
      <c r="E129" s="480"/>
      <c r="F129" s="480"/>
      <c r="G129" s="540"/>
      <c r="H129" s="540"/>
      <c r="I129" s="540"/>
      <c r="J129" s="540"/>
      <c r="K129" s="541"/>
      <c r="L129" s="542"/>
      <c r="M129" s="543"/>
      <c r="N129" s="2977"/>
      <c r="O129" s="2977"/>
      <c r="P129" s="3002"/>
      <c r="Q129" s="2963"/>
      <c r="R129" s="2949"/>
      <c r="S129" s="2949"/>
      <c r="T129" s="2949"/>
      <c r="U129" s="2949"/>
      <c r="V129" s="2949"/>
      <c r="W129" s="2949"/>
      <c r="X129" s="2949"/>
      <c r="Y129" s="2949"/>
      <c r="Z129" s="2949"/>
      <c r="AA129" s="2949"/>
      <c r="AB129" s="2949"/>
      <c r="AC129" s="2949"/>
    </row>
    <row r="130" spans="1:29" ht="15.75" thickBot="1">
      <c r="A130" s="491"/>
      <c r="B130" s="500"/>
      <c r="C130" s="527"/>
      <c r="D130" s="527"/>
      <c r="E130" s="527"/>
      <c r="F130" s="527"/>
      <c r="G130" s="493"/>
      <c r="H130" s="493"/>
      <c r="I130" s="493"/>
      <c r="J130" s="493"/>
      <c r="K130" s="493"/>
      <c r="L130" s="493"/>
      <c r="M130" s="494"/>
      <c r="N130" s="2978"/>
      <c r="O130" s="2978"/>
      <c r="P130" s="3002"/>
      <c r="Q130" s="2963"/>
      <c r="R130" s="2949"/>
      <c r="S130" s="2949"/>
      <c r="T130" s="2949"/>
      <c r="U130" s="2949"/>
      <c r="V130" s="2949"/>
      <c r="W130" s="2949"/>
      <c r="X130" s="2949"/>
      <c r="Y130" s="2949"/>
      <c r="Z130" s="2949"/>
      <c r="AA130" s="2949"/>
      <c r="AB130" s="2949"/>
      <c r="AC130" s="2949"/>
    </row>
    <row r="131" spans="1:29" s="430" customFormat="1" ht="15" thickTop="1">
      <c r="A131" s="550"/>
      <c r="B131" s="495">
        <f>B45</f>
        <v>111</v>
      </c>
      <c r="C131" s="480"/>
      <c r="D131" s="480"/>
      <c r="E131" s="480"/>
      <c r="F131" s="480"/>
      <c r="G131" s="512"/>
      <c r="H131" s="512"/>
      <c r="I131" s="512"/>
      <c r="J131" s="512"/>
      <c r="K131" s="512"/>
      <c r="L131" s="513"/>
      <c r="M131" s="514"/>
      <c r="N131" s="2979"/>
      <c r="O131" s="2979"/>
      <c r="P131" s="3003"/>
      <c r="Q131" s="2970"/>
      <c r="R131" s="2971"/>
      <c r="S131" s="2971"/>
      <c r="T131" s="2971"/>
      <c r="U131" s="2971"/>
      <c r="V131" s="2971"/>
      <c r="W131" s="2971"/>
      <c r="X131" s="2971"/>
      <c r="Y131" s="2971"/>
      <c r="Z131" s="2971"/>
      <c r="AA131" s="2971"/>
      <c r="AB131" s="2971"/>
      <c r="AC131" s="2971"/>
    </row>
    <row r="132" spans="1:29" s="430" customFormat="1" ht="15.75" thickBot="1">
      <c r="A132" s="525"/>
      <c r="B132" s="656"/>
      <c r="C132" s="527"/>
      <c r="D132" s="527"/>
      <c r="E132" s="527"/>
      <c r="F132" s="527"/>
      <c r="G132" s="548"/>
      <c r="H132" s="548"/>
      <c r="I132" s="548"/>
      <c r="J132" s="548"/>
      <c r="K132" s="548"/>
      <c r="L132" s="548"/>
      <c r="M132" s="549"/>
      <c r="N132" s="2979"/>
      <c r="O132" s="2979"/>
      <c r="P132" s="3003"/>
      <c r="Q132" s="2970"/>
      <c r="R132" s="2971"/>
      <c r="S132" s="2971"/>
      <c r="T132" s="2971"/>
      <c r="U132" s="2971"/>
      <c r="V132" s="2971"/>
      <c r="W132" s="2971"/>
      <c r="X132" s="2971"/>
      <c r="Y132" s="2971"/>
      <c r="Z132" s="2971"/>
      <c r="AA132" s="2971"/>
      <c r="AB132" s="2971"/>
      <c r="AC132" s="297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8"/>
      <c r="M2" s="2959"/>
      <c r="N2" s="2959"/>
      <c r="O2" s="2959"/>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58"/>
      <c r="M3" s="2959"/>
      <c r="N3" s="2959"/>
      <c r="O3" s="2959"/>
      <c r="P3" s="708"/>
      <c r="Q3" s="708"/>
      <c r="R3" s="708"/>
      <c r="S3" s="708"/>
      <c r="T3" s="708"/>
      <c r="U3" s="708"/>
      <c r="V3" s="708"/>
      <c r="W3" s="708"/>
      <c r="X3" s="708"/>
      <c r="Y3" s="708"/>
      <c r="Z3" s="708"/>
      <c r="AA3" s="708"/>
      <c r="AB3" s="725"/>
      <c r="AC3" s="722"/>
    </row>
    <row r="4" spans="1:29" ht="15">
      <c r="A4" s="361" t="s">
        <v>2465</v>
      </c>
      <c r="B4" s="362"/>
      <c r="C4" s="3302" t="s">
        <v>2466</v>
      </c>
      <c r="D4" s="3303"/>
      <c r="E4" s="3304" t="s">
        <v>2467</v>
      </c>
      <c r="F4" s="3305"/>
      <c r="G4" s="3302" t="s">
        <v>2468</v>
      </c>
      <c r="H4" s="3303"/>
      <c r="I4" s="3302" t="s">
        <v>2469</v>
      </c>
      <c r="J4" s="3303"/>
      <c r="K4" s="567" t="s">
        <v>2470</v>
      </c>
      <c r="L4" s="2939"/>
      <c r="M4" s="2940"/>
      <c r="N4" s="2940"/>
      <c r="O4" s="2940"/>
      <c r="P4" s="3306" t="s">
        <v>2471</v>
      </c>
      <c r="Q4" s="3307"/>
      <c r="R4" s="3312" t="s">
        <v>2467</v>
      </c>
      <c r="S4" s="3313"/>
      <c r="T4" s="3312" t="s">
        <v>2468</v>
      </c>
      <c r="U4" s="3313"/>
      <c r="V4" s="3318" t="s">
        <v>2469</v>
      </c>
      <c r="W4" s="3318"/>
      <c r="X4" s="1539"/>
      <c r="Y4" s="3312" t="s">
        <v>2471</v>
      </c>
      <c r="Z4" s="3313"/>
      <c r="AA4" s="3299" t="s">
        <v>2467</v>
      </c>
      <c r="AB4" s="3300" t="s">
        <v>2468</v>
      </c>
      <c r="AC4" s="3299" t="s">
        <v>2469</v>
      </c>
    </row>
    <row r="5" spans="1:29" ht="15">
      <c r="A5" s="364"/>
      <c r="B5" s="365"/>
      <c r="C5" s="3362" t="s">
        <v>2362</v>
      </c>
      <c r="D5" s="3327"/>
      <c r="E5" s="3365" t="s">
        <v>2363</v>
      </c>
      <c r="F5" s="3366"/>
      <c r="G5" s="3362" t="s">
        <v>2364</v>
      </c>
      <c r="H5" s="3327"/>
      <c r="I5" s="3362" t="s">
        <v>2365</v>
      </c>
      <c r="J5" s="3327"/>
      <c r="K5" s="567"/>
      <c r="L5" s="2939"/>
      <c r="M5" s="2940"/>
      <c r="N5" s="2940"/>
      <c r="O5" s="2940"/>
      <c r="P5" s="3308"/>
      <c r="Q5" s="3309"/>
      <c r="R5" s="3314"/>
      <c r="S5" s="3315"/>
      <c r="T5" s="3314"/>
      <c r="U5" s="3315"/>
      <c r="V5" s="3318"/>
      <c r="W5" s="3318"/>
      <c r="X5" s="1539"/>
      <c r="Y5" s="3314"/>
      <c r="Z5" s="3315"/>
      <c r="AA5" s="3300"/>
      <c r="AB5" s="3300"/>
      <c r="AC5" s="3300"/>
    </row>
    <row r="6" spans="1:29" ht="15.75" thickBot="1">
      <c r="A6" s="366"/>
      <c r="B6" s="367"/>
      <c r="C6" s="3388" t="s">
        <v>2617</v>
      </c>
      <c r="D6" s="3389"/>
      <c r="E6" s="3390" t="s">
        <v>2617</v>
      </c>
      <c r="F6" s="3391"/>
      <c r="G6" s="3388" t="s">
        <v>2617</v>
      </c>
      <c r="H6" s="3389"/>
      <c r="I6" s="3388" t="s">
        <v>2617</v>
      </c>
      <c r="J6" s="3389"/>
      <c r="K6" s="567" t="s">
        <v>2367</v>
      </c>
      <c r="L6" s="2939"/>
      <c r="M6" s="2940"/>
      <c r="N6" s="2940"/>
      <c r="O6" s="2940"/>
      <c r="P6" s="3310"/>
      <c r="Q6" s="3311"/>
      <c r="R6" s="3314"/>
      <c r="S6" s="3315"/>
      <c r="T6" s="3316"/>
      <c r="U6" s="3317"/>
      <c r="V6" s="3318"/>
      <c r="W6" s="3318"/>
      <c r="X6" s="1539"/>
      <c r="Y6" s="3316"/>
      <c r="Z6" s="3317"/>
      <c r="AA6" s="3301"/>
      <c r="AB6" s="3301"/>
      <c r="AC6" s="3301"/>
    </row>
    <row r="7" spans="1:29" s="113" customFormat="1" ht="15.75" thickBot="1">
      <c r="A7" s="368" t="s">
        <v>2368</v>
      </c>
      <c r="B7" s="369"/>
      <c r="C7" s="370">
        <f>'数据-取费表'!B2</f>
        <v>44523</v>
      </c>
      <c r="D7" s="371">
        <v>100</v>
      </c>
      <c r="E7" s="372"/>
      <c r="F7" s="373">
        <f>SUMIF(65:65,YEAR(E7)&amp;"-"&amp;INT((MONTH(E7)+2)/3),66:66)</f>
        <v>0</v>
      </c>
      <c r="G7" s="2159"/>
      <c r="H7" s="371">
        <f>SUMIF(65:65,YEAR(G7)&amp;"-"&amp;INT((MONTH(G7)+2)/3),66:66)</f>
        <v>0</v>
      </c>
      <c r="I7" s="2159"/>
      <c r="J7" s="371">
        <f>SUMIF(65:65,YEAR(I7)&amp;"-"&amp;INT((MONTH(I7)+2)/3),66:66)</f>
        <v>0</v>
      </c>
      <c r="K7" s="568"/>
      <c r="L7" s="2941"/>
      <c r="M7" s="2942"/>
      <c r="N7" s="2942"/>
      <c r="O7" s="2942"/>
      <c r="P7" s="3323" t="s">
        <v>2369</v>
      </c>
      <c r="Q7" s="3325"/>
      <c r="R7" s="710" t="s">
        <v>17</v>
      </c>
      <c r="S7" s="711">
        <f t="shared" ref="S7:S15" si="0">F7</f>
        <v>0</v>
      </c>
      <c r="T7" s="710" t="s">
        <v>17</v>
      </c>
      <c r="U7" s="711">
        <f t="shared" ref="U7:U15" si="1">H7</f>
        <v>0</v>
      </c>
      <c r="V7" s="710" t="s">
        <v>17</v>
      </c>
      <c r="W7" s="711">
        <f t="shared" ref="W7:W15" si="2">J7</f>
        <v>0</v>
      </c>
      <c r="X7" s="712"/>
      <c r="Y7" s="3323" t="s">
        <v>2369</v>
      </c>
      <c r="Z7" s="3324"/>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1"/>
      <c r="M8" s="2942"/>
      <c r="N8" s="2942"/>
      <c r="O8" s="2942"/>
      <c r="P8" s="3323" t="s">
        <v>2372</v>
      </c>
      <c r="Q8" s="3324"/>
      <c r="R8" s="710" t="s">
        <v>17</v>
      </c>
      <c r="S8" s="711">
        <f t="shared" si="0"/>
        <v>0</v>
      </c>
      <c r="T8" s="710" t="s">
        <v>17</v>
      </c>
      <c r="U8" s="711">
        <f t="shared" si="1"/>
        <v>0</v>
      </c>
      <c r="V8" s="710" t="s">
        <v>17</v>
      </c>
      <c r="W8" s="711">
        <f t="shared" si="2"/>
        <v>0</v>
      </c>
      <c r="X8" s="712"/>
      <c r="Y8" s="3323" t="s">
        <v>2372</v>
      </c>
      <c r="Z8" s="3324"/>
      <c r="AA8" s="713" t="e">
        <f t="shared" ref="AA8:AA40" si="3">D8/F8</f>
        <v>#DIV/0!</v>
      </c>
      <c r="AB8" s="713" t="e">
        <f t="shared" ref="AB8:AB40" si="4">D8/H8</f>
        <v>#DIV/0!</v>
      </c>
      <c r="AC8" s="713" t="e">
        <f t="shared" ref="AC8:AC40" si="5">D8/J8</f>
        <v>#DIV/0!</v>
      </c>
    </row>
    <row r="9" spans="1:29" s="113" customFormat="1">
      <c r="A9" s="375" t="s">
        <v>2373</v>
      </c>
      <c r="B9" s="67" t="s">
        <v>2374</v>
      </c>
      <c r="C9" s="2162"/>
      <c r="D9" s="131">
        <v>100</v>
      </c>
      <c r="E9" s="2162"/>
      <c r="F9" s="131">
        <f>SUMIF(70:70,E9,71:71)-SUMIF(70:70,C9,71:71)+100</f>
        <v>100</v>
      </c>
      <c r="G9" s="2162"/>
      <c r="H9" s="131">
        <f>SUMIF(70:70,G9,71:71)-SUMIF(70:70,C9,71:71)+100</f>
        <v>100</v>
      </c>
      <c r="I9" s="2162"/>
      <c r="J9" s="131">
        <f>SUMIF(70:70,I9,71:71)-SUMIF(70:70,C9,71:71)+100</f>
        <v>100</v>
      </c>
      <c r="K9" s="568"/>
      <c r="L9" s="2941"/>
      <c r="M9" s="2942"/>
      <c r="N9" s="2942"/>
      <c r="O9" s="2996"/>
      <c r="P9" s="3287" t="s">
        <v>2375</v>
      </c>
      <c r="Q9" s="1527" t="str">
        <f t="shared" ref="Q9:Q15" si="6">B9</f>
        <v>用途</v>
      </c>
      <c r="R9" s="710" t="s">
        <v>17</v>
      </c>
      <c r="S9" s="711">
        <f t="shared" si="0"/>
        <v>100</v>
      </c>
      <c r="T9" s="710" t="s">
        <v>17</v>
      </c>
      <c r="U9" s="711">
        <f t="shared" si="1"/>
        <v>100</v>
      </c>
      <c r="V9" s="710" t="s">
        <v>17</v>
      </c>
      <c r="W9" s="711">
        <f t="shared" si="2"/>
        <v>100</v>
      </c>
      <c r="X9" s="712"/>
      <c r="Y9" s="3185"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100</v>
      </c>
      <c r="G10" s="391"/>
      <c r="H10" s="132">
        <f>ROUND(100/'数据-取费表'!G16,0)</f>
        <v>100</v>
      </c>
      <c r="I10" s="391"/>
      <c r="J10" s="132">
        <f>ROUND(100/'数据-取费表'!G16,0)</f>
        <v>100</v>
      </c>
      <c r="K10" s="628"/>
      <c r="L10" s="2943"/>
      <c r="M10" s="2944"/>
      <c r="N10" s="2944"/>
      <c r="O10" s="2997"/>
      <c r="P10" s="3287"/>
      <c r="Q10" s="1527"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5"/>
      <c r="M11" s="2940"/>
      <c r="N11" s="2940"/>
      <c r="O11" s="2998"/>
      <c r="P11" s="3287"/>
      <c r="Q11" s="1527" t="str">
        <f t="shared" si="6"/>
        <v>容积率</v>
      </c>
      <c r="R11" s="710" t="s">
        <v>17</v>
      </c>
      <c r="S11" s="711" t="e">
        <f t="shared" si="0"/>
        <v>#N/A</v>
      </c>
      <c r="T11" s="710" t="s">
        <v>17</v>
      </c>
      <c r="U11" s="711" t="e">
        <f t="shared" si="1"/>
        <v>#N/A</v>
      </c>
      <c r="V11" s="710" t="s">
        <v>17</v>
      </c>
      <c r="W11" s="711" t="e">
        <f t="shared" si="2"/>
        <v>#N/A</v>
      </c>
      <c r="X11" s="712"/>
      <c r="Y11" s="3185"/>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1"/>
      <c r="M12" s="2942"/>
      <c r="N12" s="2942"/>
      <c r="O12" s="2996"/>
      <c r="P12" s="3287"/>
      <c r="Q12" s="1527">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46"/>
      <c r="M13" s="2940"/>
      <c r="N13" s="2940"/>
      <c r="O13" s="2998"/>
      <c r="P13" s="3287"/>
      <c r="Q13" s="1527">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46"/>
      <c r="M14" s="2940"/>
      <c r="N14" s="2940"/>
      <c r="O14" s="2998"/>
      <c r="P14" s="3287"/>
      <c r="Q14" s="1527">
        <f t="shared" si="6"/>
        <v>111</v>
      </c>
      <c r="R14" s="710" t="s">
        <v>17</v>
      </c>
      <c r="S14" s="711">
        <f t="shared" si="0"/>
        <v>100</v>
      </c>
      <c r="T14" s="710" t="s">
        <v>17</v>
      </c>
      <c r="U14" s="711">
        <f t="shared" si="1"/>
        <v>100</v>
      </c>
      <c r="V14" s="710" t="s">
        <v>17</v>
      </c>
      <c r="W14" s="711">
        <f t="shared" si="2"/>
        <v>100</v>
      </c>
      <c r="X14" s="712"/>
      <c r="Y14" s="3185"/>
      <c r="Z14" s="55">
        <f t="shared" si="7"/>
        <v>111</v>
      </c>
      <c r="AA14" s="713">
        <f t="shared" si="3"/>
        <v>1</v>
      </c>
      <c r="AB14" s="713">
        <f t="shared" si="4"/>
        <v>1</v>
      </c>
      <c r="AC14" s="713">
        <f t="shared" si="5"/>
        <v>1</v>
      </c>
    </row>
    <row r="15" spans="1:29" ht="57">
      <c r="A15" s="399" t="s">
        <v>2379</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6"/>
      <c r="M15" s="2940"/>
      <c r="N15" s="2940"/>
      <c r="O15" s="2998"/>
      <c r="P15" s="3289" t="s">
        <v>2380</v>
      </c>
      <c r="Q15" s="1536" t="str">
        <f t="shared" si="6"/>
        <v>产业集聚程度</v>
      </c>
      <c r="R15" s="714" t="s">
        <v>17</v>
      </c>
      <c r="S15" s="715">
        <f t="shared" si="0"/>
        <v>100</v>
      </c>
      <c r="T15" s="714" t="s">
        <v>17</v>
      </c>
      <c r="U15" s="715">
        <f t="shared" si="1"/>
        <v>100</v>
      </c>
      <c r="V15" s="714" t="s">
        <v>17</v>
      </c>
      <c r="W15" s="715">
        <f t="shared" si="2"/>
        <v>100</v>
      </c>
      <c r="X15" s="1539"/>
      <c r="Y15" s="3289" t="s">
        <v>2380</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46"/>
      <c r="M16" s="2940"/>
      <c r="N16" s="2940"/>
      <c r="O16" s="2998"/>
      <c r="P16" s="3290"/>
      <c r="Q16" s="1536"/>
      <c r="R16" s="714"/>
      <c r="S16" s="715"/>
      <c r="T16" s="714"/>
      <c r="U16" s="715"/>
      <c r="V16" s="714"/>
      <c r="W16" s="715"/>
      <c r="X16" s="1539"/>
      <c r="Y16" s="3290"/>
      <c r="Z16" s="1540"/>
      <c r="AA16" s="1537">
        <v>1</v>
      </c>
      <c r="AB16" s="1537">
        <v>1</v>
      </c>
      <c r="AC16" s="1537">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6"/>
      <c r="M17" s="2940"/>
      <c r="N17" s="2940"/>
      <c r="O17" s="2998"/>
      <c r="P17" s="3290"/>
      <c r="Q17" s="1536" t="str">
        <f>B17</f>
        <v>交通便捷度</v>
      </c>
      <c r="R17" s="714" t="s">
        <v>17</v>
      </c>
      <c r="S17" s="715">
        <f>F17</f>
        <v>100</v>
      </c>
      <c r="T17" s="714" t="s">
        <v>17</v>
      </c>
      <c r="U17" s="715">
        <f>H17</f>
        <v>100</v>
      </c>
      <c r="V17" s="714" t="s">
        <v>17</v>
      </c>
      <c r="W17" s="715">
        <f>J17</f>
        <v>100</v>
      </c>
      <c r="X17" s="1539"/>
      <c r="Y17" s="3290"/>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46"/>
      <c r="M18" s="2940"/>
      <c r="N18" s="2940"/>
      <c r="O18" s="2998"/>
      <c r="P18" s="3290"/>
      <c r="Q18" s="1536"/>
      <c r="R18" s="714"/>
      <c r="S18" s="715"/>
      <c r="T18" s="714"/>
      <c r="U18" s="715"/>
      <c r="V18" s="714"/>
      <c r="W18" s="715"/>
      <c r="X18" s="1539"/>
      <c r="Y18" s="3290"/>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6"/>
      <c r="M19" s="2940"/>
      <c r="N19" s="2940"/>
      <c r="O19" s="2998"/>
      <c r="P19" s="3290"/>
      <c r="Q19" s="1536" t="str">
        <f t="shared" ref="Q19:Q33" si="8">B19</f>
        <v>区域土地利用方向</v>
      </c>
      <c r="R19" s="714" t="s">
        <v>17</v>
      </c>
      <c r="S19" s="715">
        <f>F19</f>
        <v>100</v>
      </c>
      <c r="T19" s="714" t="s">
        <v>17</v>
      </c>
      <c r="U19" s="715">
        <f>H19</f>
        <v>100</v>
      </c>
      <c r="V19" s="714" t="s">
        <v>17</v>
      </c>
      <c r="W19" s="715">
        <f>J19</f>
        <v>100</v>
      </c>
      <c r="X19" s="1539"/>
      <c r="Y19" s="3290"/>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1"/>
      <c r="L20" s="2946"/>
      <c r="M20" s="2940"/>
      <c r="N20" s="2940"/>
      <c r="O20" s="2998"/>
      <c r="P20" s="3290"/>
      <c r="Q20" s="1536"/>
      <c r="R20" s="714"/>
      <c r="S20" s="715"/>
      <c r="T20" s="714"/>
      <c r="U20" s="715"/>
      <c r="V20" s="714"/>
      <c r="W20" s="715"/>
      <c r="X20" s="1539"/>
      <c r="Y20" s="3290"/>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6"/>
      <c r="M21" s="2940"/>
      <c r="N21" s="2940"/>
      <c r="O21" s="2998"/>
      <c r="P21" s="3290"/>
      <c r="Q21" s="1536" t="str">
        <f t="shared" si="8"/>
        <v>环境状况</v>
      </c>
      <c r="R21" s="714" t="s">
        <v>17</v>
      </c>
      <c r="S21" s="715">
        <f>F21</f>
        <v>100</v>
      </c>
      <c r="T21" s="714" t="s">
        <v>17</v>
      </c>
      <c r="U21" s="715">
        <f>H21</f>
        <v>100</v>
      </c>
      <c r="V21" s="714" t="s">
        <v>17</v>
      </c>
      <c r="W21" s="715">
        <f>J21</f>
        <v>100</v>
      </c>
      <c r="X21" s="1539"/>
      <c r="Y21" s="3290"/>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46"/>
      <c r="M22" s="2940"/>
      <c r="N22" s="2940"/>
      <c r="O22" s="2998"/>
      <c r="P22" s="3290"/>
      <c r="Q22" s="1536"/>
      <c r="R22" s="714"/>
      <c r="S22" s="715"/>
      <c r="T22" s="714"/>
      <c r="U22" s="715"/>
      <c r="V22" s="714"/>
      <c r="W22" s="715"/>
      <c r="X22" s="1539"/>
      <c r="Y22" s="3290"/>
      <c r="Z22" s="1540"/>
      <c r="AA22" s="1537">
        <v>1</v>
      </c>
      <c r="AB22" s="1537">
        <v>1</v>
      </c>
      <c r="AC22" s="1537">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1"/>
      <c r="M23" s="2942"/>
      <c r="N23" s="2942"/>
      <c r="O23" s="2996"/>
      <c r="P23" s="3290"/>
      <c r="Q23" s="1527" t="str">
        <f t="shared" si="8"/>
        <v>公共配套设施</v>
      </c>
      <c r="R23" s="710" t="s">
        <v>17</v>
      </c>
      <c r="S23" s="711">
        <f>F23</f>
        <v>100</v>
      </c>
      <c r="T23" s="710" t="s">
        <v>17</v>
      </c>
      <c r="U23" s="711">
        <f>H23</f>
        <v>100</v>
      </c>
      <c r="V23" s="710" t="s">
        <v>17</v>
      </c>
      <c r="W23" s="711">
        <f>J23</f>
        <v>100</v>
      </c>
      <c r="X23" s="712"/>
      <c r="Y23" s="3290"/>
      <c r="Z23" s="55" t="str">
        <f>Q23</f>
        <v>公共配套设施</v>
      </c>
      <c r="AA23" s="1537">
        <f>D23/F23</f>
        <v>1</v>
      </c>
      <c r="AB23" s="1537">
        <f>D23/H23</f>
        <v>1</v>
      </c>
      <c r="AC23" s="1537">
        <f>D23/J23</f>
        <v>1</v>
      </c>
    </row>
    <row r="24" spans="1:29" s="113" customFormat="1" ht="15">
      <c r="A24" s="605"/>
      <c r="B24" s="588"/>
      <c r="C24" s="2163"/>
      <c r="D24" s="407"/>
      <c r="E24" s="2089"/>
      <c r="F24" s="407"/>
      <c r="G24" s="2089"/>
      <c r="H24" s="407"/>
      <c r="I24" s="406"/>
      <c r="J24" s="407"/>
      <c r="K24" s="628"/>
      <c r="L24" s="2941"/>
      <c r="M24" s="2942"/>
      <c r="N24" s="2942"/>
      <c r="O24" s="2996"/>
      <c r="P24" s="3290"/>
      <c r="Q24" s="1527"/>
      <c r="R24" s="710"/>
      <c r="S24" s="711"/>
      <c r="T24" s="710"/>
      <c r="U24" s="711"/>
      <c r="V24" s="710"/>
      <c r="W24" s="711"/>
      <c r="X24" s="712"/>
      <c r="Y24" s="3290"/>
      <c r="Z24" s="55"/>
      <c r="AA24" s="713">
        <v>1</v>
      </c>
      <c r="AB24" s="713">
        <v>1</v>
      </c>
      <c r="AC24" s="713">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1"/>
      <c r="M25" s="2942"/>
      <c r="N25" s="2942"/>
      <c r="O25" s="2996"/>
      <c r="P25" s="3290"/>
      <c r="Q25" s="1527" t="str">
        <f t="shared" ref="Q25" si="9">B25</f>
        <v>基础设施水平</v>
      </c>
      <c r="R25" s="710" t="s">
        <v>17</v>
      </c>
      <c r="S25" s="711">
        <f>F25</f>
        <v>100</v>
      </c>
      <c r="T25" s="710" t="s">
        <v>17</v>
      </c>
      <c r="U25" s="711">
        <f>H25</f>
        <v>100</v>
      </c>
      <c r="V25" s="710" t="s">
        <v>17</v>
      </c>
      <c r="W25" s="711">
        <f>J25</f>
        <v>100</v>
      </c>
      <c r="X25" s="712"/>
      <c r="Y25" s="3290"/>
      <c r="Z25" s="55" t="str">
        <f>Q25</f>
        <v>基础设施水平</v>
      </c>
      <c r="AA25" s="1537">
        <f>D25/F25</f>
        <v>1</v>
      </c>
      <c r="AB25" s="1537">
        <f>D25/H25</f>
        <v>1</v>
      </c>
      <c r="AC25" s="1537">
        <f>D25/J25</f>
        <v>1</v>
      </c>
    </row>
    <row r="26" spans="1:29" s="113" customFormat="1" ht="15">
      <c r="A26" s="605"/>
      <c r="B26" s="588"/>
      <c r="C26" s="2163"/>
      <c r="D26" s="407"/>
      <c r="E26" s="2164"/>
      <c r="F26" s="407"/>
      <c r="G26" s="2164"/>
      <c r="H26" s="407"/>
      <c r="I26" s="2164"/>
      <c r="J26" s="407"/>
      <c r="K26" s="628"/>
      <c r="L26" s="2941"/>
      <c r="M26" s="2942"/>
      <c r="N26" s="2942"/>
      <c r="O26" s="2996"/>
      <c r="P26" s="3290"/>
      <c r="Q26" s="1527"/>
      <c r="R26" s="710"/>
      <c r="S26" s="711"/>
      <c r="T26" s="710"/>
      <c r="U26" s="711"/>
      <c r="V26" s="710"/>
      <c r="W26" s="711"/>
      <c r="X26" s="712"/>
      <c r="Y26" s="3290"/>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6"/>
      <c r="M27" s="2940"/>
      <c r="N27" s="2940"/>
      <c r="O27" s="2998"/>
      <c r="P27" s="3290"/>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90"/>
      <c r="Z27" s="1540" t="str">
        <f t="shared" ref="Z27:Z40" si="13">Q27</f>
        <v>临街状况</v>
      </c>
      <c r="AA27" s="1537">
        <f t="shared" si="3"/>
        <v>1</v>
      </c>
      <c r="AB27" s="1537">
        <f t="shared" si="4"/>
        <v>1</v>
      </c>
      <c r="AC27" s="1537">
        <f t="shared" si="5"/>
        <v>1</v>
      </c>
    </row>
    <row r="28" spans="1:29" ht="27">
      <c r="A28" s="387"/>
      <c r="B28" s="589" t="s">
        <v>2511</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6"/>
      <c r="M28" s="2940"/>
      <c r="N28" s="2940"/>
      <c r="O28" s="2998"/>
      <c r="P28" s="3290"/>
      <c r="Q28" s="1536" t="str">
        <f t="shared" si="8"/>
        <v>毗邻道路的类型与等级</v>
      </c>
      <c r="R28" s="714" t="s">
        <v>17</v>
      </c>
      <c r="S28" s="715">
        <f t="shared" si="10"/>
        <v>100</v>
      </c>
      <c r="T28" s="714" t="s">
        <v>17</v>
      </c>
      <c r="U28" s="715">
        <f t="shared" si="11"/>
        <v>100</v>
      </c>
      <c r="V28" s="714" t="s">
        <v>17</v>
      </c>
      <c r="W28" s="715">
        <f t="shared" si="12"/>
        <v>100</v>
      </c>
      <c r="X28" s="1539"/>
      <c r="Y28" s="3290"/>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46"/>
      <c r="M29" s="2940"/>
      <c r="N29" s="2940"/>
      <c r="O29" s="2998"/>
      <c r="P29" s="3290"/>
      <c r="Q29" s="1536"/>
      <c r="R29" s="714"/>
      <c r="S29" s="715"/>
      <c r="T29" s="714"/>
      <c r="U29" s="715"/>
      <c r="V29" s="714"/>
      <c r="W29" s="715"/>
      <c r="X29" s="1539"/>
      <c r="Y29" s="3290"/>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6"/>
      <c r="M30" s="2940"/>
      <c r="N30" s="2940"/>
      <c r="O30" s="2998"/>
      <c r="P30" s="3290"/>
      <c r="Q30" s="1536" t="str">
        <f t="shared" si="8"/>
        <v>土地级别</v>
      </c>
      <c r="R30" s="714" t="s">
        <v>17</v>
      </c>
      <c r="S30" s="715">
        <f t="shared" si="10"/>
        <v>100</v>
      </c>
      <c r="T30" s="714" t="s">
        <v>17</v>
      </c>
      <c r="U30" s="715">
        <f t="shared" si="11"/>
        <v>100</v>
      </c>
      <c r="V30" s="714" t="s">
        <v>17</v>
      </c>
      <c r="W30" s="715">
        <f t="shared" si="12"/>
        <v>100</v>
      </c>
      <c r="X30" s="1539"/>
      <c r="Y30" s="3290"/>
      <c r="Z30" s="1540" t="str">
        <f t="shared" si="13"/>
        <v>土地级别</v>
      </c>
      <c r="AA30" s="1537">
        <f t="shared" si="3"/>
        <v>1</v>
      </c>
      <c r="AB30" s="1537">
        <f t="shared" si="4"/>
        <v>1</v>
      </c>
      <c r="AC30" s="1537">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6"/>
      <c r="M31" s="2940"/>
      <c r="N31" s="2940"/>
      <c r="O31" s="2998"/>
      <c r="P31" s="3290"/>
      <c r="Q31" s="1536">
        <f t="shared" si="8"/>
        <v>111</v>
      </c>
      <c r="R31" s="714" t="s">
        <v>17</v>
      </c>
      <c r="S31" s="715">
        <f t="shared" si="10"/>
        <v>100</v>
      </c>
      <c r="T31" s="714" t="s">
        <v>17</v>
      </c>
      <c r="U31" s="715">
        <f t="shared" si="11"/>
        <v>100</v>
      </c>
      <c r="V31" s="714" t="s">
        <v>17</v>
      </c>
      <c r="W31" s="715">
        <f t="shared" si="12"/>
        <v>100</v>
      </c>
      <c r="X31" s="1539"/>
      <c r="Y31" s="3290"/>
      <c r="Z31" s="1540">
        <f t="shared" si="13"/>
        <v>111</v>
      </c>
      <c r="AA31" s="1537">
        <f t="shared" si="3"/>
        <v>1</v>
      </c>
      <c r="AB31" s="1537">
        <f t="shared" si="4"/>
        <v>1</v>
      </c>
      <c r="AC31" s="1537">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6"/>
      <c r="M32" s="2940"/>
      <c r="N32" s="2940"/>
      <c r="O32" s="2998"/>
      <c r="P32" s="3382" t="s">
        <v>2385</v>
      </c>
      <c r="Q32" s="1536">
        <f t="shared" si="8"/>
        <v>111</v>
      </c>
      <c r="R32" s="714" t="s">
        <v>17</v>
      </c>
      <c r="S32" s="715">
        <f t="shared" si="10"/>
        <v>100</v>
      </c>
      <c r="T32" s="714" t="s">
        <v>17</v>
      </c>
      <c r="U32" s="715">
        <f t="shared" si="11"/>
        <v>100</v>
      </c>
      <c r="V32" s="714" t="s">
        <v>17</v>
      </c>
      <c r="W32" s="715">
        <f t="shared" si="12"/>
        <v>100</v>
      </c>
      <c r="X32" s="1539"/>
      <c r="Y32" s="3294" t="s">
        <v>2385</v>
      </c>
      <c r="Z32" s="1540">
        <f t="shared" si="13"/>
        <v>111</v>
      </c>
      <c r="AA32" s="1537">
        <f t="shared" si="3"/>
        <v>1</v>
      </c>
      <c r="AB32" s="1537">
        <f t="shared" si="4"/>
        <v>1</v>
      </c>
      <c r="AC32" s="1537">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5"/>
      <c r="M33" s="2947"/>
      <c r="N33" s="2947"/>
      <c r="O33" s="2999"/>
      <c r="P33" s="3294"/>
      <c r="Q33" s="1536">
        <f t="shared" si="8"/>
        <v>111</v>
      </c>
      <c r="R33" s="717" t="s">
        <v>17</v>
      </c>
      <c r="S33" s="718">
        <f t="shared" si="10"/>
        <v>100</v>
      </c>
      <c r="T33" s="717" t="s">
        <v>17</v>
      </c>
      <c r="U33" s="718">
        <f t="shared" si="11"/>
        <v>100</v>
      </c>
      <c r="V33" s="717" t="s">
        <v>17</v>
      </c>
      <c r="W33" s="718">
        <f t="shared" si="12"/>
        <v>100</v>
      </c>
      <c r="X33" s="719"/>
      <c r="Y33" s="3294"/>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6"/>
      <c r="M34" s="2940"/>
      <c r="N34" s="2940"/>
      <c r="O34" s="2998"/>
      <c r="P34" s="3294"/>
      <c r="Q34" s="1536" t="str">
        <f>B34</f>
        <v>宗地面积</v>
      </c>
      <c r="R34" s="714" t="s">
        <v>17</v>
      </c>
      <c r="S34" s="715" t="e">
        <f t="shared" si="10"/>
        <v>#N/A</v>
      </c>
      <c r="T34" s="714" t="s">
        <v>17</v>
      </c>
      <c r="U34" s="715" t="e">
        <f t="shared" si="11"/>
        <v>#N/A</v>
      </c>
      <c r="V34" s="714" t="s">
        <v>17</v>
      </c>
      <c r="W34" s="715" t="e">
        <f t="shared" si="12"/>
        <v>#N/A</v>
      </c>
      <c r="X34" s="1539"/>
      <c r="Y34" s="3294"/>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46"/>
      <c r="M35" s="2940"/>
      <c r="N35" s="2940"/>
      <c r="O35" s="2998"/>
      <c r="P35" s="3294"/>
      <c r="Q35" s="1536" t="str">
        <f t="shared" ref="Q35:Q40" si="14">B35</f>
        <v>宗地形状</v>
      </c>
      <c r="R35" s="714" t="s">
        <v>17</v>
      </c>
      <c r="S35" s="715">
        <f t="shared" si="10"/>
        <v>100</v>
      </c>
      <c r="T35" s="714" t="s">
        <v>17</v>
      </c>
      <c r="U35" s="715">
        <f t="shared" si="11"/>
        <v>100</v>
      </c>
      <c r="V35" s="714" t="s">
        <v>17</v>
      </c>
      <c r="W35" s="715">
        <f t="shared" si="12"/>
        <v>100</v>
      </c>
      <c r="X35" s="1539"/>
      <c r="Y35" s="3294"/>
      <c r="Z35" s="1540" t="str">
        <f t="shared" si="13"/>
        <v>宗地形状</v>
      </c>
      <c r="AA35" s="1537">
        <f t="shared" si="3"/>
        <v>1</v>
      </c>
      <c r="AB35" s="1537">
        <f t="shared" si="4"/>
        <v>1</v>
      </c>
      <c r="AC35" s="1537">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1"/>
      <c r="M36" s="2942"/>
      <c r="N36" s="2942"/>
      <c r="O36" s="2996"/>
      <c r="P36" s="3294"/>
      <c r="Q36" s="1536" t="str">
        <f t="shared" si="14"/>
        <v>宗地开发程度</v>
      </c>
      <c r="R36" s="710" t="s">
        <v>17</v>
      </c>
      <c r="S36" s="711">
        <f t="shared" si="10"/>
        <v>100</v>
      </c>
      <c r="T36" s="710" t="s">
        <v>17</v>
      </c>
      <c r="U36" s="711">
        <f t="shared" si="11"/>
        <v>100</v>
      </c>
      <c r="V36" s="710" t="s">
        <v>17</v>
      </c>
      <c r="W36" s="711">
        <f t="shared" si="12"/>
        <v>100</v>
      </c>
      <c r="X36" s="712"/>
      <c r="Y36" s="3294"/>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46"/>
      <c r="M37" s="2940"/>
      <c r="N37" s="2940"/>
      <c r="O37" s="2998"/>
      <c r="P37" s="3294" t="s">
        <v>2385</v>
      </c>
      <c r="Q37" s="1536" t="str">
        <f t="shared" si="14"/>
        <v>工程地质条件</v>
      </c>
      <c r="R37" s="714" t="s">
        <v>17</v>
      </c>
      <c r="S37" s="715">
        <f t="shared" si="10"/>
        <v>100</v>
      </c>
      <c r="T37" s="714" t="s">
        <v>17</v>
      </c>
      <c r="U37" s="715">
        <f t="shared" si="11"/>
        <v>100</v>
      </c>
      <c r="V37" s="714" t="s">
        <v>17</v>
      </c>
      <c r="W37" s="715">
        <f t="shared" si="12"/>
        <v>100</v>
      </c>
      <c r="X37" s="1539"/>
      <c r="Y37" s="3294"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6"/>
      <c r="M38" s="2940"/>
      <c r="N38" s="2940"/>
      <c r="O38" s="2998"/>
      <c r="P38" s="3294"/>
      <c r="Q38" s="1536">
        <f t="shared" si="14"/>
        <v>111</v>
      </c>
      <c r="R38" s="714" t="s">
        <v>17</v>
      </c>
      <c r="S38" s="715">
        <f t="shared" si="10"/>
        <v>100</v>
      </c>
      <c r="T38" s="714" t="s">
        <v>17</v>
      </c>
      <c r="U38" s="715">
        <f t="shared" si="11"/>
        <v>100</v>
      </c>
      <c r="V38" s="714" t="s">
        <v>17</v>
      </c>
      <c r="W38" s="715">
        <f t="shared" si="12"/>
        <v>100</v>
      </c>
      <c r="X38" s="1539"/>
      <c r="Y38" s="3294"/>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6"/>
      <c r="M39" s="2940"/>
      <c r="N39" s="2940"/>
      <c r="O39" s="2998"/>
      <c r="P39" s="3294"/>
      <c r="Q39" s="1536">
        <f t="shared" si="14"/>
        <v>111</v>
      </c>
      <c r="R39" s="714" t="s">
        <v>17</v>
      </c>
      <c r="S39" s="715">
        <f t="shared" si="10"/>
        <v>100</v>
      </c>
      <c r="T39" s="714" t="s">
        <v>17</v>
      </c>
      <c r="U39" s="715">
        <f t="shared" si="11"/>
        <v>100</v>
      </c>
      <c r="V39" s="714" t="s">
        <v>17</v>
      </c>
      <c r="W39" s="715">
        <f t="shared" si="12"/>
        <v>100</v>
      </c>
      <c r="X39" s="1539"/>
      <c r="Y39" s="3294"/>
      <c r="Z39" s="1540">
        <f t="shared" si="13"/>
        <v>111</v>
      </c>
      <c r="AA39" s="1537">
        <f t="shared" si="3"/>
        <v>1</v>
      </c>
      <c r="AB39" s="1537">
        <f t="shared" si="4"/>
        <v>1</v>
      </c>
      <c r="AC39" s="1537">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5"/>
      <c r="M40" s="2947"/>
      <c r="N40" s="2947"/>
      <c r="O40" s="2999"/>
      <c r="P40" s="3294"/>
      <c r="Q40" s="1536">
        <f t="shared" si="14"/>
        <v>111</v>
      </c>
      <c r="R40" s="717" t="s">
        <v>17</v>
      </c>
      <c r="S40" s="718">
        <f t="shared" si="10"/>
        <v>100</v>
      </c>
      <c r="T40" s="717" t="s">
        <v>17</v>
      </c>
      <c r="U40" s="718">
        <f t="shared" si="11"/>
        <v>100</v>
      </c>
      <c r="V40" s="717" t="s">
        <v>17</v>
      </c>
      <c r="W40" s="718">
        <f t="shared" si="12"/>
        <v>100</v>
      </c>
      <c r="X40" s="719"/>
      <c r="Y40" s="3294"/>
      <c r="Z40" s="720">
        <f t="shared" si="13"/>
        <v>111</v>
      </c>
      <c r="AA40" s="1537">
        <f t="shared" si="3"/>
        <v>1</v>
      </c>
      <c r="AB40" s="1537">
        <f t="shared" si="4"/>
        <v>1</v>
      </c>
      <c r="AC40" s="1537">
        <f t="shared" si="5"/>
        <v>1</v>
      </c>
    </row>
    <row r="41" spans="1:31" ht="15">
      <c r="A41" s="438" t="s">
        <v>2540</v>
      </c>
      <c r="B41" s="2167" t="s">
        <v>2620</v>
      </c>
      <c r="C41" s="638" t="s">
        <v>1</v>
      </c>
      <c r="D41" s="440"/>
      <c r="E41" s="441"/>
      <c r="F41" s="442"/>
      <c r="G41" s="443"/>
      <c r="H41" s="444"/>
      <c r="I41" s="441"/>
      <c r="J41" s="444"/>
      <c r="K41" s="723"/>
      <c r="L41" s="2948"/>
      <c r="M41" s="2940"/>
      <c r="N41" s="2940"/>
      <c r="O41" s="2949"/>
      <c r="P41" s="3287" t="str">
        <f>A41</f>
        <v>成交单价</v>
      </c>
      <c r="Q41" s="3287"/>
      <c r="R41" s="3318">
        <f>E41</f>
        <v>0</v>
      </c>
      <c r="S41" s="3318"/>
      <c r="T41" s="3318">
        <f>G41</f>
        <v>0</v>
      </c>
      <c r="U41" s="3318"/>
      <c r="V41" s="3318">
        <f>I41</f>
        <v>0</v>
      </c>
      <c r="W41" s="3318"/>
      <c r="X41" s="699"/>
      <c r="Y41" s="721"/>
      <c r="Z41" s="699"/>
      <c r="AA41" s="699"/>
      <c r="AB41" s="699"/>
      <c r="AC41" s="699"/>
    </row>
    <row r="42" spans="1:31" ht="15.75" thickBot="1">
      <c r="A42" s="445" t="s">
        <v>2489</v>
      </c>
      <c r="B42" s="639"/>
      <c r="C42" s="448" t="e">
        <f>R43</f>
        <v>#DIV/0!</v>
      </c>
      <c r="D42" s="2537" t="s">
        <v>2880</v>
      </c>
      <c r="E42" s="448" t="e">
        <f>R42</f>
        <v>#DIV/0!</v>
      </c>
      <c r="F42" s="2538"/>
      <c r="G42" s="447" t="e">
        <f>T42</f>
        <v>#DIV/0!</v>
      </c>
      <c r="H42" s="2538"/>
      <c r="I42" s="448" t="e">
        <f>V42</f>
        <v>#DIV/0!</v>
      </c>
      <c r="J42" s="2538"/>
      <c r="K42" s="2540">
        <f>F42+H42+J42</f>
        <v>0</v>
      </c>
      <c r="L42" s="2948"/>
      <c r="M42" s="2940"/>
      <c r="N42" s="2940"/>
      <c r="O42" s="2949"/>
      <c r="P42" s="3287" t="str">
        <f>A42</f>
        <v>比较价值（元/平方米）</v>
      </c>
      <c r="Q42" s="3287"/>
      <c r="R42" s="3384" t="e">
        <f>ROUND(PRODUCT(R41,AA7:AA40),0)</f>
        <v>#DIV/0!</v>
      </c>
      <c r="S42" s="3384"/>
      <c r="T42" s="3384" t="e">
        <f>ROUND(PRODUCT(T41,AB7:AB40),0)</f>
        <v>#DIV/0!</v>
      </c>
      <c r="U42" s="3384"/>
      <c r="V42" s="3384" t="e">
        <f>ROUND(PRODUCT(V41,AC7:AC40),0)</f>
        <v>#DIV/0!</v>
      </c>
      <c r="W42" s="3384"/>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48"/>
      <c r="M43" s="2940"/>
      <c r="N43" s="2940"/>
      <c r="O43" s="2949"/>
      <c r="P43" s="3284" t="str">
        <f>A43</f>
        <v>估价对象XX用房的比较价值（楼面单价，元/平方米）</v>
      </c>
      <c r="Q43" s="3285"/>
      <c r="R43" s="3385" t="e">
        <f>ROUND(IF(D42="简单平均",AVERAGE(R42:W42),R42*F42+T42*H42+V42*J42),0)</f>
        <v>#DIV/0!</v>
      </c>
      <c r="S43" s="3385"/>
      <c r="T43" s="3385"/>
      <c r="U43" s="3385"/>
      <c r="V43" s="3385"/>
      <c r="W43" s="3385"/>
      <c r="X43" s="699"/>
      <c r="Y43" s="699"/>
      <c r="Z43" s="699"/>
      <c r="AA43" s="699"/>
      <c r="AB43" s="699"/>
      <c r="AC43" s="699"/>
    </row>
    <row r="44" spans="1:31">
      <c r="A44" s="2949"/>
      <c r="B44" s="2949"/>
      <c r="C44" s="2949"/>
      <c r="D44" s="2949"/>
      <c r="E44" s="2949"/>
      <c r="F44" s="2949"/>
      <c r="G44" s="2953"/>
      <c r="H44" s="2949"/>
      <c r="I44" s="2949"/>
      <c r="J44" s="2949"/>
      <c r="K44" s="2954"/>
      <c r="L44" s="2950"/>
      <c r="M44" s="2940"/>
      <c r="N44" s="2940"/>
      <c r="O44" s="2949"/>
      <c r="P44" s="2949"/>
      <c r="Q44" s="2949"/>
      <c r="R44" s="2949"/>
      <c r="S44" s="2949"/>
      <c r="T44" s="2949"/>
      <c r="U44" s="2949"/>
      <c r="V44" s="2949"/>
      <c r="W44" s="2949"/>
      <c r="X44" s="2949"/>
      <c r="Y44" s="2949"/>
      <c r="Z44" s="2949"/>
      <c r="AA44" s="2949"/>
      <c r="AB44" s="2949"/>
      <c r="AC44" s="2949"/>
      <c r="AD44" s="2949"/>
      <c r="AE44" s="2949"/>
    </row>
    <row r="45" spans="1:31">
      <c r="A45" s="2949"/>
      <c r="B45" s="2949"/>
      <c r="C45" s="2949"/>
      <c r="D45" s="2949"/>
      <c r="E45" s="2949"/>
      <c r="F45" s="2949"/>
      <c r="G45" s="2949"/>
      <c r="H45" s="2949"/>
      <c r="I45" s="2949"/>
      <c r="J45" s="2949"/>
      <c r="K45" s="2954"/>
      <c r="L45" s="2950"/>
      <c r="M45" s="2940"/>
      <c r="N45" s="2940"/>
      <c r="O45" s="2949"/>
      <c r="P45" s="2949"/>
      <c r="Q45" s="2949"/>
      <c r="R45" s="2949"/>
      <c r="S45" s="2949"/>
      <c r="T45" s="2949"/>
      <c r="U45" s="2949"/>
      <c r="V45" s="2949"/>
      <c r="W45" s="2949"/>
      <c r="X45" s="2949"/>
      <c r="Y45" s="2949"/>
      <c r="Z45" s="2949"/>
      <c r="AA45" s="2949"/>
      <c r="AB45" s="2949"/>
      <c r="AC45" s="2949"/>
      <c r="AD45" s="2949"/>
      <c r="AE45" s="2949"/>
    </row>
    <row r="46" spans="1:31" ht="13.5" customHeight="1">
      <c r="A46" s="2949"/>
      <c r="B46" s="2949"/>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4"/>
      <c r="L46" s="2950"/>
      <c r="M46" s="2940"/>
      <c r="N46" s="2940"/>
      <c r="O46" s="2949"/>
      <c r="P46" s="2949"/>
      <c r="Q46" s="2949"/>
      <c r="R46" s="2949"/>
      <c r="S46" s="2949"/>
      <c r="T46" s="2949"/>
      <c r="U46" s="2949"/>
      <c r="V46" s="2949"/>
      <c r="W46" s="2949"/>
      <c r="X46" s="2949"/>
      <c r="Y46" s="2949"/>
      <c r="Z46" s="2949"/>
      <c r="AA46" s="2949"/>
      <c r="AB46" s="2949"/>
      <c r="AC46" s="2949"/>
      <c r="AD46" s="2949"/>
      <c r="AE46" s="2949"/>
    </row>
    <row r="47" spans="1:31" ht="13.5" customHeight="1">
      <c r="A47" s="2949"/>
      <c r="B47" s="2949"/>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4"/>
      <c r="L47" s="2950"/>
      <c r="M47" s="2949"/>
      <c r="N47" s="2949"/>
      <c r="O47" s="2949"/>
      <c r="P47" s="2949"/>
      <c r="Q47" s="2949"/>
      <c r="R47" s="2949"/>
      <c r="S47" s="2949"/>
      <c r="T47" s="2949"/>
      <c r="U47" s="2949"/>
      <c r="V47" s="2949"/>
      <c r="W47" s="2949"/>
      <c r="X47" s="2949"/>
      <c r="Y47" s="2949"/>
      <c r="Z47" s="2949"/>
      <c r="AA47" s="2949"/>
      <c r="AB47" s="2949"/>
      <c r="AC47" s="2949"/>
      <c r="AD47" s="2949"/>
      <c r="AE47" s="2949"/>
    </row>
    <row r="48" spans="1:31" s="459" customFormat="1" ht="13.5" customHeight="1">
      <c r="A48" s="2952"/>
      <c r="B48" s="2952"/>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7"/>
      <c r="L48" s="2951"/>
      <c r="M48" s="2952"/>
      <c r="N48" s="2952"/>
      <c r="O48" s="2952"/>
      <c r="P48" s="2952"/>
      <c r="Q48" s="2952"/>
      <c r="R48" s="2952"/>
      <c r="S48" s="2952"/>
      <c r="T48" s="2952"/>
      <c r="U48" s="2952"/>
      <c r="V48" s="2952"/>
      <c r="W48" s="2952"/>
      <c r="X48" s="2952"/>
      <c r="Y48" s="2952"/>
      <c r="Z48" s="2952"/>
      <c r="AA48" s="2952"/>
      <c r="AB48" s="2952"/>
      <c r="AC48" s="2952"/>
      <c r="AD48" s="2952"/>
      <c r="AE48" s="2952"/>
    </row>
    <row r="49" spans="1:31" s="459" customFormat="1" ht="15" thickBot="1">
      <c r="A49" s="2952"/>
      <c r="B49" s="2955"/>
      <c r="C49" s="702"/>
      <c r="D49" s="700"/>
      <c r="E49" s="700"/>
      <c r="F49" s="700"/>
      <c r="G49" s="700"/>
      <c r="H49" s="700"/>
      <c r="I49" s="700"/>
      <c r="J49" s="700"/>
      <c r="K49" s="2957"/>
      <c r="L49" s="2951"/>
      <c r="M49" s="2952"/>
      <c r="N49" s="2952"/>
      <c r="O49" s="2952"/>
      <c r="P49" s="2952"/>
      <c r="Q49" s="2952"/>
      <c r="R49" s="2952"/>
      <c r="S49" s="2952"/>
      <c r="T49" s="2952"/>
      <c r="U49" s="2952"/>
      <c r="V49" s="2952"/>
      <c r="W49" s="2952"/>
      <c r="X49" s="2952"/>
      <c r="Y49" s="2952"/>
      <c r="Z49" s="2952"/>
      <c r="AA49" s="2952"/>
      <c r="AB49" s="2952"/>
      <c r="AC49" s="2952"/>
      <c r="AD49" s="2952"/>
      <c r="AE49" s="2952"/>
    </row>
    <row r="50" spans="1:31" ht="27">
      <c r="A50" s="640" t="s">
        <v>2578</v>
      </c>
      <c r="B50" s="641" t="s">
        <v>2579</v>
      </c>
      <c r="C50" s="2168" t="s">
        <v>2580</v>
      </c>
      <c r="D50" s="2169" t="s">
        <v>2581</v>
      </c>
      <c r="E50" s="642" t="s">
        <v>2582</v>
      </c>
      <c r="F50" s="643" t="s">
        <v>2583</v>
      </c>
      <c r="G50" s="3302" t="s">
        <v>2584</v>
      </c>
      <c r="H50" s="3386"/>
      <c r="I50" s="1540" t="s">
        <v>2621</v>
      </c>
      <c r="J50" s="1540" t="str">
        <f>项目基本情况!F35</f>
        <v>江苏省扬州市广陵区</v>
      </c>
      <c r="K50" s="2171" t="s">
        <v>2586</v>
      </c>
      <c r="L50" s="2950"/>
      <c r="M50" s="2949"/>
      <c r="N50" s="2949"/>
      <c r="O50" s="2949"/>
      <c r="P50" s="2949"/>
      <c r="Q50" s="2949"/>
      <c r="R50" s="2949"/>
      <c r="S50" s="2949"/>
      <c r="T50" s="2949"/>
      <c r="U50" s="2949"/>
      <c r="V50" s="2949"/>
      <c r="W50" s="2949"/>
      <c r="X50" s="2949"/>
      <c r="Y50" s="2949"/>
      <c r="Z50" s="2949"/>
      <c r="AA50" s="2949"/>
      <c r="AB50" s="2949"/>
      <c r="AC50" s="2949"/>
      <c r="AD50" s="2949"/>
      <c r="AE50" s="2949"/>
    </row>
    <row r="51" spans="1:31" s="648" customFormat="1">
      <c r="A51" s="644" t="s">
        <v>2587</v>
      </c>
      <c r="B51" s="645" t="e">
        <f>C43</f>
        <v>#DIV/0!</v>
      </c>
      <c r="C51" s="646">
        <v>1</v>
      </c>
      <c r="D51" s="1075">
        <v>1</v>
      </c>
      <c r="E51" s="646">
        <f>'数据-汇总表'!E8+'数据-汇总表'!E9</f>
        <v>519.96</v>
      </c>
      <c r="F51" s="647" t="e">
        <f t="shared" ref="F51:F60" si="15">ROUND(B51*E51/10000,0)</f>
        <v>#DIV/0!</v>
      </c>
      <c r="G51" s="3298"/>
      <c r="H51" s="3287"/>
      <c r="I51" s="879">
        <v>1</v>
      </c>
      <c r="J51" s="879">
        <v>1</v>
      </c>
      <c r="K51" s="2952"/>
      <c r="L51" s="3006"/>
      <c r="M51" s="3006"/>
      <c r="N51" s="3006"/>
      <c r="O51" s="3006"/>
      <c r="P51" s="3006"/>
      <c r="Q51" s="3006"/>
      <c r="R51" s="3006"/>
      <c r="S51" s="3006"/>
      <c r="T51" s="3006"/>
      <c r="U51" s="3006"/>
      <c r="V51" s="3006"/>
      <c r="W51" s="3006"/>
      <c r="X51" s="3006"/>
      <c r="Y51" s="3006"/>
      <c r="Z51" s="3006"/>
      <c r="AA51" s="3006"/>
      <c r="AB51" s="3006"/>
      <c r="AC51" s="3006"/>
      <c r="AD51" s="3006"/>
      <c r="AE51" s="3006"/>
    </row>
    <row r="52" spans="1:31" s="648" customFormat="1">
      <c r="A52" s="649" t="s">
        <v>2588</v>
      </c>
      <c r="B52" s="224" t="e">
        <f>ROUND($C$43*C52*D52,0)</f>
        <v>#DIV/0!</v>
      </c>
      <c r="C52" s="176">
        <f t="shared" ref="C52:C60" si="16">IF($C$50="北京市系数",I52,J52)</f>
        <v>0</v>
      </c>
      <c r="D52" s="1076">
        <v>0.25</v>
      </c>
      <c r="E52" s="650"/>
      <c r="F52" s="647" t="e">
        <f t="shared" si="15"/>
        <v>#DIV/0!</v>
      </c>
      <c r="G52" s="3387" t="s">
        <v>2589</v>
      </c>
      <c r="H52" s="1018">
        <f>项目基本情况!B37</f>
        <v>0</v>
      </c>
      <c r="I52" s="879">
        <f>SUMIF(修正!A45:A56,H52,修正!B45:B56)</f>
        <v>0</v>
      </c>
      <c r="J52" s="880"/>
      <c r="K52" s="2949"/>
      <c r="L52" s="3006"/>
      <c r="M52" s="3006"/>
      <c r="N52" s="3006"/>
      <c r="O52" s="3006"/>
      <c r="P52" s="3006"/>
      <c r="Q52" s="3006"/>
      <c r="R52" s="3006"/>
      <c r="S52" s="3006"/>
      <c r="T52" s="3006"/>
      <c r="U52" s="3006"/>
      <c r="V52" s="3006"/>
      <c r="W52" s="3006"/>
      <c r="X52" s="3006"/>
      <c r="Y52" s="3006"/>
      <c r="Z52" s="3006"/>
      <c r="AA52" s="3006"/>
      <c r="AB52" s="3006"/>
      <c r="AC52" s="3006"/>
      <c r="AD52" s="3006"/>
      <c r="AE52" s="3006"/>
    </row>
    <row r="53" spans="1:31" s="648" customFormat="1">
      <c r="A53" s="649" t="s">
        <v>2590</v>
      </c>
      <c r="B53" s="224" t="e">
        <f t="shared" ref="B53:B60" si="17">ROUND($C$43*C53*D53,0)</f>
        <v>#DIV/0!</v>
      </c>
      <c r="C53" s="176">
        <f t="shared" si="16"/>
        <v>0</v>
      </c>
      <c r="D53" s="1076">
        <v>0.25</v>
      </c>
      <c r="E53" s="650"/>
      <c r="F53" s="647" t="e">
        <f t="shared" si="15"/>
        <v>#DIV/0!</v>
      </c>
      <c r="G53" s="3387"/>
      <c r="H53" s="1018">
        <f>项目基本情况!B37</f>
        <v>0</v>
      </c>
      <c r="I53" s="879">
        <f>SUMIF(修正!A45:A56,H53,修正!C45:C56)</f>
        <v>0</v>
      </c>
      <c r="J53" s="880"/>
      <c r="K53" s="2952"/>
      <c r="L53" s="3006"/>
      <c r="M53" s="3006"/>
      <c r="N53" s="3006"/>
      <c r="O53" s="3006"/>
      <c r="P53" s="3006"/>
      <c r="Q53" s="3006"/>
      <c r="R53" s="3006"/>
      <c r="S53" s="3006"/>
      <c r="T53" s="3006"/>
      <c r="U53" s="3006"/>
      <c r="V53" s="3006"/>
      <c r="W53" s="3006"/>
      <c r="X53" s="3006"/>
      <c r="Y53" s="3006"/>
      <c r="Z53" s="3006"/>
      <c r="AA53" s="3006"/>
      <c r="AB53" s="3006"/>
      <c r="AC53" s="3006"/>
      <c r="AD53" s="3006"/>
      <c r="AE53" s="3006"/>
    </row>
    <row r="54" spans="1:31" s="648" customFormat="1">
      <c r="A54" s="649" t="s">
        <v>2591</v>
      </c>
      <c r="B54" s="224" t="e">
        <f t="shared" si="17"/>
        <v>#DIV/0!</v>
      </c>
      <c r="C54" s="176">
        <f t="shared" si="16"/>
        <v>0</v>
      </c>
      <c r="D54" s="1076">
        <v>0.25</v>
      </c>
      <c r="E54" s="650"/>
      <c r="F54" s="647" t="e">
        <f t="shared" si="15"/>
        <v>#DIV/0!</v>
      </c>
      <c r="G54" s="3387"/>
      <c r="H54" s="1018">
        <f>项目基本情况!B37</f>
        <v>0</v>
      </c>
      <c r="I54" s="879">
        <f>SUMIF(修正!A45:A56,H54,修正!D45:D56)</f>
        <v>0</v>
      </c>
      <c r="J54" s="880"/>
      <c r="K54" s="2949"/>
      <c r="L54" s="3006"/>
      <c r="M54" s="3006"/>
      <c r="N54" s="3006"/>
      <c r="O54" s="3006"/>
      <c r="P54" s="3006"/>
      <c r="Q54" s="3006"/>
      <c r="R54" s="3006"/>
      <c r="S54" s="3006"/>
      <c r="T54" s="3006"/>
      <c r="U54" s="3006"/>
      <c r="V54" s="3006"/>
      <c r="W54" s="3006"/>
      <c r="X54" s="3006"/>
      <c r="Y54" s="3006"/>
      <c r="Z54" s="3006"/>
      <c r="AA54" s="3006"/>
      <c r="AB54" s="3006"/>
      <c r="AC54" s="3006"/>
      <c r="AD54" s="3006"/>
      <c r="AE54" s="3006"/>
    </row>
    <row r="55" spans="1:31" s="648" customFormat="1">
      <c r="A55" s="649" t="s">
        <v>2592</v>
      </c>
      <c r="B55" s="224" t="e">
        <f t="shared" si="17"/>
        <v>#DIV/0!</v>
      </c>
      <c r="C55" s="176">
        <f t="shared" si="16"/>
        <v>0</v>
      </c>
      <c r="D55" s="1076">
        <v>0.25</v>
      </c>
      <c r="E55" s="650"/>
      <c r="F55" s="647" t="e">
        <f t="shared" si="15"/>
        <v>#DIV/0!</v>
      </c>
      <c r="G55" s="3387"/>
      <c r="H55" s="1018">
        <f>项目基本情况!B37</f>
        <v>0</v>
      </c>
      <c r="I55" s="879">
        <f>SUMIF(修正!A45:A56,H55,修正!E45:E56)</f>
        <v>0</v>
      </c>
      <c r="J55" s="880"/>
      <c r="K55" s="2952"/>
      <c r="L55" s="3006"/>
      <c r="M55" s="3006"/>
      <c r="N55" s="3006"/>
      <c r="O55" s="3006"/>
      <c r="P55" s="3006"/>
      <c r="Q55" s="3006"/>
      <c r="R55" s="3006"/>
      <c r="S55" s="3006"/>
      <c r="T55" s="3006"/>
      <c r="U55" s="3006"/>
      <c r="V55" s="3006"/>
      <c r="W55" s="3006"/>
      <c r="X55" s="3006"/>
      <c r="Y55" s="3006"/>
      <c r="Z55" s="3006"/>
      <c r="AA55" s="3006"/>
      <c r="AB55" s="3006"/>
      <c r="AC55" s="3006"/>
      <c r="AD55" s="3006"/>
      <c r="AE55" s="3006"/>
    </row>
    <row r="56" spans="1:31" s="648" customFormat="1">
      <c r="A56" s="649" t="s">
        <v>2593</v>
      </c>
      <c r="B56" s="224" t="e">
        <f t="shared" si="17"/>
        <v>#DIV/0!</v>
      </c>
      <c r="C56" s="176">
        <f t="shared" si="16"/>
        <v>0</v>
      </c>
      <c r="D56" s="1076">
        <v>0.25</v>
      </c>
      <c r="E56" s="223">
        <f>'数据-汇总表'!E11</f>
        <v>0</v>
      </c>
      <c r="F56" s="647" t="e">
        <f t="shared" si="15"/>
        <v>#DIV/0!</v>
      </c>
      <c r="G56" s="2172" t="s">
        <v>2594</v>
      </c>
      <c r="H56" s="1018">
        <f>项目基本情况!C37</f>
        <v>0</v>
      </c>
      <c r="I56" s="879">
        <f>SUMIF(修正!A45:A56,H56,修正!F45:F56)</f>
        <v>0</v>
      </c>
      <c r="J56" s="880"/>
      <c r="K56" s="2949"/>
      <c r="L56" s="3006"/>
      <c r="M56" s="3006"/>
      <c r="N56" s="3006"/>
      <c r="O56" s="3006"/>
      <c r="P56" s="3006"/>
      <c r="Q56" s="3006"/>
      <c r="R56" s="3006"/>
      <c r="S56" s="3006"/>
      <c r="T56" s="3006"/>
      <c r="U56" s="3006"/>
      <c r="V56" s="3006"/>
      <c r="W56" s="3006"/>
      <c r="X56" s="3006"/>
      <c r="Y56" s="3006"/>
      <c r="Z56" s="3006"/>
      <c r="AA56" s="3006"/>
      <c r="AB56" s="3006"/>
      <c r="AC56" s="3006"/>
      <c r="AD56" s="3006"/>
      <c r="AE56" s="3006"/>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2"/>
      <c r="L57" s="3006"/>
      <c r="M57" s="3006"/>
      <c r="N57" s="3006"/>
      <c r="O57" s="3006"/>
      <c r="P57" s="3006"/>
      <c r="Q57" s="3006"/>
      <c r="R57" s="3006"/>
      <c r="S57" s="3006"/>
      <c r="T57" s="3006"/>
      <c r="U57" s="3006"/>
      <c r="V57" s="3006"/>
      <c r="W57" s="3006"/>
      <c r="X57" s="3006"/>
      <c r="Y57" s="3006"/>
      <c r="Z57" s="3006"/>
      <c r="AA57" s="3006"/>
      <c r="AB57" s="3006"/>
      <c r="AC57" s="3006"/>
      <c r="AD57" s="3006"/>
      <c r="AE57" s="3006"/>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49"/>
      <c r="L58" s="3006"/>
      <c r="M58" s="3006"/>
      <c r="N58" s="3006"/>
      <c r="O58" s="3006"/>
      <c r="P58" s="3006"/>
      <c r="Q58" s="3006"/>
      <c r="R58" s="3006"/>
      <c r="S58" s="3006"/>
      <c r="T58" s="3006"/>
      <c r="U58" s="3006"/>
      <c r="V58" s="3006"/>
      <c r="W58" s="3006"/>
      <c r="X58" s="3006"/>
      <c r="Y58" s="3006"/>
      <c r="Z58" s="3006"/>
      <c r="AA58" s="3006"/>
      <c r="AB58" s="3006"/>
      <c r="AC58" s="3006"/>
      <c r="AD58" s="3006"/>
      <c r="AE58" s="3006"/>
    </row>
    <row r="59" spans="1:31" s="648" customFormat="1">
      <c r="A59" s="649" t="s">
        <v>2599</v>
      </c>
      <c r="B59" s="224" t="e">
        <f t="shared" si="17"/>
        <v>#DIV/0!</v>
      </c>
      <c r="C59" s="176">
        <f t="shared" si="16"/>
        <v>0</v>
      </c>
      <c r="D59" s="1076">
        <v>0.25</v>
      </c>
      <c r="E59" s="223">
        <f>'数据-汇总表'!E14</f>
        <v>0</v>
      </c>
      <c r="F59" s="647" t="e">
        <f t="shared" si="15"/>
        <v>#DIV/0!</v>
      </c>
      <c r="G59" s="2172" t="s">
        <v>2589</v>
      </c>
      <c r="H59" s="1018">
        <f>项目基本情况!B37</f>
        <v>0</v>
      </c>
      <c r="I59" s="879">
        <f>SUMIF(修正!A45:A56,H59,修正!H45:H56)</f>
        <v>0</v>
      </c>
      <c r="J59" s="880"/>
      <c r="K59" s="2952"/>
      <c r="L59" s="3006"/>
      <c r="M59" s="3006"/>
      <c r="N59" s="3006"/>
      <c r="O59" s="3006"/>
      <c r="P59" s="3006"/>
      <c r="Q59" s="3006"/>
      <c r="R59" s="3006"/>
      <c r="S59" s="3006"/>
      <c r="T59" s="3006"/>
      <c r="U59" s="3006"/>
      <c r="V59" s="3006"/>
      <c r="W59" s="3006"/>
      <c r="X59" s="3006"/>
      <c r="Y59" s="3006"/>
      <c r="Z59" s="3006"/>
      <c r="AA59" s="3006"/>
      <c r="AB59" s="3006"/>
      <c r="AC59" s="3006"/>
      <c r="AD59" s="3006"/>
      <c r="AE59" s="3006"/>
    </row>
    <row r="60" spans="1:31" s="648" customFormat="1" ht="15" thickBot="1">
      <c r="A60" s="649" t="s">
        <v>2600</v>
      </c>
      <c r="B60" s="224" t="e">
        <f t="shared" si="17"/>
        <v>#DIV/0!</v>
      </c>
      <c r="C60" s="176">
        <f t="shared" si="16"/>
        <v>0</v>
      </c>
      <c r="D60" s="1076">
        <v>0.25</v>
      </c>
      <c r="E60" s="223">
        <f>'数据-汇总表'!E15</f>
        <v>0</v>
      </c>
      <c r="F60" s="647" t="e">
        <f t="shared" si="15"/>
        <v>#DIV/0!</v>
      </c>
      <c r="G60" s="2173" t="s">
        <v>2594</v>
      </c>
      <c r="H60" s="1028">
        <f>项目基本情况!C37</f>
        <v>0</v>
      </c>
      <c r="I60" s="879">
        <f>SUMIF(修正!A45:A56,H60,修正!H45:H56)</f>
        <v>0</v>
      </c>
      <c r="J60" s="880"/>
      <c r="K60" s="2949"/>
      <c r="L60" s="3006"/>
      <c r="M60" s="3006"/>
      <c r="N60" s="3006"/>
      <c r="O60" s="3006"/>
      <c r="P60" s="3006"/>
      <c r="Q60" s="3006"/>
      <c r="R60" s="3006"/>
      <c r="S60" s="3006"/>
      <c r="T60" s="3006"/>
      <c r="U60" s="3006"/>
      <c r="V60" s="3006"/>
      <c r="W60" s="3006"/>
      <c r="X60" s="3006"/>
      <c r="Y60" s="3006"/>
      <c r="Z60" s="3006"/>
      <c r="AA60" s="3006"/>
      <c r="AB60" s="3006"/>
      <c r="AC60" s="3006"/>
      <c r="AD60" s="3006"/>
      <c r="AE60" s="3006"/>
    </row>
    <row r="61" spans="1:31" s="648" customFormat="1" ht="15" thickBot="1">
      <c r="A61" s="651" t="s">
        <v>2601</v>
      </c>
      <c r="B61" s="652" t="s">
        <v>28</v>
      </c>
      <c r="C61" s="652" t="s">
        <v>29</v>
      </c>
      <c r="D61" s="652" t="s">
        <v>997</v>
      </c>
      <c r="E61" s="652">
        <f>IF(B41="楼面地价",SUM(E51:E60),'数据-汇总表'!D3)</f>
        <v>202.06</v>
      </c>
      <c r="F61" s="653" t="e">
        <f>IF(B41="楼面地价",SUM(F51:F60),ROUND(C43*E61/10000,0))</f>
        <v>#DIV/0!</v>
      </c>
      <c r="G61" s="1070"/>
      <c r="H61" s="1070"/>
      <c r="I61" s="1070"/>
      <c r="J61" s="1070"/>
      <c r="K61" s="2954"/>
      <c r="L61" s="3006"/>
      <c r="M61" s="3006"/>
      <c r="N61" s="3006"/>
      <c r="O61" s="3006"/>
      <c r="P61" s="3006"/>
      <c r="Q61" s="3006"/>
      <c r="R61" s="3006"/>
      <c r="S61" s="3006"/>
      <c r="T61" s="3006"/>
      <c r="U61" s="3006"/>
      <c r="V61" s="3006"/>
      <c r="W61" s="3006"/>
      <c r="X61" s="3006"/>
      <c r="Y61" s="3006"/>
      <c r="Z61" s="3006"/>
      <c r="AA61" s="3006"/>
      <c r="AB61" s="3006"/>
      <c r="AC61" s="3006"/>
      <c r="AD61" s="3006"/>
      <c r="AE61" s="3006"/>
    </row>
    <row r="62" spans="1:31">
      <c r="A62" s="1058"/>
      <c r="B62" s="1060"/>
      <c r="C62" s="1062"/>
      <c r="D62" s="1058"/>
      <c r="E62" s="1058"/>
      <c r="F62" s="1058"/>
      <c r="G62" s="1058"/>
      <c r="H62" s="1058"/>
      <c r="I62" s="1058"/>
      <c r="J62" s="1058"/>
      <c r="K62" s="1019"/>
      <c r="L62" s="1020"/>
      <c r="M62" s="1058"/>
      <c r="N62" s="1058"/>
      <c r="O62" s="1058"/>
      <c r="P62" s="2949"/>
      <c r="Q62" s="2949"/>
      <c r="R62" s="2949"/>
      <c r="S62" s="2949"/>
      <c r="T62" s="2949"/>
      <c r="U62" s="2949"/>
      <c r="V62" s="2949"/>
      <c r="W62" s="2949"/>
      <c r="X62" s="2949"/>
      <c r="Y62" s="2949"/>
      <c r="Z62" s="2949"/>
      <c r="AA62" s="2949"/>
      <c r="AB62" s="2949"/>
      <c r="AC62" s="2949"/>
      <c r="AD62" s="2949"/>
      <c r="AE62" s="2949"/>
    </row>
    <row r="63" spans="1:31">
      <c r="A63" s="1058"/>
      <c r="B63" s="1060"/>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49"/>
      <c r="Q63" s="2949"/>
      <c r="R63" s="2949"/>
      <c r="S63" s="2949"/>
      <c r="T63" s="2949"/>
      <c r="U63" s="2949"/>
      <c r="V63" s="2949"/>
      <c r="W63" s="2949"/>
      <c r="X63" s="2949"/>
      <c r="Y63" s="2949"/>
      <c r="Z63" s="2949"/>
      <c r="AA63" s="2949"/>
      <c r="AB63" s="2949"/>
      <c r="AC63" s="2949"/>
      <c r="AD63" s="2949"/>
      <c r="AE63" s="2949"/>
    </row>
    <row r="64" spans="1:31" ht="21.75" thickBot="1">
      <c r="A64" s="703" t="s">
        <v>2494</v>
      </c>
      <c r="B64" s="699"/>
      <c r="C64" s="704"/>
      <c r="D64" s="704"/>
      <c r="E64" s="704"/>
      <c r="F64" s="705"/>
      <c r="G64" s="705"/>
      <c r="H64" s="704"/>
      <c r="I64" s="704"/>
      <c r="J64" s="704"/>
      <c r="K64" s="706"/>
      <c r="L64" s="707"/>
      <c r="M64" s="704"/>
      <c r="N64" s="704"/>
      <c r="O64" s="1071"/>
      <c r="P64" s="2993"/>
      <c r="Q64" s="2963"/>
      <c r="R64" s="2949"/>
      <c r="S64" s="2949"/>
      <c r="T64" s="2949"/>
      <c r="U64" s="2949"/>
      <c r="V64" s="2949"/>
      <c r="W64" s="2949"/>
      <c r="X64" s="2949"/>
      <c r="Y64" s="2949"/>
      <c r="Z64" s="2949"/>
      <c r="AA64" s="2949"/>
      <c r="AB64" s="2949"/>
      <c r="AC64" s="2949"/>
      <c r="AD64" s="2949"/>
      <c r="AE64" s="2949"/>
    </row>
    <row r="65" spans="1:31" s="465" customFormat="1" ht="15">
      <c r="A65" s="2174" t="s">
        <v>2602</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0"/>
      <c r="Q65" s="2965"/>
      <c r="R65" s="2965"/>
      <c r="S65" s="2965"/>
      <c r="T65" s="2965"/>
      <c r="U65" s="2965"/>
      <c r="V65" s="2965"/>
      <c r="W65" s="2965"/>
      <c r="X65" s="2965"/>
      <c r="Y65" s="2965"/>
      <c r="Z65" s="2965"/>
      <c r="AA65" s="2965"/>
      <c r="AB65" s="2965"/>
      <c r="AC65" s="2965"/>
      <c r="AD65" s="2965"/>
      <c r="AE65" s="2965"/>
    </row>
    <row r="66" spans="1:31" s="113" customFormat="1" ht="30.75" customHeight="1">
      <c r="A66" s="2179" t="s">
        <v>2622</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3"/>
      <c r="Q66" s="2884"/>
      <c r="R66" s="2884"/>
      <c r="S66" s="2884"/>
      <c r="T66" s="2884"/>
      <c r="U66" s="2884"/>
      <c r="V66" s="2884"/>
      <c r="W66" s="2884"/>
      <c r="X66" s="2884"/>
      <c r="Y66" s="2884"/>
      <c r="Z66" s="2884"/>
      <c r="AA66" s="2884"/>
      <c r="AB66" s="2884"/>
      <c r="AC66" s="2884"/>
      <c r="AD66" s="2884"/>
      <c r="AE66" s="2884"/>
    </row>
    <row r="67" spans="1:31" s="113" customFormat="1" ht="15.75" thickBot="1">
      <c r="A67" s="472" t="s">
        <v>2405</v>
      </c>
      <c r="B67" s="473"/>
      <c r="C67" s="474"/>
      <c r="D67" s="475"/>
      <c r="E67" s="475"/>
      <c r="F67" s="475"/>
      <c r="G67" s="475"/>
      <c r="H67" s="475"/>
      <c r="I67" s="475"/>
      <c r="J67" s="475"/>
      <c r="K67" s="475"/>
      <c r="L67" s="475"/>
      <c r="M67" s="476"/>
      <c r="N67" s="476"/>
      <c r="O67" s="477"/>
      <c r="P67" s="2963"/>
      <c r="Q67" s="2963"/>
      <c r="R67" s="2884"/>
      <c r="S67" s="2884"/>
      <c r="T67" s="2884"/>
      <c r="U67" s="2884"/>
      <c r="V67" s="2884"/>
      <c r="W67" s="2884"/>
      <c r="X67" s="2884"/>
      <c r="Y67" s="2884"/>
      <c r="Z67" s="2884"/>
      <c r="AA67" s="2884"/>
      <c r="AB67" s="2884"/>
      <c r="AC67" s="2884"/>
      <c r="AD67" s="2884"/>
      <c r="AE67" s="2884"/>
    </row>
    <row r="68" spans="1:31" s="113" customFormat="1" ht="15">
      <c r="A68" s="478" t="s">
        <v>2370</v>
      </c>
      <c r="B68" s="467"/>
      <c r="C68" s="479" t="s">
        <v>2472</v>
      </c>
      <c r="D68" s="480"/>
      <c r="E68" s="480"/>
      <c r="F68" s="480"/>
      <c r="G68" s="480"/>
      <c r="H68" s="480"/>
      <c r="I68" s="480"/>
      <c r="J68" s="480"/>
      <c r="K68" s="480"/>
      <c r="L68" s="481"/>
      <c r="M68" s="482"/>
      <c r="N68" s="2976"/>
      <c r="O68" s="2976"/>
      <c r="P68" s="3001"/>
      <c r="Q68" s="2963"/>
      <c r="R68" s="2884"/>
      <c r="S68" s="2884"/>
      <c r="T68" s="2884"/>
      <c r="U68" s="2884"/>
      <c r="V68" s="2884"/>
      <c r="W68" s="2884"/>
      <c r="X68" s="2884"/>
      <c r="Y68" s="2884"/>
      <c r="Z68" s="2884"/>
      <c r="AA68" s="2884"/>
      <c r="AB68" s="2884"/>
      <c r="AC68" s="2884"/>
      <c r="AD68" s="2884"/>
      <c r="AE68" s="2884"/>
    </row>
    <row r="69" spans="1:31" s="113" customFormat="1" ht="15.75" thickBot="1">
      <c r="A69" s="478"/>
      <c r="B69" s="467"/>
      <c r="C69" s="595">
        <v>100</v>
      </c>
      <c r="D69" s="469"/>
      <c r="E69" s="469"/>
      <c r="F69" s="469"/>
      <c r="G69" s="469"/>
      <c r="H69" s="469"/>
      <c r="I69" s="469"/>
      <c r="J69" s="469"/>
      <c r="K69" s="469"/>
      <c r="L69" s="469"/>
      <c r="M69" s="471"/>
      <c r="N69" s="2976"/>
      <c r="O69" s="2976"/>
      <c r="P69" s="2963"/>
      <c r="Q69" s="2963"/>
      <c r="R69" s="2884"/>
      <c r="S69" s="2884"/>
      <c r="T69" s="2884"/>
      <c r="U69" s="2884"/>
      <c r="V69" s="2884"/>
      <c r="W69" s="2884"/>
      <c r="X69" s="2884"/>
      <c r="Y69" s="2884"/>
      <c r="Z69" s="2884"/>
      <c r="AA69" s="2884"/>
      <c r="AB69" s="2884"/>
      <c r="AC69" s="2884"/>
      <c r="AD69" s="2884"/>
      <c r="AE69" s="2884"/>
    </row>
    <row r="70" spans="1:31">
      <c r="A70" s="484" t="s">
        <v>2408</v>
      </c>
      <c r="B70" s="485" t="s">
        <v>2374</v>
      </c>
      <c r="C70" s="487"/>
      <c r="D70" s="487"/>
      <c r="E70" s="487"/>
      <c r="F70" s="487"/>
      <c r="G70" s="487"/>
      <c r="H70" s="487"/>
      <c r="I70" s="487"/>
      <c r="J70" s="487"/>
      <c r="K70" s="488"/>
      <c r="L70" s="489"/>
      <c r="M70" s="490"/>
      <c r="N70" s="2977"/>
      <c r="O70" s="2977"/>
      <c r="P70" s="3002"/>
      <c r="Q70" s="2963"/>
      <c r="R70" s="2949"/>
      <c r="S70" s="2949"/>
      <c r="T70" s="2949"/>
      <c r="U70" s="2949"/>
      <c r="V70" s="2949"/>
      <c r="W70" s="2949"/>
      <c r="X70" s="2949"/>
      <c r="Y70" s="2949"/>
      <c r="Z70" s="2949"/>
      <c r="AA70" s="2949"/>
      <c r="AB70" s="2949"/>
      <c r="AC70" s="2949"/>
      <c r="AD70" s="2949"/>
      <c r="AE70" s="2949"/>
    </row>
    <row r="71" spans="1:31" ht="15.75" thickBot="1">
      <c r="A71" s="491"/>
      <c r="B71" s="492"/>
      <c r="C71" s="493"/>
      <c r="D71" s="493"/>
      <c r="E71" s="493"/>
      <c r="F71" s="493"/>
      <c r="G71" s="493"/>
      <c r="H71" s="493"/>
      <c r="I71" s="493"/>
      <c r="J71" s="493"/>
      <c r="K71" s="493"/>
      <c r="L71" s="493"/>
      <c r="M71" s="494"/>
      <c r="N71" s="2978"/>
      <c r="O71" s="2978"/>
      <c r="P71" s="3002"/>
      <c r="Q71" s="2963"/>
      <c r="R71" s="2949"/>
      <c r="S71" s="2949"/>
      <c r="T71" s="2949"/>
      <c r="U71" s="2949"/>
      <c r="V71" s="2949"/>
      <c r="W71" s="2949"/>
      <c r="X71" s="2949"/>
      <c r="Y71" s="2949"/>
      <c r="Z71" s="2949"/>
      <c r="AA71" s="2949"/>
      <c r="AB71" s="2949"/>
      <c r="AC71" s="2949"/>
      <c r="AD71" s="2949"/>
      <c r="AE71" s="2949"/>
    </row>
    <row r="72" spans="1:31" ht="27.75" thickTop="1">
      <c r="A72" s="491"/>
      <c r="B72" s="495" t="s">
        <v>2377</v>
      </c>
      <c r="C72" s="496"/>
      <c r="D72" s="496"/>
      <c r="E72" s="496"/>
      <c r="F72" s="496"/>
      <c r="G72" s="496"/>
      <c r="H72" s="496"/>
      <c r="I72" s="496"/>
      <c r="J72" s="496"/>
      <c r="K72" s="497"/>
      <c r="L72" s="498"/>
      <c r="M72" s="499"/>
      <c r="N72" s="2977"/>
      <c r="O72" s="2977"/>
      <c r="P72" s="3002"/>
      <c r="Q72" s="2963"/>
      <c r="R72" s="2949"/>
      <c r="S72" s="2949"/>
      <c r="T72" s="2949"/>
      <c r="U72" s="2949"/>
      <c r="V72" s="2949"/>
      <c r="W72" s="2949"/>
      <c r="X72" s="2949"/>
      <c r="Y72" s="2949"/>
      <c r="Z72" s="2949"/>
      <c r="AA72" s="2949"/>
      <c r="AB72" s="2949"/>
      <c r="AC72" s="2949"/>
      <c r="AD72" s="2949"/>
      <c r="AE72" s="2949"/>
    </row>
    <row r="73" spans="1:31" ht="15.75" thickBot="1">
      <c r="A73" s="491"/>
      <c r="B73" s="500"/>
      <c r="C73" s="501"/>
      <c r="D73" s="501"/>
      <c r="E73" s="501"/>
      <c r="F73" s="501"/>
      <c r="G73" s="501"/>
      <c r="H73" s="501"/>
      <c r="I73" s="501"/>
      <c r="J73" s="501"/>
      <c r="K73" s="501"/>
      <c r="L73" s="501"/>
      <c r="M73" s="502"/>
      <c r="N73" s="2978"/>
      <c r="O73" s="2978"/>
      <c r="P73" s="3002"/>
      <c r="Q73" s="2963"/>
      <c r="R73" s="2949"/>
      <c r="S73" s="2949"/>
      <c r="T73" s="2949"/>
      <c r="U73" s="2949"/>
      <c r="V73" s="2949"/>
      <c r="W73" s="2949"/>
      <c r="X73" s="2949"/>
      <c r="Y73" s="2949"/>
      <c r="Z73" s="2949"/>
      <c r="AA73" s="2949"/>
      <c r="AB73" s="2949"/>
      <c r="AC73" s="2949"/>
      <c r="AD73" s="2949"/>
      <c r="AE73" s="2949"/>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8"/>
      <c r="O74" s="2978"/>
      <c r="P74" s="3002"/>
      <c r="Q74" s="2963"/>
      <c r="R74" s="2949"/>
      <c r="S74" s="2949"/>
      <c r="T74" s="2949"/>
      <c r="U74" s="2949"/>
      <c r="V74" s="2949"/>
      <c r="W74" s="2949"/>
      <c r="X74" s="2949"/>
      <c r="Y74" s="2949"/>
      <c r="Z74" s="2949"/>
      <c r="AA74" s="2949"/>
      <c r="AB74" s="2949"/>
      <c r="AC74" s="2949"/>
      <c r="AD74" s="2949"/>
      <c r="AE74" s="2949"/>
    </row>
    <row r="75" spans="1:31" ht="15">
      <c r="A75" s="491"/>
      <c r="B75" s="505"/>
      <c r="C75" s="506"/>
      <c r="D75" s="506"/>
      <c r="E75" s="506"/>
      <c r="F75" s="506"/>
      <c r="G75" s="506"/>
      <c r="H75" s="506"/>
      <c r="I75" s="506"/>
      <c r="J75" s="506"/>
      <c r="K75" s="507"/>
      <c r="L75" s="508"/>
      <c r="M75" s="509"/>
      <c r="N75" s="2977"/>
      <c r="O75" s="2977"/>
      <c r="P75" s="3002"/>
      <c r="Q75" s="2963"/>
      <c r="R75" s="2949"/>
      <c r="S75" s="2949"/>
      <c r="T75" s="2949"/>
      <c r="U75" s="2949"/>
      <c r="V75" s="2949"/>
      <c r="W75" s="2949"/>
      <c r="X75" s="2949"/>
      <c r="Y75" s="2949"/>
      <c r="Z75" s="2949"/>
      <c r="AA75" s="2949"/>
      <c r="AB75" s="2949"/>
      <c r="AC75" s="2949"/>
      <c r="AD75" s="2949"/>
      <c r="AE75" s="294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8"/>
      <c r="O76" s="2978"/>
      <c r="P76" s="3002"/>
      <c r="Q76" s="2963"/>
      <c r="R76" s="2949"/>
      <c r="S76" s="2949"/>
      <c r="T76" s="2949"/>
      <c r="U76" s="2949"/>
      <c r="V76" s="2949"/>
      <c r="W76" s="2949"/>
      <c r="X76" s="2949"/>
      <c r="Y76" s="2949"/>
      <c r="Z76" s="2949"/>
      <c r="AA76" s="2949"/>
      <c r="AB76" s="2949"/>
      <c r="AC76" s="2949"/>
      <c r="AD76" s="2949"/>
      <c r="AE76" s="2949"/>
    </row>
    <row r="77" spans="1:31" s="430" customFormat="1" ht="15.75" thickTop="1">
      <c r="A77" s="510"/>
      <c r="B77" s="495">
        <f>B12</f>
        <v>111</v>
      </c>
      <c r="C77" s="511"/>
      <c r="D77" s="511"/>
      <c r="E77" s="511"/>
      <c r="F77" s="511"/>
      <c r="G77" s="511"/>
      <c r="H77" s="512"/>
      <c r="I77" s="512"/>
      <c r="J77" s="512"/>
      <c r="K77" s="512"/>
      <c r="L77" s="513"/>
      <c r="M77" s="514"/>
      <c r="N77" s="2979"/>
      <c r="O77" s="2979"/>
      <c r="P77" s="3003"/>
      <c r="Q77" s="2970"/>
      <c r="R77" s="2971"/>
      <c r="S77" s="2971"/>
      <c r="T77" s="2971"/>
      <c r="U77" s="2971"/>
      <c r="V77" s="2971"/>
      <c r="W77" s="2971"/>
      <c r="X77" s="2971"/>
      <c r="Y77" s="2971"/>
      <c r="Z77" s="2971"/>
      <c r="AA77" s="2971"/>
      <c r="AB77" s="2971"/>
      <c r="AC77" s="2971"/>
      <c r="AD77" s="2971"/>
      <c r="AE77" s="2971"/>
    </row>
    <row r="78" spans="1:31" s="430" customFormat="1" ht="15.75" thickBot="1">
      <c r="A78" s="510"/>
      <c r="B78" s="500"/>
      <c r="C78" s="517"/>
      <c r="D78" s="493"/>
      <c r="E78" s="493"/>
      <c r="F78" s="493"/>
      <c r="G78" s="493"/>
      <c r="H78" s="493"/>
      <c r="I78" s="493"/>
      <c r="J78" s="493"/>
      <c r="K78" s="493"/>
      <c r="L78" s="493"/>
      <c r="M78" s="494"/>
      <c r="N78" s="2978"/>
      <c r="O78" s="2978"/>
      <c r="P78" s="3003"/>
      <c r="Q78" s="2970"/>
      <c r="R78" s="2971"/>
      <c r="S78" s="2971"/>
      <c r="T78" s="2971"/>
      <c r="U78" s="2971"/>
      <c r="V78" s="2971"/>
      <c r="W78" s="2971"/>
      <c r="X78" s="2971"/>
      <c r="Y78" s="2971"/>
      <c r="Z78" s="2971"/>
      <c r="AA78" s="2971"/>
      <c r="AB78" s="2971"/>
      <c r="AC78" s="2971"/>
      <c r="AD78" s="2971"/>
      <c r="AE78" s="2971"/>
    </row>
    <row r="79" spans="1:31" s="430" customFormat="1" ht="15.75" thickTop="1">
      <c r="A79" s="510"/>
      <c r="B79" s="495">
        <f>B13</f>
        <v>111</v>
      </c>
      <c r="C79" s="511"/>
      <c r="D79" s="511"/>
      <c r="E79" s="511"/>
      <c r="F79" s="511"/>
      <c r="G79" s="511"/>
      <c r="H79" s="512"/>
      <c r="I79" s="512"/>
      <c r="J79" s="512"/>
      <c r="K79" s="512"/>
      <c r="L79" s="513"/>
      <c r="M79" s="514"/>
      <c r="N79" s="2979"/>
      <c r="O79" s="2979"/>
      <c r="P79" s="2947"/>
      <c r="Q79" s="2973"/>
      <c r="R79" s="2971"/>
      <c r="S79" s="2971"/>
      <c r="T79" s="2971"/>
      <c r="U79" s="2971"/>
      <c r="V79" s="2971"/>
      <c r="W79" s="2971"/>
      <c r="X79" s="2971"/>
      <c r="Y79" s="2971"/>
      <c r="Z79" s="2971"/>
      <c r="AA79" s="2971"/>
      <c r="AB79" s="2971"/>
      <c r="AC79" s="2971"/>
      <c r="AD79" s="2971"/>
      <c r="AE79" s="2971"/>
    </row>
    <row r="80" spans="1:31" s="430" customFormat="1" ht="15.75" thickBot="1">
      <c r="A80" s="510"/>
      <c r="B80" s="500"/>
      <c r="C80" s="517"/>
      <c r="D80" s="517"/>
      <c r="E80" s="517"/>
      <c r="F80" s="517"/>
      <c r="G80" s="517"/>
      <c r="H80" s="519"/>
      <c r="I80" s="519"/>
      <c r="J80" s="519"/>
      <c r="K80" s="519"/>
      <c r="L80" s="519"/>
      <c r="M80" s="520"/>
      <c r="N80" s="2979"/>
      <c r="O80" s="2979"/>
      <c r="P80" s="3003"/>
      <c r="Q80" s="2970"/>
      <c r="R80" s="2971"/>
      <c r="S80" s="2971"/>
      <c r="T80" s="2971"/>
      <c r="U80" s="2971"/>
      <c r="V80" s="2971"/>
      <c r="W80" s="2971"/>
      <c r="X80" s="2971"/>
      <c r="Y80" s="2971"/>
      <c r="Z80" s="2971"/>
      <c r="AA80" s="2971"/>
      <c r="AB80" s="2971"/>
      <c r="AC80" s="2971"/>
      <c r="AD80" s="2971"/>
      <c r="AE80" s="2971"/>
    </row>
    <row r="81" spans="1:31" s="430" customFormat="1" ht="15.75" thickTop="1">
      <c r="A81" s="510"/>
      <c r="B81" s="503">
        <f>B14</f>
        <v>111</v>
      </c>
      <c r="C81" s="480"/>
      <c r="D81" s="480"/>
      <c r="E81" s="480"/>
      <c r="F81" s="480"/>
      <c r="G81" s="480"/>
      <c r="H81" s="521"/>
      <c r="I81" s="521"/>
      <c r="J81" s="521"/>
      <c r="K81" s="521"/>
      <c r="L81" s="522"/>
      <c r="M81" s="523"/>
      <c r="N81" s="2979"/>
      <c r="O81" s="2979"/>
      <c r="P81" s="3008"/>
      <c r="Q81" s="2970"/>
      <c r="R81" s="2971"/>
      <c r="S81" s="2971"/>
      <c r="T81" s="2971"/>
      <c r="U81" s="2971"/>
      <c r="V81" s="2971"/>
      <c r="W81" s="2971"/>
      <c r="X81" s="2971"/>
      <c r="Y81" s="2971"/>
      <c r="Z81" s="2971"/>
      <c r="AA81" s="2971"/>
      <c r="AB81" s="2971"/>
      <c r="AC81" s="2971"/>
      <c r="AD81" s="2971"/>
      <c r="AE81" s="2971"/>
    </row>
    <row r="82" spans="1:31" s="430" customFormat="1" ht="15.75" thickBot="1">
      <c r="A82" s="525"/>
      <c r="B82" s="526"/>
      <c r="C82" s="527"/>
      <c r="D82" s="527"/>
      <c r="E82" s="527"/>
      <c r="F82" s="527"/>
      <c r="G82" s="527"/>
      <c r="H82" s="528"/>
      <c r="I82" s="528"/>
      <c r="J82" s="528"/>
      <c r="K82" s="528"/>
      <c r="L82" s="528"/>
      <c r="M82" s="529"/>
      <c r="N82" s="2979"/>
      <c r="O82" s="2979"/>
      <c r="P82" s="3003"/>
      <c r="Q82" s="2970"/>
      <c r="R82" s="2971"/>
      <c r="S82" s="2971"/>
      <c r="T82" s="2971"/>
      <c r="U82" s="2971"/>
      <c r="V82" s="2971"/>
      <c r="W82" s="2971"/>
      <c r="X82" s="2971"/>
      <c r="Y82" s="2971"/>
      <c r="Z82" s="2971"/>
      <c r="AA82" s="2971"/>
      <c r="AB82" s="2971"/>
      <c r="AC82" s="2971"/>
      <c r="AD82" s="2971"/>
      <c r="AE82" s="2971"/>
    </row>
    <row r="83" spans="1:31">
      <c r="A83" s="484" t="s">
        <v>2379</v>
      </c>
      <c r="B83" s="485" t="s">
        <v>2525</v>
      </c>
      <c r="C83" s="530" t="s">
        <v>2417</v>
      </c>
      <c r="D83" s="530" t="s">
        <v>2418</v>
      </c>
      <c r="E83" s="530" t="s">
        <v>2419</v>
      </c>
      <c r="F83" s="530" t="s">
        <v>2420</v>
      </c>
      <c r="G83" s="530" t="s">
        <v>2421</v>
      </c>
      <c r="H83" s="486"/>
      <c r="I83" s="486"/>
      <c r="J83" s="486"/>
      <c r="K83" s="531"/>
      <c r="L83" s="532"/>
      <c r="M83" s="533"/>
      <c r="N83" s="2977"/>
      <c r="O83" s="2977"/>
      <c r="P83" s="3004"/>
      <c r="Q83" s="2963"/>
      <c r="R83" s="2949"/>
      <c r="S83" s="2949"/>
      <c r="T83" s="2949"/>
      <c r="U83" s="2949"/>
      <c r="V83" s="2949"/>
      <c r="W83" s="2949"/>
      <c r="X83" s="2949"/>
      <c r="Y83" s="2949"/>
      <c r="Z83" s="2949"/>
      <c r="AA83" s="2949"/>
      <c r="AB83" s="2949"/>
      <c r="AC83" s="2949"/>
      <c r="AD83" s="2949"/>
      <c r="AE83" s="294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8"/>
      <c r="O84" s="2978"/>
      <c r="P84" s="3002"/>
      <c r="Q84" s="2963"/>
      <c r="R84" s="2949"/>
      <c r="S84" s="2949"/>
      <c r="T84" s="2949"/>
      <c r="U84" s="2949"/>
      <c r="V84" s="2949"/>
      <c r="W84" s="2949"/>
      <c r="X84" s="2949"/>
      <c r="Y84" s="2949"/>
      <c r="Z84" s="2949"/>
      <c r="AA84" s="2949"/>
      <c r="AB84" s="2949"/>
      <c r="AC84" s="2949"/>
      <c r="AD84" s="2949"/>
      <c r="AE84" s="2949"/>
    </row>
    <row r="85" spans="1:31" ht="15.75" thickTop="1">
      <c r="A85" s="491"/>
      <c r="B85" s="495" t="s">
        <v>2422</v>
      </c>
      <c r="C85" s="535" t="s">
        <v>2417</v>
      </c>
      <c r="D85" s="535" t="s">
        <v>2418</v>
      </c>
      <c r="E85" s="535" t="s">
        <v>2419</v>
      </c>
      <c r="F85" s="535" t="s">
        <v>2420</v>
      </c>
      <c r="G85" s="535" t="s">
        <v>2421</v>
      </c>
      <c r="H85" s="496"/>
      <c r="I85" s="496"/>
      <c r="J85" s="496"/>
      <c r="K85" s="497"/>
      <c r="L85" s="498"/>
      <c r="M85" s="499"/>
      <c r="N85" s="2977"/>
      <c r="O85" s="2977"/>
      <c r="P85" s="3002"/>
      <c r="Q85" s="2963"/>
      <c r="R85" s="2949"/>
      <c r="S85" s="2949"/>
      <c r="T85" s="2949"/>
      <c r="U85" s="2949"/>
      <c r="V85" s="2949"/>
      <c r="W85" s="2949"/>
      <c r="X85" s="2949"/>
      <c r="Y85" s="2949"/>
      <c r="Z85" s="2949"/>
      <c r="AA85" s="2949"/>
      <c r="AB85" s="2949"/>
      <c r="AC85" s="2949"/>
      <c r="AD85" s="2949"/>
      <c r="AE85" s="294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8"/>
      <c r="O86" s="2978"/>
      <c r="P86" s="3002"/>
      <c r="Q86" s="2963"/>
      <c r="R86" s="2949"/>
      <c r="S86" s="2949"/>
      <c r="T86" s="2949"/>
      <c r="U86" s="2949"/>
      <c r="V86" s="2949"/>
      <c r="W86" s="2949"/>
      <c r="X86" s="2949"/>
      <c r="Y86" s="2949"/>
      <c r="Z86" s="2949"/>
      <c r="AA86" s="2949"/>
      <c r="AB86" s="2949"/>
      <c r="AC86" s="2949"/>
      <c r="AD86" s="2949"/>
      <c r="AE86" s="2949"/>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6"/>
      <c r="O87" s="2976"/>
      <c r="P87" s="3002"/>
      <c r="Q87" s="2963"/>
      <c r="R87" s="2884"/>
      <c r="S87" s="2884"/>
      <c r="T87" s="2884"/>
      <c r="U87" s="2884"/>
      <c r="V87" s="2884"/>
      <c r="W87" s="2884"/>
      <c r="X87" s="2884"/>
      <c r="Y87" s="2884"/>
      <c r="Z87" s="2884"/>
      <c r="AA87" s="2884"/>
      <c r="AB87" s="2884"/>
      <c r="AC87" s="2884"/>
      <c r="AD87" s="2884"/>
      <c r="AE87" s="288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8"/>
      <c r="O88" s="2978"/>
      <c r="P88" s="3002"/>
      <c r="Q88" s="2963"/>
      <c r="R88" s="2884"/>
      <c r="S88" s="2884"/>
      <c r="T88" s="2884"/>
      <c r="U88" s="2884"/>
      <c r="V88" s="2884"/>
      <c r="W88" s="2884"/>
      <c r="X88" s="2884"/>
      <c r="Y88" s="2884"/>
      <c r="Z88" s="2884"/>
      <c r="AA88" s="2884"/>
      <c r="AB88" s="2884"/>
      <c r="AC88" s="2884"/>
      <c r="AD88" s="2884"/>
      <c r="AE88" s="2884"/>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6"/>
      <c r="O89" s="2976"/>
      <c r="P89" s="3002"/>
      <c r="Q89" s="2963"/>
      <c r="R89" s="2884"/>
      <c r="S89" s="2884"/>
      <c r="T89" s="2884"/>
      <c r="U89" s="2884"/>
      <c r="V89" s="2884"/>
      <c r="W89" s="2884"/>
      <c r="X89" s="2884"/>
      <c r="Y89" s="2884"/>
      <c r="Z89" s="2884"/>
      <c r="AA89" s="2884"/>
      <c r="AB89" s="2884"/>
      <c r="AC89" s="2884"/>
      <c r="AD89" s="2884"/>
      <c r="AE89" s="288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8"/>
      <c r="O90" s="2978"/>
      <c r="P90" s="3002"/>
      <c r="Q90" s="2963"/>
      <c r="R90" s="2884"/>
      <c r="S90" s="2884"/>
      <c r="T90" s="2884"/>
      <c r="U90" s="2884"/>
      <c r="V90" s="2884"/>
      <c r="W90" s="2884"/>
      <c r="X90" s="2884"/>
      <c r="Y90" s="2884"/>
      <c r="Z90" s="2884"/>
      <c r="AA90" s="2884"/>
      <c r="AB90" s="2884"/>
      <c r="AC90" s="2884"/>
      <c r="AD90" s="2884"/>
      <c r="AE90" s="2884"/>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9"/>
      <c r="O91" s="2979"/>
      <c r="P91" s="3003"/>
      <c r="Q91" s="2970"/>
      <c r="R91" s="2971"/>
      <c r="S91" s="2971"/>
      <c r="T91" s="2971"/>
      <c r="U91" s="2971"/>
      <c r="V91" s="2971"/>
      <c r="W91" s="2971"/>
      <c r="X91" s="2971"/>
      <c r="Y91" s="2971"/>
      <c r="Z91" s="2971"/>
      <c r="AA91" s="2971"/>
      <c r="AB91" s="2971"/>
      <c r="AC91" s="2971"/>
      <c r="AD91" s="2971"/>
      <c r="AE91" s="297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9"/>
      <c r="O92" s="2979"/>
      <c r="P92" s="3003"/>
      <c r="Q92" s="2970"/>
      <c r="R92" s="2971"/>
      <c r="S92" s="2971"/>
      <c r="T92" s="2971"/>
      <c r="U92" s="2971"/>
      <c r="V92" s="2971"/>
      <c r="W92" s="2971"/>
      <c r="X92" s="2971"/>
      <c r="Y92" s="2971"/>
      <c r="Z92" s="2971"/>
      <c r="AA92" s="2971"/>
      <c r="AB92" s="2971"/>
      <c r="AC92" s="2971"/>
      <c r="AD92" s="2971"/>
      <c r="AE92" s="2971"/>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79"/>
      <c r="O93" s="2979"/>
      <c r="P93" s="3003"/>
      <c r="Q93" s="2970"/>
      <c r="R93" s="2971"/>
      <c r="S93" s="2971"/>
      <c r="T93" s="2971"/>
      <c r="U93" s="2971"/>
      <c r="V93" s="2971"/>
      <c r="W93" s="2971"/>
      <c r="X93" s="2971"/>
      <c r="Y93" s="2971"/>
      <c r="Z93" s="2971"/>
      <c r="AA93" s="2971"/>
      <c r="AB93" s="2971"/>
      <c r="AC93" s="2971"/>
      <c r="AD93" s="2971"/>
      <c r="AE93" s="297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9"/>
      <c r="O94" s="2979"/>
      <c r="P94" s="3003"/>
      <c r="Q94" s="2970"/>
      <c r="R94" s="2971"/>
      <c r="S94" s="2971"/>
      <c r="T94" s="2971"/>
      <c r="U94" s="2971"/>
      <c r="V94" s="2971"/>
      <c r="W94" s="2971"/>
      <c r="X94" s="2971"/>
      <c r="Y94" s="2971"/>
      <c r="Z94" s="2971"/>
      <c r="AA94" s="2971"/>
      <c r="AB94" s="2971"/>
      <c r="AC94" s="2971"/>
      <c r="AD94" s="2971"/>
      <c r="AE94" s="2971"/>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7"/>
      <c r="O95" s="2977"/>
      <c r="P95" s="3002"/>
      <c r="Q95" s="2963"/>
      <c r="R95" s="2949"/>
      <c r="S95" s="2949"/>
      <c r="T95" s="2949"/>
      <c r="U95" s="2949"/>
      <c r="V95" s="2949"/>
      <c r="W95" s="2949"/>
      <c r="X95" s="2949"/>
      <c r="Y95" s="2949"/>
      <c r="Z95" s="2949"/>
      <c r="AA95" s="2949"/>
      <c r="AB95" s="2949"/>
      <c r="AC95" s="2949"/>
      <c r="AD95" s="2949"/>
      <c r="AE95" s="294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8"/>
      <c r="O96" s="2978"/>
      <c r="P96" s="3002"/>
      <c r="Q96" s="2963"/>
      <c r="R96" s="2949"/>
      <c r="S96" s="2949"/>
      <c r="T96" s="2949"/>
      <c r="U96" s="2949"/>
      <c r="V96" s="2949"/>
      <c r="W96" s="2949"/>
      <c r="X96" s="2949"/>
      <c r="Y96" s="2949"/>
      <c r="Z96" s="2949"/>
      <c r="AA96" s="2949"/>
      <c r="AB96" s="2949"/>
      <c r="AC96" s="2949"/>
      <c r="AD96" s="2949"/>
      <c r="AE96" s="2949"/>
    </row>
    <row r="97" spans="1:31" ht="27.75" thickTop="1">
      <c r="A97" s="491"/>
      <c r="B97" s="495" t="s">
        <v>2511</v>
      </c>
      <c r="C97" s="511"/>
      <c r="D97" s="511"/>
      <c r="E97" s="511"/>
      <c r="F97" s="511"/>
      <c r="G97" s="511"/>
      <c r="H97" s="540"/>
      <c r="I97" s="540"/>
      <c r="J97" s="540"/>
      <c r="K97" s="541"/>
      <c r="L97" s="542"/>
      <c r="M97" s="543"/>
      <c r="N97" s="2977"/>
      <c r="O97" s="2977"/>
      <c r="P97" s="3002"/>
      <c r="Q97" s="2963"/>
      <c r="R97" s="2949"/>
      <c r="S97" s="2949"/>
      <c r="T97" s="2949"/>
      <c r="U97" s="2949"/>
      <c r="V97" s="2949"/>
      <c r="W97" s="2949"/>
      <c r="X97" s="2949"/>
      <c r="Y97" s="2949"/>
      <c r="Z97" s="2949"/>
      <c r="AA97" s="2949"/>
      <c r="AB97" s="2949"/>
      <c r="AC97" s="2949"/>
      <c r="AD97" s="2949"/>
      <c r="AE97" s="294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8"/>
      <c r="O98" s="2978"/>
      <c r="P98" s="3002"/>
      <c r="Q98" s="2963"/>
      <c r="R98" s="2949"/>
      <c r="S98" s="2949"/>
      <c r="T98" s="2949"/>
      <c r="U98" s="2949"/>
      <c r="V98" s="2949"/>
      <c r="W98" s="2949"/>
      <c r="X98" s="2949"/>
      <c r="Y98" s="2949"/>
      <c r="Z98" s="2949"/>
      <c r="AA98" s="2949"/>
      <c r="AB98" s="2949"/>
      <c r="AC98" s="2949"/>
      <c r="AD98" s="2949"/>
      <c r="AE98" s="2949"/>
    </row>
    <row r="99" spans="1:31" ht="15.75" thickTop="1">
      <c r="A99" s="491"/>
      <c r="B99" s="495" t="s">
        <v>2570</v>
      </c>
      <c r="C99" s="540"/>
      <c r="D99" s="540"/>
      <c r="E99" s="540"/>
      <c r="F99" s="540"/>
      <c r="G99" s="540"/>
      <c r="H99" s="540"/>
      <c r="I99" s="540"/>
      <c r="J99" s="540"/>
      <c r="K99" s="541"/>
      <c r="L99" s="542"/>
      <c r="M99" s="543"/>
      <c r="N99" s="2977"/>
      <c r="O99" s="2977"/>
      <c r="P99" s="3002"/>
      <c r="Q99" s="2963"/>
      <c r="R99" s="2949"/>
      <c r="S99" s="2949"/>
      <c r="T99" s="2949"/>
      <c r="U99" s="2949"/>
      <c r="V99" s="2949"/>
      <c r="W99" s="2949"/>
      <c r="X99" s="2949"/>
      <c r="Y99" s="2949"/>
      <c r="Z99" s="2949"/>
      <c r="AA99" s="2949"/>
      <c r="AB99" s="2949"/>
      <c r="AC99" s="2949"/>
      <c r="AD99" s="2949"/>
      <c r="AE99" s="294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8"/>
      <c r="O100" s="2978"/>
      <c r="P100" s="3002"/>
      <c r="Q100" s="2963"/>
      <c r="R100" s="2949"/>
      <c r="S100" s="2949"/>
      <c r="T100" s="2949"/>
      <c r="U100" s="2949"/>
      <c r="V100" s="2949"/>
      <c r="W100" s="2949"/>
      <c r="X100" s="2949"/>
      <c r="Y100" s="2949"/>
      <c r="Z100" s="2949"/>
      <c r="AA100" s="2949"/>
      <c r="AB100" s="2949"/>
      <c r="AC100" s="2949"/>
      <c r="AD100" s="2949"/>
      <c r="AE100" s="2949"/>
    </row>
    <row r="101" spans="1:31" ht="15.75" thickTop="1">
      <c r="A101" s="491"/>
      <c r="B101" s="503">
        <f>B31</f>
        <v>111</v>
      </c>
      <c r="C101" s="511"/>
      <c r="D101" s="511"/>
      <c r="E101" s="511"/>
      <c r="F101" s="511"/>
      <c r="G101" s="544"/>
      <c r="H101" s="544"/>
      <c r="I101" s="544"/>
      <c r="J101" s="544"/>
      <c r="K101" s="545"/>
      <c r="L101" s="546"/>
      <c r="M101" s="547"/>
      <c r="N101" s="2977"/>
      <c r="O101" s="2977"/>
      <c r="P101" s="3002"/>
      <c r="Q101" s="2963"/>
      <c r="R101" s="2949"/>
      <c r="S101" s="2949"/>
      <c r="T101" s="2949"/>
      <c r="U101" s="2949"/>
      <c r="V101" s="2949"/>
      <c r="W101" s="2949"/>
      <c r="X101" s="2949"/>
      <c r="Y101" s="2949"/>
      <c r="Z101" s="2949"/>
      <c r="AA101" s="2949"/>
      <c r="AB101" s="2949"/>
      <c r="AC101" s="2949"/>
      <c r="AD101" s="2949"/>
      <c r="AE101" s="2949"/>
    </row>
    <row r="102" spans="1:31" ht="15.75" thickBot="1">
      <c r="A102" s="491"/>
      <c r="B102" s="526"/>
      <c r="C102" s="517"/>
      <c r="D102" s="493"/>
      <c r="E102" s="493"/>
      <c r="F102" s="493"/>
      <c r="G102" s="548"/>
      <c r="H102" s="548"/>
      <c r="I102" s="548"/>
      <c r="J102" s="548"/>
      <c r="K102" s="548"/>
      <c r="L102" s="548"/>
      <c r="M102" s="549"/>
      <c r="N102" s="2978"/>
      <c r="O102" s="2978"/>
      <c r="P102" s="3002"/>
      <c r="Q102" s="2963"/>
      <c r="R102" s="2949"/>
      <c r="S102" s="2949"/>
      <c r="T102" s="2949"/>
      <c r="U102" s="2949"/>
      <c r="V102" s="2949"/>
      <c r="W102" s="2949"/>
      <c r="X102" s="2949"/>
      <c r="Y102" s="2949"/>
      <c r="Z102" s="2949"/>
      <c r="AA102" s="2949"/>
      <c r="AB102" s="2949"/>
      <c r="AC102" s="2949"/>
      <c r="AD102" s="2949"/>
      <c r="AE102" s="2949"/>
    </row>
    <row r="103" spans="1:31" ht="15" thickTop="1">
      <c r="A103" s="631"/>
      <c r="B103" s="495">
        <f>B32</f>
        <v>111</v>
      </c>
      <c r="C103" s="511"/>
      <c r="D103" s="511"/>
      <c r="E103" s="511"/>
      <c r="F103" s="511"/>
      <c r="G103" s="540"/>
      <c r="H103" s="540"/>
      <c r="I103" s="540"/>
      <c r="J103" s="540"/>
      <c r="K103" s="541"/>
      <c r="L103" s="542"/>
      <c r="M103" s="543"/>
      <c r="N103" s="2977"/>
      <c r="O103" s="2977"/>
      <c r="P103" s="3002"/>
      <c r="Q103" s="2963"/>
      <c r="R103" s="2949"/>
      <c r="S103" s="2949"/>
      <c r="T103" s="2949"/>
      <c r="U103" s="2949"/>
      <c r="V103" s="2949"/>
      <c r="W103" s="2949"/>
      <c r="X103" s="2949"/>
      <c r="Y103" s="2949"/>
      <c r="Z103" s="2949"/>
      <c r="AA103" s="2949"/>
      <c r="AB103" s="2949"/>
      <c r="AC103" s="2949"/>
      <c r="AD103" s="2949"/>
      <c r="AE103" s="2949"/>
    </row>
    <row r="104" spans="1:31" ht="15.75" thickBot="1">
      <c r="A104" s="491"/>
      <c r="B104" s="500"/>
      <c r="C104" s="517"/>
      <c r="D104" s="517"/>
      <c r="E104" s="517"/>
      <c r="F104" s="517"/>
      <c r="G104" s="493"/>
      <c r="H104" s="493"/>
      <c r="I104" s="493"/>
      <c r="J104" s="493"/>
      <c r="K104" s="493"/>
      <c r="L104" s="493"/>
      <c r="M104" s="494"/>
      <c r="N104" s="2978"/>
      <c r="O104" s="2978"/>
      <c r="P104" s="3002"/>
      <c r="Q104" s="2963"/>
      <c r="R104" s="2949"/>
      <c r="S104" s="2949"/>
      <c r="T104" s="2949"/>
      <c r="U104" s="2949"/>
      <c r="V104" s="2949"/>
      <c r="W104" s="2949"/>
      <c r="X104" s="2949"/>
      <c r="Y104" s="2949"/>
      <c r="Z104" s="2949"/>
      <c r="AA104" s="2949"/>
      <c r="AB104" s="2949"/>
      <c r="AC104" s="2949"/>
      <c r="AD104" s="2949"/>
      <c r="AE104" s="2949"/>
    </row>
    <row r="105" spans="1:31" s="430" customFormat="1" ht="15" thickTop="1">
      <c r="A105" s="550"/>
      <c r="B105" s="551">
        <f>B33</f>
        <v>111</v>
      </c>
      <c r="C105" s="480"/>
      <c r="D105" s="480"/>
      <c r="E105" s="480"/>
      <c r="F105" s="480"/>
      <c r="G105" s="552"/>
      <c r="H105" s="552"/>
      <c r="I105" s="552"/>
      <c r="J105" s="553"/>
      <c r="K105" s="553"/>
      <c r="L105" s="554"/>
      <c r="M105" s="555"/>
      <c r="N105" s="2979"/>
      <c r="O105" s="2979"/>
      <c r="P105" s="3003"/>
      <c r="Q105" s="2970"/>
      <c r="R105" s="2971"/>
      <c r="S105" s="2971"/>
      <c r="T105" s="2971"/>
      <c r="U105" s="2971"/>
      <c r="V105" s="2971"/>
      <c r="W105" s="2971"/>
      <c r="X105" s="2971"/>
      <c r="Y105" s="2971"/>
      <c r="Z105" s="2971"/>
      <c r="AA105" s="2971"/>
      <c r="AB105" s="2971"/>
      <c r="AC105" s="2971"/>
      <c r="AD105" s="2971"/>
      <c r="AE105" s="2971"/>
    </row>
    <row r="106" spans="1:31" s="430" customFormat="1" ht="15.75" thickBot="1">
      <c r="A106" s="510"/>
      <c r="B106" s="503"/>
      <c r="C106" s="527"/>
      <c r="D106" s="527"/>
      <c r="E106" s="527"/>
      <c r="F106" s="527"/>
      <c r="G106" s="633"/>
      <c r="H106" s="633"/>
      <c r="I106" s="633"/>
      <c r="J106" s="633"/>
      <c r="K106" s="633"/>
      <c r="L106" s="633"/>
      <c r="M106" s="655"/>
      <c r="N106" s="2978"/>
      <c r="O106" s="2978"/>
      <c r="P106" s="3003"/>
      <c r="Q106" s="2970"/>
      <c r="R106" s="2971"/>
      <c r="S106" s="2971"/>
      <c r="T106" s="2971"/>
      <c r="U106" s="2971"/>
      <c r="V106" s="2971"/>
      <c r="W106" s="2971"/>
      <c r="X106" s="2971"/>
      <c r="Y106" s="2971"/>
      <c r="Z106" s="2971"/>
      <c r="AA106" s="2971"/>
      <c r="AB106" s="2971"/>
      <c r="AC106" s="2971"/>
      <c r="AD106" s="2971"/>
      <c r="AE106" s="2971"/>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7"/>
      <c r="O107" s="2977"/>
      <c r="P107" s="3002"/>
      <c r="Q107" s="2963"/>
      <c r="R107" s="2949"/>
      <c r="S107" s="2949"/>
      <c r="T107" s="2949"/>
      <c r="U107" s="2949"/>
      <c r="V107" s="2949"/>
      <c r="W107" s="2949"/>
      <c r="X107" s="2949"/>
      <c r="Y107" s="2949"/>
      <c r="Z107" s="2949"/>
      <c r="AA107" s="2949"/>
      <c r="AB107" s="2949"/>
      <c r="AC107" s="2949"/>
      <c r="AD107" s="2949"/>
      <c r="AE107" s="2949"/>
    </row>
    <row r="108" spans="1:31" ht="15">
      <c r="A108" s="491"/>
      <c r="B108" s="503"/>
      <c r="C108" s="552"/>
      <c r="D108" s="552"/>
      <c r="E108" s="552"/>
      <c r="F108" s="552"/>
      <c r="G108" s="552"/>
      <c r="H108" s="552"/>
      <c r="I108" s="552"/>
      <c r="J108" s="553"/>
      <c r="K108" s="553"/>
      <c r="L108" s="554"/>
      <c r="M108" s="555"/>
      <c r="N108" s="2977"/>
      <c r="O108" s="2977"/>
      <c r="P108" s="3002"/>
      <c r="Q108" s="2963"/>
      <c r="R108" s="2949"/>
      <c r="S108" s="2949"/>
      <c r="T108" s="2949"/>
      <c r="U108" s="2949"/>
      <c r="V108" s="2949"/>
      <c r="W108" s="2949"/>
      <c r="X108" s="2949"/>
      <c r="Y108" s="2949"/>
      <c r="Z108" s="2949"/>
      <c r="AA108" s="2949"/>
      <c r="AB108" s="2949"/>
      <c r="AC108" s="2949"/>
      <c r="AD108" s="2949"/>
      <c r="AE108" s="2949"/>
    </row>
    <row r="109" spans="1:31" ht="15.75" thickBot="1">
      <c r="A109" s="491"/>
      <c r="B109" s="500"/>
      <c r="C109" s="527"/>
      <c r="D109" s="548"/>
      <c r="E109" s="548"/>
      <c r="F109" s="548"/>
      <c r="G109" s="548"/>
      <c r="H109" s="548"/>
      <c r="I109" s="548"/>
      <c r="J109" s="548"/>
      <c r="K109" s="548"/>
      <c r="L109" s="548"/>
      <c r="M109" s="549"/>
      <c r="N109" s="2978"/>
      <c r="O109" s="2978"/>
      <c r="P109" s="3002"/>
      <c r="Q109" s="2963"/>
      <c r="R109" s="2949"/>
      <c r="S109" s="2949"/>
      <c r="T109" s="2949"/>
      <c r="U109" s="2949"/>
      <c r="V109" s="2949"/>
      <c r="W109" s="2949"/>
      <c r="X109" s="2949"/>
      <c r="Y109" s="2949"/>
      <c r="Z109" s="2949"/>
      <c r="AA109" s="2949"/>
      <c r="AB109" s="2949"/>
      <c r="AC109" s="2949"/>
      <c r="AD109" s="2949"/>
      <c r="AE109" s="2949"/>
    </row>
    <row r="110" spans="1:31" ht="15" thickTop="1">
      <c r="A110" s="556"/>
      <c r="B110" s="495" t="s">
        <v>2612</v>
      </c>
      <c r="C110" s="540"/>
      <c r="D110" s="540"/>
      <c r="E110" s="540"/>
      <c r="F110" s="540"/>
      <c r="G110" s="540"/>
      <c r="H110" s="540"/>
      <c r="I110" s="540"/>
      <c r="J110" s="540"/>
      <c r="K110" s="541"/>
      <c r="L110" s="542"/>
      <c r="M110" s="543"/>
      <c r="N110" s="2977"/>
      <c r="O110" s="2977"/>
      <c r="P110" s="3002"/>
      <c r="Q110" s="2963"/>
      <c r="R110" s="2949"/>
      <c r="S110" s="2949"/>
      <c r="T110" s="2949"/>
      <c r="U110" s="2949"/>
      <c r="V110" s="2949"/>
      <c r="W110" s="2949"/>
      <c r="X110" s="2949"/>
      <c r="Y110" s="2949"/>
      <c r="Z110" s="2949"/>
      <c r="AA110" s="2949"/>
      <c r="AB110" s="2949"/>
      <c r="AC110" s="2949"/>
      <c r="AD110" s="2949"/>
      <c r="AE110" s="294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8"/>
      <c r="O111" s="2978"/>
      <c r="P111" s="3002"/>
      <c r="Q111" s="2963"/>
      <c r="R111" s="2949"/>
      <c r="S111" s="2949"/>
      <c r="T111" s="2949"/>
      <c r="U111" s="2949"/>
      <c r="V111" s="2949"/>
      <c r="W111" s="2949"/>
      <c r="X111" s="2949"/>
      <c r="Y111" s="2949"/>
      <c r="Z111" s="2949"/>
      <c r="AA111" s="2949"/>
      <c r="AB111" s="2949"/>
      <c r="AC111" s="2949"/>
      <c r="AD111" s="2949"/>
      <c r="AE111" s="2949"/>
    </row>
    <row r="112" spans="1:31" s="430" customFormat="1" ht="15" thickTop="1">
      <c r="A112" s="550"/>
      <c r="B112" s="495" t="s">
        <v>2614</v>
      </c>
      <c r="C112" s="511"/>
      <c r="D112" s="511"/>
      <c r="E112" s="511"/>
      <c r="F112" s="511"/>
      <c r="G112" s="511"/>
      <c r="H112" s="540"/>
      <c r="I112" s="540"/>
      <c r="J112" s="540"/>
      <c r="K112" s="541"/>
      <c r="L112" s="542"/>
      <c r="M112" s="543"/>
      <c r="N112" s="2979"/>
      <c r="O112" s="2979"/>
      <c r="P112" s="3003"/>
      <c r="Q112" s="2970"/>
      <c r="R112" s="2971"/>
      <c r="S112" s="2971"/>
      <c r="T112" s="2971"/>
      <c r="U112" s="2971"/>
      <c r="V112" s="2971"/>
      <c r="W112" s="2971"/>
      <c r="X112" s="2971"/>
      <c r="Y112" s="2971"/>
      <c r="Z112" s="2971"/>
      <c r="AA112" s="2971"/>
      <c r="AB112" s="2971"/>
      <c r="AC112" s="2971"/>
      <c r="AD112" s="2971"/>
      <c r="AE112" s="297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9"/>
      <c r="O113" s="2979"/>
      <c r="P113" s="3003"/>
      <c r="Q113" s="2970"/>
      <c r="R113" s="2971"/>
      <c r="S113" s="2971"/>
      <c r="T113" s="2971"/>
      <c r="U113" s="2971"/>
      <c r="V113" s="2971"/>
      <c r="W113" s="2971"/>
      <c r="X113" s="2971"/>
      <c r="Y113" s="2971"/>
      <c r="Z113" s="2971"/>
      <c r="AA113" s="2971"/>
      <c r="AB113" s="2971"/>
      <c r="AC113" s="2971"/>
      <c r="AD113" s="2971"/>
      <c r="AE113" s="2971"/>
    </row>
    <row r="114" spans="1:31" ht="15" thickTop="1">
      <c r="A114" s="556"/>
      <c r="B114" s="495" t="s">
        <v>2615</v>
      </c>
      <c r="C114" s="511"/>
      <c r="D114" s="511"/>
      <c r="E114" s="540"/>
      <c r="F114" s="540"/>
      <c r="G114" s="540"/>
      <c r="H114" s="540"/>
      <c r="I114" s="540"/>
      <c r="J114" s="540"/>
      <c r="K114" s="541"/>
      <c r="L114" s="542"/>
      <c r="M114" s="543"/>
      <c r="N114" s="2977"/>
      <c r="O114" s="2977"/>
      <c r="P114" s="3002"/>
      <c r="Q114" s="2963"/>
      <c r="R114" s="2949"/>
      <c r="S114" s="2949"/>
      <c r="T114" s="2949"/>
      <c r="U114" s="2949"/>
      <c r="V114" s="2949"/>
      <c r="W114" s="2949"/>
      <c r="X114" s="2949"/>
      <c r="Y114" s="2949"/>
      <c r="Z114" s="2949"/>
      <c r="AA114" s="2949"/>
      <c r="AB114" s="2949"/>
      <c r="AC114" s="2949"/>
      <c r="AD114" s="2949"/>
      <c r="AE114" s="294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8"/>
      <c r="O115" s="2978"/>
      <c r="P115" s="3002"/>
      <c r="Q115" s="2963"/>
      <c r="R115" s="2949"/>
      <c r="S115" s="2949"/>
      <c r="T115" s="2949"/>
      <c r="U115" s="2949"/>
      <c r="V115" s="2949"/>
      <c r="W115" s="2949"/>
      <c r="X115" s="2949"/>
      <c r="Y115" s="2949"/>
      <c r="Z115" s="2949"/>
      <c r="AA115" s="2949"/>
      <c r="AB115" s="2949"/>
      <c r="AC115" s="2949"/>
      <c r="AD115" s="2949"/>
      <c r="AE115" s="2949"/>
    </row>
    <row r="116" spans="1:31" ht="15" thickTop="1">
      <c r="A116" s="556"/>
      <c r="B116" s="495">
        <f>B38</f>
        <v>111</v>
      </c>
      <c r="C116" s="511"/>
      <c r="D116" s="511"/>
      <c r="E116" s="511"/>
      <c r="F116" s="511"/>
      <c r="G116" s="511"/>
      <c r="H116" s="540"/>
      <c r="I116" s="540"/>
      <c r="J116" s="540"/>
      <c r="K116" s="541"/>
      <c r="L116" s="542"/>
      <c r="M116" s="543"/>
      <c r="N116" s="2977"/>
      <c r="O116" s="2977"/>
      <c r="P116" s="3002"/>
      <c r="Q116" s="2963"/>
      <c r="R116" s="2949"/>
      <c r="S116" s="2949"/>
      <c r="T116" s="2949"/>
      <c r="U116" s="2949"/>
      <c r="V116" s="2949"/>
      <c r="W116" s="2949"/>
      <c r="X116" s="2949"/>
      <c r="Y116" s="2949"/>
      <c r="Z116" s="2949"/>
      <c r="AA116" s="2949"/>
      <c r="AB116" s="2949"/>
      <c r="AC116" s="2949"/>
      <c r="AD116" s="2949"/>
      <c r="AE116" s="2949"/>
    </row>
    <row r="117" spans="1:31" ht="15.75" thickBot="1">
      <c r="A117" s="491"/>
      <c r="B117" s="500"/>
      <c r="C117" s="517"/>
      <c r="D117" s="493"/>
      <c r="E117" s="493"/>
      <c r="F117" s="493"/>
      <c r="G117" s="493"/>
      <c r="H117" s="493"/>
      <c r="I117" s="493"/>
      <c r="J117" s="493"/>
      <c r="K117" s="493"/>
      <c r="L117" s="493"/>
      <c r="M117" s="494"/>
      <c r="N117" s="2978"/>
      <c r="O117" s="2978"/>
      <c r="P117" s="3002"/>
      <c r="Q117" s="2963"/>
      <c r="R117" s="2949"/>
      <c r="S117" s="2949"/>
      <c r="T117" s="2949"/>
      <c r="U117" s="2949"/>
      <c r="V117" s="2949"/>
      <c r="W117" s="2949"/>
      <c r="X117" s="2949"/>
      <c r="Y117" s="2949"/>
      <c r="Z117" s="2949"/>
      <c r="AA117" s="2949"/>
      <c r="AB117" s="2949"/>
      <c r="AC117" s="2949"/>
      <c r="AD117" s="2949"/>
      <c r="AE117" s="2949"/>
    </row>
    <row r="118" spans="1:31" ht="15" thickTop="1">
      <c r="A118" s="556"/>
      <c r="B118" s="495">
        <f>B39</f>
        <v>111</v>
      </c>
      <c r="C118" s="511"/>
      <c r="D118" s="511"/>
      <c r="E118" s="511"/>
      <c r="F118" s="511"/>
      <c r="G118" s="540"/>
      <c r="H118" s="540"/>
      <c r="I118" s="540"/>
      <c r="J118" s="540"/>
      <c r="K118" s="541"/>
      <c r="L118" s="542"/>
      <c r="M118" s="543"/>
      <c r="N118" s="2977"/>
      <c r="O118" s="2977"/>
      <c r="P118" s="3002"/>
      <c r="Q118" s="2963"/>
      <c r="R118" s="2949"/>
      <c r="S118" s="2949"/>
      <c r="T118" s="2949"/>
      <c r="U118" s="2949"/>
      <c r="V118" s="2949"/>
      <c r="W118" s="2949"/>
      <c r="X118" s="2949"/>
      <c r="Y118" s="2949"/>
      <c r="Z118" s="2949"/>
      <c r="AA118" s="2949"/>
      <c r="AB118" s="2949"/>
      <c r="AC118" s="2949"/>
      <c r="AD118" s="2949"/>
      <c r="AE118" s="2949"/>
    </row>
    <row r="119" spans="1:31" ht="15.75" thickBot="1">
      <c r="A119" s="491"/>
      <c r="B119" s="500"/>
      <c r="C119" s="517"/>
      <c r="D119" s="517"/>
      <c r="E119" s="517"/>
      <c r="F119" s="517"/>
      <c r="G119" s="493"/>
      <c r="H119" s="493"/>
      <c r="I119" s="493"/>
      <c r="J119" s="493"/>
      <c r="K119" s="493"/>
      <c r="L119" s="493"/>
      <c r="M119" s="494"/>
      <c r="N119" s="2978"/>
      <c r="O119" s="2978"/>
      <c r="P119" s="3002"/>
      <c r="Q119" s="2963"/>
      <c r="R119" s="2949"/>
      <c r="S119" s="2949"/>
      <c r="T119" s="2949"/>
      <c r="U119" s="2949"/>
      <c r="V119" s="2949"/>
      <c r="W119" s="2949"/>
      <c r="X119" s="2949"/>
      <c r="Y119" s="2949"/>
      <c r="Z119" s="2949"/>
      <c r="AA119" s="2949"/>
      <c r="AB119" s="2949"/>
      <c r="AC119" s="2949"/>
      <c r="AD119" s="2949"/>
      <c r="AE119" s="2949"/>
    </row>
    <row r="120" spans="1:31" s="430" customFormat="1" ht="15" thickTop="1">
      <c r="A120" s="550"/>
      <c r="B120" s="495">
        <f>B40</f>
        <v>111</v>
      </c>
      <c r="C120" s="480"/>
      <c r="D120" s="480"/>
      <c r="E120" s="480"/>
      <c r="F120" s="480"/>
      <c r="G120" s="512"/>
      <c r="H120" s="512"/>
      <c r="I120" s="512"/>
      <c r="J120" s="512"/>
      <c r="K120" s="512"/>
      <c r="L120" s="513"/>
      <c r="M120" s="514"/>
      <c r="N120" s="2979"/>
      <c r="O120" s="2979"/>
      <c r="P120" s="3003"/>
      <c r="Q120" s="2970"/>
      <c r="R120" s="2971"/>
      <c r="S120" s="2971"/>
      <c r="T120" s="2971"/>
      <c r="U120" s="2971"/>
      <c r="V120" s="2971"/>
      <c r="W120" s="2971"/>
      <c r="X120" s="2971"/>
      <c r="Y120" s="2971"/>
      <c r="Z120" s="2971"/>
      <c r="AA120" s="2971"/>
      <c r="AB120" s="2971"/>
      <c r="AC120" s="2971"/>
      <c r="AD120" s="2971"/>
      <c r="AE120" s="2971"/>
    </row>
    <row r="121" spans="1:31" s="430" customFormat="1" ht="15.75" thickBot="1">
      <c r="A121" s="525"/>
      <c r="B121" s="656"/>
      <c r="C121" s="527"/>
      <c r="D121" s="527"/>
      <c r="E121" s="527"/>
      <c r="F121" s="527"/>
      <c r="G121" s="548"/>
      <c r="H121" s="548"/>
      <c r="I121" s="548"/>
      <c r="J121" s="548"/>
      <c r="K121" s="548"/>
      <c r="L121" s="548"/>
      <c r="M121" s="549"/>
      <c r="N121" s="2979"/>
      <c r="O121" s="2979"/>
      <c r="P121" s="3003"/>
      <c r="Q121" s="2970"/>
      <c r="R121" s="2971"/>
      <c r="S121" s="2971"/>
      <c r="T121" s="2971"/>
      <c r="U121" s="2971"/>
      <c r="V121" s="2971"/>
      <c r="W121" s="2971"/>
      <c r="X121" s="2971"/>
      <c r="Y121" s="2971"/>
      <c r="Z121" s="2971"/>
      <c r="AA121" s="2971"/>
      <c r="AB121" s="2971"/>
      <c r="AC121" s="2971"/>
      <c r="AD121" s="2971"/>
      <c r="AE121" s="2971"/>
    </row>
    <row r="122" spans="1:31">
      <c r="N122" s="2949"/>
      <c r="O122" s="2949"/>
      <c r="P122" s="2949"/>
      <c r="Q122" s="2949"/>
      <c r="R122" s="2949"/>
      <c r="S122" s="2949"/>
      <c r="T122" s="2949"/>
      <c r="U122" s="2949"/>
      <c r="V122" s="2949"/>
      <c r="W122" s="2949"/>
      <c r="X122" s="2949"/>
      <c r="Y122" s="2949"/>
      <c r="Z122" s="2949"/>
      <c r="AA122" s="2949"/>
      <c r="AB122" s="2949"/>
      <c r="AC122" s="2949"/>
      <c r="AD122" s="2949"/>
      <c r="AE122" s="2949"/>
    </row>
    <row r="123" spans="1:31">
      <c r="P123" s="2949"/>
      <c r="Q123" s="2949"/>
      <c r="R123" s="2949"/>
      <c r="S123" s="2949"/>
      <c r="T123" s="2949"/>
      <c r="U123" s="2949"/>
      <c r="V123" s="2949"/>
      <c r="W123" s="2949"/>
      <c r="X123" s="2949"/>
      <c r="Y123" s="2949"/>
      <c r="Z123" s="2949"/>
      <c r="AA123" s="2949"/>
      <c r="AB123" s="2949"/>
      <c r="AC123" s="2949"/>
      <c r="AD123" s="2949"/>
      <c r="AE123" s="294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0</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4" t="s">
        <v>2633</v>
      </c>
      <c r="D2" s="2185" t="s">
        <v>2634</v>
      </c>
      <c r="E2" s="2186"/>
      <c r="F2" s="2185" t="s">
        <v>2635</v>
      </c>
      <c r="G2" s="2187">
        <f>IF(E2="商业",项目基本情况!B37,IF(E2="办公",项目基本情况!C37,IF(E2="住宅",项目基本情况!D37,项目基本情况!E37)))</f>
        <v>0</v>
      </c>
      <c r="H2" s="2185" t="s">
        <v>2636</v>
      </c>
      <c r="I2" s="2187">
        <f>IF(E2="商业",项目基本情况!B38,IF(E2="办公",项目基本情况!C38,IF(E2="住宅",项目基本情况!D38,项目基本情况!E38)))</f>
        <v>0</v>
      </c>
      <c r="J2" s="2188"/>
      <c r="K2" s="1280"/>
      <c r="L2" s="2189"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2638</v>
      </c>
      <c r="B3" s="210" t="e">
        <f>ROUND(B2*10000/D1,0)</f>
        <v>#DIV/0!</v>
      </c>
      <c r="C3" s="2184" t="s">
        <v>2639</v>
      </c>
      <c r="D3" s="2185" t="s">
        <v>2640</v>
      </c>
      <c r="E3" s="2190"/>
      <c r="F3" s="2191" t="s">
        <v>2641</v>
      </c>
      <c r="G3" s="855">
        <f>IF(F3="宗地容积率",'数据-汇总表'!I4,IF(F3="估价对象容积率",'数据-汇总表'!I6,'数据-汇总表'!I7))</f>
        <v>2.57</v>
      </c>
      <c r="H3" s="175" t="s">
        <v>2642</v>
      </c>
      <c r="I3" s="881"/>
      <c r="J3" s="2188" t="s">
        <v>2643</v>
      </c>
      <c r="K3" s="1280"/>
      <c r="L3" s="2189"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95"/>
      <c r="B4" s="3396"/>
      <c r="C4" s="3396"/>
      <c r="D4" s="3397"/>
      <c r="E4" s="3397"/>
      <c r="F4" s="3397"/>
      <c r="G4" s="3397"/>
      <c r="H4" s="3397"/>
      <c r="I4" s="3397"/>
      <c r="J4" s="3398"/>
      <c r="K4" s="1280"/>
      <c r="L4" s="2189"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1" customFormat="1" ht="15.75" thickBot="1">
      <c r="A5" s="2192" t="s">
        <v>807</v>
      </c>
      <c r="B5" s="2193" t="s">
        <v>2646</v>
      </c>
      <c r="C5" s="856" t="e">
        <f>ROUND(IF(E2="商业",C6*C7+C16,(IF(E2="住宅",C6*C12+C16,C6+C16))),0)</f>
        <v>#DIV/0!</v>
      </c>
      <c r="D5" s="1523" t="e">
        <f>ROUND(C6+C16,0)</f>
        <v>#DIV/0!</v>
      </c>
      <c r="E5" s="1523"/>
      <c r="F5" s="2194"/>
      <c r="G5" s="2195"/>
      <c r="H5" s="2195"/>
      <c r="I5" s="2195"/>
      <c r="J5" s="2196"/>
      <c r="K5" s="2197"/>
      <c r="L5" s="2189"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8"/>
      <c r="AD5" s="2199"/>
      <c r="AE5" s="2199"/>
      <c r="AF5" s="2199"/>
      <c r="AG5" s="2199"/>
      <c r="AH5" s="2199"/>
      <c r="AI5" s="2199"/>
      <c r="AJ5" s="2200"/>
    </row>
    <row r="6" spans="1:36" ht="15.75" thickBot="1">
      <c r="A6" s="2202" t="s">
        <v>2648</v>
      </c>
      <c r="B6" s="2203" t="s">
        <v>2649</v>
      </c>
      <c r="C6" s="857">
        <f>SUMIF(L1:L12,G2,M1:M12)</f>
        <v>0</v>
      </c>
      <c r="D6" s="2204" t="s">
        <v>2650</v>
      </c>
      <c r="E6" s="2205"/>
      <c r="F6" s="2205"/>
      <c r="G6" s="2206"/>
      <c r="H6" s="2206"/>
      <c r="I6" s="2206"/>
      <c r="J6" s="2207"/>
      <c r="K6" s="1568"/>
      <c r="L6" s="2189"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8"/>
      <c r="AD6" s="2199"/>
      <c r="AE6" s="2199"/>
      <c r="AF6" s="2199"/>
      <c r="AG6" s="2199"/>
      <c r="AH6" s="2199"/>
      <c r="AI6" s="2199"/>
      <c r="AJ6" s="2200"/>
    </row>
    <row r="7" spans="1:36" ht="24">
      <c r="A7" s="3399" t="str">
        <f>IF(E2="商业",IF(C8="不临58条商业街","",2),"")</f>
        <v/>
      </c>
      <c r="B7" s="2208" t="s">
        <v>2652</v>
      </c>
      <c r="C7" s="858" t="e">
        <f>IF(C8="不临58条商业街",1,ROUND(1+(1.6*E8+1.2*E9+0.8*E10+0.4*E11)*C9,4))</f>
        <v>#DIV/0!</v>
      </c>
      <c r="D7" s="2209" t="s">
        <v>2653</v>
      </c>
      <c r="E7" s="882"/>
      <c r="F7" s="2210"/>
      <c r="G7" s="2211"/>
      <c r="H7" s="2211"/>
      <c r="I7" s="2211"/>
      <c r="J7" s="2212"/>
      <c r="K7" s="1568"/>
      <c r="L7" s="2189"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2655</v>
      </c>
      <c r="X7" s="1376">
        <f>G2</f>
        <v>0</v>
      </c>
      <c r="Y7" s="1376" t="s">
        <v>2656</v>
      </c>
      <c r="Z7" s="1377">
        <f>G3</f>
        <v>2.57</v>
      </c>
      <c r="AA7" s="1378"/>
      <c r="AB7" s="1378"/>
      <c r="AC7" s="1379"/>
      <c r="AD7" s="1380"/>
      <c r="AE7" s="1380"/>
      <c r="AF7" s="1380"/>
      <c r="AG7" s="1380"/>
      <c r="AH7" s="1380"/>
      <c r="AI7" s="1380"/>
      <c r="AJ7" s="1381"/>
    </row>
    <row r="8" spans="1:36" ht="15">
      <c r="A8" s="3400"/>
      <c r="B8" s="175" t="s">
        <v>2657</v>
      </c>
      <c r="C8" s="2213"/>
      <c r="D8" s="859" t="s">
        <v>139</v>
      </c>
      <c r="E8" s="860" t="e">
        <f>ROUND(C11/E7,4)</f>
        <v>#DIV/0!</v>
      </c>
      <c r="F8" s="2214" t="s">
        <v>2658</v>
      </c>
      <c r="G8" s="2215"/>
      <c r="H8" s="2215"/>
      <c r="I8" s="2215"/>
      <c r="J8" s="2216"/>
      <c r="K8" s="1280"/>
      <c r="L8" s="2189"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92" t="s">
        <v>2660</v>
      </c>
      <c r="X8" s="3393"/>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400"/>
      <c r="B9" s="175" t="s">
        <v>2673</v>
      </c>
      <c r="C9" s="861">
        <f>SUMIF(修正!C59:C119,C8,修正!E59:E119)</f>
        <v>0</v>
      </c>
      <c r="D9" s="176" t="s">
        <v>140</v>
      </c>
      <c r="E9" s="176" t="e">
        <f>ROUND(C11/E7,4)</f>
        <v>#DIV/0!</v>
      </c>
      <c r="F9" s="2214" t="s">
        <v>2674</v>
      </c>
      <c r="G9" s="2215"/>
      <c r="H9" s="2215"/>
      <c r="I9" s="2215"/>
      <c r="J9" s="2216"/>
      <c r="K9" s="1280"/>
      <c r="L9" s="2189"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94"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00"/>
      <c r="B10" s="175" t="s">
        <v>2678</v>
      </c>
      <c r="C10" s="176">
        <f>SUMIF(修正!C59:C119,C8,修正!F59:F119)</f>
        <v>0</v>
      </c>
      <c r="D10" s="176" t="s">
        <v>141</v>
      </c>
      <c r="E10" s="176" t="e">
        <f>ROUND(C11/E7,4)</f>
        <v>#DIV/0!</v>
      </c>
      <c r="F10" s="2214" t="s">
        <v>2679</v>
      </c>
      <c r="G10" s="2215"/>
      <c r="H10" s="2215"/>
      <c r="I10" s="2215"/>
      <c r="J10" s="2216"/>
      <c r="K10" s="1280"/>
      <c r="L10" s="2189"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9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00"/>
      <c r="B11" s="2217" t="s">
        <v>2681</v>
      </c>
      <c r="C11" s="862">
        <f>C10/4</f>
        <v>0</v>
      </c>
      <c r="D11" s="862" t="s">
        <v>142</v>
      </c>
      <c r="E11" s="862" t="e">
        <f>ROUND(C11/E7,4)</f>
        <v>#DIV/0!</v>
      </c>
      <c r="F11" s="2218" t="s">
        <v>2682</v>
      </c>
      <c r="G11" s="2219"/>
      <c r="H11" s="2219"/>
      <c r="I11" s="2219"/>
      <c r="J11" s="2220"/>
      <c r="K11" s="1280"/>
      <c r="L11" s="2189"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94" t="s">
        <v>2684</v>
      </c>
      <c r="X11" s="1386" t="s">
        <v>2685</v>
      </c>
      <c r="Y11" s="1387">
        <f>$G$3</f>
        <v>2.57</v>
      </c>
      <c r="Z11" s="1387">
        <f t="shared" ref="Z11:AJ11" si="3">$G$3</f>
        <v>2.57</v>
      </c>
      <c r="AA11" s="1387">
        <f t="shared" si="3"/>
        <v>2.57</v>
      </c>
      <c r="AB11" s="1387">
        <f t="shared" si="3"/>
        <v>2.57</v>
      </c>
      <c r="AC11" s="1387">
        <f t="shared" si="3"/>
        <v>2.57</v>
      </c>
      <c r="AD11" s="1387">
        <f t="shared" si="3"/>
        <v>2.57</v>
      </c>
      <c r="AE11" s="1387">
        <f t="shared" si="3"/>
        <v>2.57</v>
      </c>
      <c r="AF11" s="1387">
        <f t="shared" si="3"/>
        <v>2.57</v>
      </c>
      <c r="AG11" s="1387">
        <f t="shared" si="3"/>
        <v>2.57</v>
      </c>
      <c r="AH11" s="1387">
        <f t="shared" si="3"/>
        <v>2.57</v>
      </c>
      <c r="AI11" s="1387">
        <f t="shared" si="3"/>
        <v>2.57</v>
      </c>
      <c r="AJ11" s="1387">
        <f t="shared" si="3"/>
        <v>2.57</v>
      </c>
    </row>
    <row r="12" spans="1:36" ht="25.5" thickBot="1">
      <c r="A12" s="3399" t="s">
        <v>2686</v>
      </c>
      <c r="B12" s="2221" t="s">
        <v>2687</v>
      </c>
      <c r="C12" s="858">
        <f>ROUND(C15*D15*E15*F15*G15*H15*I15*J15,4)</f>
        <v>1</v>
      </c>
      <c r="D12" s="2222" t="s">
        <v>2688</v>
      </c>
      <c r="E12" s="2223"/>
      <c r="F12" s="2223"/>
      <c r="G12" s="2224"/>
      <c r="H12" s="2224"/>
      <c r="I12" s="2224"/>
      <c r="J12" s="2225"/>
      <c r="K12" s="1280"/>
      <c r="L12" s="2226"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94"/>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01"/>
      <c r="B13" s="2227" t="s">
        <v>2691</v>
      </c>
      <c r="C13" s="2228" t="s">
        <v>2692</v>
      </c>
      <c r="D13" s="1534" t="s">
        <v>2693</v>
      </c>
      <c r="E13" s="1534" t="s">
        <v>2694</v>
      </c>
      <c r="F13" s="30" t="s">
        <v>2695</v>
      </c>
      <c r="G13" s="2229" t="s">
        <v>2696</v>
      </c>
      <c r="H13" s="2229" t="s">
        <v>2696</v>
      </c>
      <c r="I13" s="2229" t="s">
        <v>2696</v>
      </c>
      <c r="J13" s="2230" t="s">
        <v>2696</v>
      </c>
      <c r="K13" s="1280"/>
      <c r="L13" s="1280"/>
      <c r="M13" s="1280"/>
      <c r="N13" s="1280"/>
      <c r="O13" s="1280"/>
      <c r="P13" s="1280"/>
      <c r="Q13" s="1280"/>
      <c r="R13" s="1374">
        <v>12</v>
      </c>
      <c r="S13" s="1375"/>
      <c r="T13" s="1374" t="e">
        <f t="shared" si="0"/>
        <v>#DIV/0!</v>
      </c>
      <c r="U13" s="1375"/>
      <c r="V13" s="1374" t="e">
        <f t="shared" si="1"/>
        <v>#DIV/0!</v>
      </c>
      <c r="W13" s="3394"/>
      <c r="X13" s="1388"/>
      <c r="Y13" s="1385">
        <f>(-0.163*(Y12^2)-0.59*Y12+7617)*(10^(-4))/Y11</f>
        <v>0.29638132295719849</v>
      </c>
      <c r="Z13" s="1385">
        <f t="shared" ref="Z13:AJ13" si="5">(-0.163*(Z12^2)-0.59*Z12+7617)*(10^(-4))/Z11</f>
        <v>0.29638132295719849</v>
      </c>
      <c r="AA13" s="1385">
        <f t="shared" si="5"/>
        <v>0.29638132295719849</v>
      </c>
      <c r="AB13" s="1385">
        <f t="shared" si="5"/>
        <v>0.29638132295719849</v>
      </c>
      <c r="AC13" s="1385">
        <f t="shared" si="5"/>
        <v>0.29638132295719849</v>
      </c>
      <c r="AD13" s="1385">
        <f t="shared" si="5"/>
        <v>0.29638132295719849</v>
      </c>
      <c r="AE13" s="1385">
        <f t="shared" si="5"/>
        <v>0.29638132295719849</v>
      </c>
      <c r="AF13" s="1385">
        <f t="shared" si="5"/>
        <v>0.29638132295719849</v>
      </c>
      <c r="AG13" s="1385">
        <f t="shared" si="5"/>
        <v>0.29638132295719849</v>
      </c>
      <c r="AH13" s="1385">
        <f t="shared" si="5"/>
        <v>0.29638132295719849</v>
      </c>
      <c r="AI13" s="1385">
        <f t="shared" si="5"/>
        <v>0.29638132295719849</v>
      </c>
      <c r="AJ13" s="1385">
        <f t="shared" si="5"/>
        <v>0.29638132295719849</v>
      </c>
    </row>
    <row r="14" spans="1:36" ht="15">
      <c r="A14" s="3401"/>
      <c r="B14" s="2231"/>
      <c r="C14" s="2232"/>
      <c r="D14" s="2233"/>
      <c r="E14" s="2233"/>
      <c r="F14" s="2234"/>
      <c r="G14" s="2235" t="s">
        <v>2697</v>
      </c>
      <c r="H14" s="2236"/>
      <c r="I14" s="2237"/>
      <c r="J14" s="2238"/>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5"/>
      <c r="AE14" s="3015"/>
      <c r="AF14" s="3015"/>
      <c r="AG14" s="3015"/>
      <c r="AH14" s="3015"/>
      <c r="AI14" s="3015"/>
      <c r="AJ14" s="3016"/>
    </row>
    <row r="15" spans="1:36" ht="15.75" thickBot="1">
      <c r="A15" s="3402"/>
      <c r="B15" s="2239" t="s">
        <v>2698</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4">
        <v>14</v>
      </c>
      <c r="S15" s="1375"/>
      <c r="T15" s="1374" t="e">
        <f t="shared" si="0"/>
        <v>#DIV/0!</v>
      </c>
      <c r="U15" s="1375"/>
      <c r="V15" s="1374" t="e">
        <f t="shared" si="1"/>
        <v>#DIV/0!</v>
      </c>
      <c r="W15" s="1378"/>
      <c r="X15" s="1378"/>
      <c r="Y15" s="1378"/>
      <c r="Z15" s="1378"/>
      <c r="AA15" s="1378"/>
      <c r="AB15" s="1378"/>
      <c r="AC15" s="1379"/>
      <c r="AD15" s="3015"/>
      <c r="AE15" s="3015"/>
      <c r="AF15" s="3015"/>
      <c r="AG15" s="3015"/>
      <c r="AH15" s="3015"/>
      <c r="AI15" s="3015"/>
      <c r="AJ15" s="3016"/>
    </row>
    <row r="16" spans="1:36" ht="24.6" customHeight="1">
      <c r="A16" s="3399" t="s">
        <v>2703</v>
      </c>
      <c r="B16" s="2208" t="s">
        <v>2704</v>
      </c>
      <c r="C16" s="2370" t="e">
        <f>ROUND(IF(F17="与级别开发程度一致",0,(G17-E17)/C17),0)</f>
        <v>#DIV/0!</v>
      </c>
      <c r="D16" s="3415" t="s">
        <v>2708</v>
      </c>
      <c r="E16" s="3416"/>
      <c r="F16" s="3415" t="s">
        <v>2705</v>
      </c>
      <c r="G16" s="3416"/>
      <c r="H16" s="2240"/>
      <c r="I16" s="2240"/>
      <c r="J16" s="2374"/>
      <c r="K16" s="2240"/>
      <c r="L16" s="2240"/>
      <c r="M16" s="2240"/>
      <c r="N16" s="2240"/>
      <c r="O16" s="2241"/>
      <c r="P16" s="2182"/>
      <c r="Q16" s="1280"/>
      <c r="R16" s="1374">
        <v>15</v>
      </c>
      <c r="S16" s="1375"/>
      <c r="T16" s="1374" t="e">
        <f t="shared" si="0"/>
        <v>#DIV/0!</v>
      </c>
      <c r="U16" s="1375"/>
      <c r="V16" s="1374" t="e">
        <f t="shared" si="1"/>
        <v>#DIV/0!</v>
      </c>
      <c r="W16" s="1378"/>
      <c r="X16" s="1378"/>
      <c r="Y16" s="1378"/>
      <c r="Z16" s="1378"/>
      <c r="AA16" s="1378"/>
      <c r="AB16" s="1378"/>
      <c r="AC16" s="1379"/>
      <c r="AD16" s="3015"/>
      <c r="AE16" s="3015"/>
      <c r="AF16" s="3015"/>
      <c r="AG16" s="3015"/>
      <c r="AH16" s="3015"/>
      <c r="AI16" s="3015"/>
      <c r="AJ16" s="3016"/>
    </row>
    <row r="17" spans="1:37" ht="13.5" thickBot="1">
      <c r="A17" s="3403"/>
      <c r="B17" s="2381" t="s">
        <v>2707</v>
      </c>
      <c r="C17" s="2382">
        <f>SUMPRODUCT((修正!A2:A5=E2)*(修正!B1:M1=G2)*(修正!B2:M5))</f>
        <v>0</v>
      </c>
      <c r="D17" s="193"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2710</v>
      </c>
      <c r="C18" s="2377">
        <f>SUMIF(修正!C18:C39,E3,修正!E18:E39)</f>
        <v>0</v>
      </c>
      <c r="D18" s="2378"/>
      <c r="E18" s="2379"/>
      <c r="F18" s="2379"/>
      <c r="G18" s="2379"/>
      <c r="H18" s="2379"/>
      <c r="I18" s="2379"/>
      <c r="J18" s="2380"/>
      <c r="K18" s="1287"/>
      <c r="L18" s="3014"/>
      <c r="M18" s="3014"/>
      <c r="N18" s="3014"/>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4"/>
    </row>
    <row r="19" spans="1:37" s="2201" customFormat="1" ht="27.75" thickBot="1">
      <c r="A19" s="2245" t="s">
        <v>809</v>
      </c>
      <c r="B19" s="2246" t="s">
        <v>2711</v>
      </c>
      <c r="C19" s="863" t="e">
        <f>ROUND(IF(H19="按公示增长率计算",SUMPRODUCT((地价!A3:A36=YEAR(G19)&amp;"-"&amp;ROUNDUP(MONTH(G19)/3,0))*(地价!X2:AB2=E2)*(地价!X3:AB36)),IF(H19="地价指数",M20/M19,(1+I19)^O19)),4)</f>
        <v>#VALUE!</v>
      </c>
      <c r="D19" s="2250" t="s">
        <v>2712</v>
      </c>
      <c r="E19" s="864">
        <v>41640</v>
      </c>
      <c r="F19" s="2250" t="s">
        <v>2713</v>
      </c>
      <c r="G19" s="865">
        <f>'数据-取费表'!B2</f>
        <v>44523</v>
      </c>
      <c r="H19" s="2251"/>
      <c r="I19" s="866" t="str">
        <f>IF(H19="季度增幅（自定义）",SUMIF(N21:N24,E2,O21:O24),"")</f>
        <v/>
      </c>
      <c r="J19" s="2248"/>
      <c r="K19" s="1287"/>
      <c r="L19" s="2252" t="s">
        <v>2714</v>
      </c>
      <c r="M19" s="1496">
        <f>ROUND(SUMIF(地价!B2:F2,E2,地价!B36:F36),0)</f>
        <v>0</v>
      </c>
      <c r="N19" s="2253" t="s">
        <v>2715</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17"/>
      <c r="AH19" s="2339"/>
      <c r="AI19" s="3018"/>
      <c r="AJ19" s="3018"/>
      <c r="AK19" s="2254"/>
    </row>
    <row r="20" spans="1:37" s="2201" customFormat="1" ht="27.75" thickBot="1">
      <c r="A20" s="2255" t="s">
        <v>810</v>
      </c>
      <c r="B20" s="2256" t="s">
        <v>2716</v>
      </c>
      <c r="C20" s="868" t="e">
        <f>ROUND(POWER(1+G20,J20-I20)*(POWER(1+G20,I20)-1)/(POWER(1+G20,J20)-1),4)</f>
        <v>#DIV/0!</v>
      </c>
      <c r="D20" s="2257" t="s">
        <v>2717</v>
      </c>
      <c r="E20" s="1505">
        <f>存贷款利率!E18/100</f>
        <v>4.3499999999999997E-2</v>
      </c>
      <c r="F20" s="2257" t="s">
        <v>2709</v>
      </c>
      <c r="G20" s="873">
        <f>SUMIF(M26:P26,E2,M28:P28)</f>
        <v>0</v>
      </c>
      <c r="H20" s="2257" t="s">
        <v>2718</v>
      </c>
      <c r="I20" s="874" t="e">
        <f>SUMIF('数据-取费表'!C6:C15,E2,'数据-取费表'!F6:F15)/COUNTIF('数据-取费表'!C6:C15,E2)</f>
        <v>#DIV/0!</v>
      </c>
      <c r="J20" s="875">
        <f>IF(E2="住宅",70,IF(E2="商业",40,50))</f>
        <v>50</v>
      </c>
      <c r="K20" s="1287"/>
      <c r="L20" s="2258" t="s">
        <v>2719</v>
      </c>
      <c r="M20" s="1497">
        <f>ROUND(SUMPRODUCT((地价!A4:A36=YEAR(G19)&amp;"-"&amp;ROUNDUP(MONTH(G19)/3,0))*(地价!B2:F2=E2)*(地价!B4:F36)),0)</f>
        <v>0</v>
      </c>
      <c r="N20" s="2259" t="s">
        <v>2720</v>
      </c>
      <c r="O20" s="2260" t="s">
        <v>2721</v>
      </c>
      <c r="P20" s="2261" t="s">
        <v>2722</v>
      </c>
      <c r="Q20" s="3014"/>
      <c r="R20" s="1286"/>
      <c r="S20" s="1286"/>
      <c r="T20" s="1281"/>
      <c r="U20" s="1281"/>
      <c r="V20" s="1281"/>
      <c r="W20" s="1280"/>
      <c r="X20" s="1280"/>
      <c r="Y20" s="1280"/>
      <c r="Z20" s="1287"/>
      <c r="AA20" s="1287"/>
      <c r="AB20" s="1287"/>
      <c r="AC20" s="1287"/>
      <c r="AD20" s="1287"/>
      <c r="AE20" s="1287"/>
      <c r="AF20" s="1287"/>
      <c r="AG20" s="3014"/>
      <c r="AH20" s="3014"/>
      <c r="AI20" s="3014"/>
      <c r="AJ20" s="3014"/>
    </row>
    <row r="21" spans="1:37" s="2201" customFormat="1" ht="15">
      <c r="A21" s="2262" t="s">
        <v>811</v>
      </c>
      <c r="B21" s="2263" t="s">
        <v>2723</v>
      </c>
      <c r="C21" s="876">
        <f>IF(B21="容积率修正",IF(G3&lt;=10,D22,J22),C23)</f>
        <v>0</v>
      </c>
      <c r="D21" s="2264"/>
      <c r="E21" s="2264"/>
      <c r="F21" s="2264"/>
      <c r="G21" s="2264"/>
      <c r="H21" s="2264"/>
      <c r="I21" s="2264"/>
      <c r="J21" s="2265"/>
      <c r="K21" s="1287"/>
      <c r="L21" s="3014"/>
      <c r="M21" s="3014"/>
      <c r="N21" s="2266" t="s">
        <v>2724</v>
      </c>
      <c r="O21" s="1335"/>
      <c r="P21" s="1336">
        <f>SUMPRODUCT((地价!A3:A36=YEAR(G19)&amp;"-"&amp;ROUNDUP(MONTH(G19)/3,0))*(地价!AD2:AH2=N21)*(地价!AD3:AH36))</f>
        <v>1.0500000000000001E-2</v>
      </c>
      <c r="Q21" s="3014"/>
      <c r="R21" s="1286"/>
      <c r="S21" s="1286"/>
      <c r="T21" s="1281"/>
      <c r="U21" s="1281"/>
      <c r="V21" s="1281"/>
      <c r="W21" s="1280"/>
      <c r="X21" s="1280"/>
      <c r="Y21" s="1280"/>
      <c r="Z21" s="1287"/>
      <c r="AA21" s="1287"/>
      <c r="AB21" s="1287"/>
      <c r="AC21" s="1287"/>
      <c r="AD21" s="1287"/>
      <c r="AE21" s="1287"/>
      <c r="AF21" s="1287"/>
      <c r="AG21" s="3014"/>
      <c r="AH21" s="3014"/>
      <c r="AI21" s="3014"/>
      <c r="AJ21" s="3014"/>
    </row>
    <row r="22" spans="1:37" s="2201" customFormat="1" ht="14.25">
      <c r="A22" s="2140" t="s">
        <v>2725</v>
      </c>
      <c r="B22" s="2267" t="s">
        <v>2726</v>
      </c>
      <c r="C22" s="1536" t="s">
        <v>2727</v>
      </c>
      <c r="D22" s="1536">
        <f>IF(E22=G22,F22,IF(G3&lt;=10,ROUND(F22+(H22-F22)*(G3-E22)/(G22-E22),4),"——"))</f>
        <v>0</v>
      </c>
      <c r="E22" s="855">
        <f>ROUNDDOWN(G3,1)</f>
        <v>2.5</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2.6</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4"/>
      <c r="M22" s="3014"/>
      <c r="N22" s="2266" t="s">
        <v>2728</v>
      </c>
      <c r="O22" s="1335"/>
      <c r="P22" s="1336">
        <f>SUMPRODUCT((地价!A3:A36=YEAR(G19)&amp;"-"&amp;ROUNDUP(MONTH(G19)/3,0))*(地价!AD2:AH2=N22)*(地价!AD3:AH36))</f>
        <v>1.0500000000000001E-2</v>
      </c>
      <c r="Q22" s="3014"/>
      <c r="R22" s="1286"/>
      <c r="S22" s="1286"/>
      <c r="T22" s="1281"/>
      <c r="U22" s="1281"/>
      <c r="V22" s="1281"/>
      <c r="W22" s="1280"/>
      <c r="X22" s="1280"/>
      <c r="Y22" s="1280"/>
      <c r="Z22" s="1287"/>
      <c r="AA22" s="1287"/>
      <c r="AB22" s="1287"/>
      <c r="AC22" s="1287"/>
      <c r="AD22" s="1287"/>
      <c r="AE22" s="1287"/>
      <c r="AF22" s="1287"/>
      <c r="AG22" s="3014"/>
      <c r="AH22" s="3014"/>
      <c r="AI22" s="3014"/>
      <c r="AJ22" s="3014"/>
    </row>
    <row r="23" spans="1:37" ht="27.75" thickBot="1">
      <c r="A23" s="2140" t="s">
        <v>2729</v>
      </c>
      <c r="B23" s="2268" t="s">
        <v>2730</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2731</v>
      </c>
      <c r="O23" s="1335"/>
      <c r="P23" s="1336">
        <f>SUMPRODUCT((地价!A3:A36=YEAR(G19)&amp;"-"&amp;ROUNDUP(MONTH(G19)/3,0))*(地价!AD2:AH2=N23)*(地价!AD3:AH36))</f>
        <v>1.83E-2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2732</v>
      </c>
      <c r="C24" s="863">
        <f>SUMIF(A45:A88,E2,B45:B88)</f>
        <v>0</v>
      </c>
      <c r="D24" s="2247"/>
      <c r="E24" s="2274"/>
      <c r="F24" s="2274"/>
      <c r="G24" s="2274"/>
      <c r="H24" s="2274"/>
      <c r="I24" s="2274"/>
      <c r="J24" s="2275"/>
      <c r="K24" s="1287"/>
      <c r="L24" s="3014"/>
      <c r="M24" s="3014"/>
      <c r="N24" s="2276" t="s">
        <v>2733</v>
      </c>
      <c r="O24" s="1337"/>
      <c r="P24" s="1338">
        <f>SUMPRODUCT((地价!A3:A36=YEAR(G19)&amp;"-"&amp;ROUNDUP(MONTH(G19)/3,0))*(地价!AD2:AH2=N24)*(地价!AD3:AH36))</f>
        <v>1.2200000000000001E-2</v>
      </c>
      <c r="Q24" s="3014"/>
      <c r="R24" s="1286"/>
      <c r="S24" s="1286"/>
      <c r="T24" s="1281"/>
      <c r="U24" s="1281"/>
      <c r="V24" s="1281"/>
      <c r="W24" s="1280"/>
      <c r="X24" s="1280"/>
      <c r="Y24" s="1280"/>
      <c r="Z24" s="1287"/>
      <c r="AA24" s="1287"/>
      <c r="AB24" s="1287"/>
      <c r="AC24" s="1287"/>
      <c r="AD24" s="1287"/>
      <c r="AE24" s="1287"/>
      <c r="AF24" s="1287"/>
      <c r="AG24" s="3014"/>
      <c r="AH24" s="3014"/>
      <c r="AI24" s="3014"/>
      <c r="AJ24" s="3014"/>
    </row>
    <row r="25" spans="1:37" ht="15.75" thickBot="1">
      <c r="A25" s="2255" t="s">
        <v>813</v>
      </c>
      <c r="B25" s="2277" t="s">
        <v>2734</v>
      </c>
      <c r="C25" s="869"/>
      <c r="D25" s="2211"/>
      <c r="E25" s="2211"/>
      <c r="F25" s="2278"/>
      <c r="G25" s="2211"/>
      <c r="H25" s="2211"/>
      <c r="I25" s="2211"/>
      <c r="J25" s="2212"/>
      <c r="K25" s="1280"/>
      <c r="L25" s="2182"/>
      <c r="M25" s="2182"/>
      <c r="N25" s="3009" t="s">
        <v>2735</v>
      </c>
      <c r="O25" s="3010"/>
      <c r="P25" s="3011">
        <f>SUMPRODUCT((地价!A3:A36=YEAR(G19)&amp;"-"&amp;ROUNDUP(MONTH(G19)/3,0))*(地价!AD2:AH2=N25)*(地价!AD3:AH36))</f>
        <v>1.66E-2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2736</v>
      </c>
      <c r="C26" s="2541" t="e">
        <f>IF(B21="容积率修正",E29+SUM(E33:E39),SUM(V2:V16)+SUM(E33:E39))</f>
        <v>#DIV/0!</v>
      </c>
      <c r="D26" s="2280"/>
      <c r="E26" s="2236"/>
      <c r="F26" s="2281"/>
      <c r="G26" s="2236"/>
      <c r="H26" s="2236"/>
      <c r="I26" s="2236"/>
      <c r="J26" s="2282"/>
      <c r="K26" s="1280"/>
      <c r="L26" s="3012" t="s">
        <v>2634</v>
      </c>
      <c r="M26" s="2209" t="s">
        <v>2699</v>
      </c>
      <c r="N26" s="2209" t="s">
        <v>2700</v>
      </c>
      <c r="O26" s="2209" t="s">
        <v>2701</v>
      </c>
      <c r="P26" s="3013" t="s">
        <v>2702</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2737</v>
      </c>
      <c r="C27" s="870" t="e">
        <f>E30+SUM(I33:I39)</f>
        <v>#DIV/0!</v>
      </c>
      <c r="D27" s="2284"/>
      <c r="E27" s="2285"/>
      <c r="F27" s="2286"/>
      <c r="G27" s="2285"/>
      <c r="H27" s="2285"/>
      <c r="I27" s="2285"/>
      <c r="J27" s="2287"/>
      <c r="K27" s="1280"/>
      <c r="L27" s="2242"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2738</v>
      </c>
      <c r="C28" s="2290" t="s">
        <v>2739</v>
      </c>
      <c r="D28" s="2290" t="s">
        <v>2740</v>
      </c>
      <c r="E28" s="2291" t="s">
        <v>2741</v>
      </c>
      <c r="F28" s="2292"/>
      <c r="G28" s="2224"/>
      <c r="H28" s="2224"/>
      <c r="I28" s="2224"/>
      <c r="J28" s="2225"/>
      <c r="K28" s="1280"/>
      <c r="L28" s="2243"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2742</v>
      </c>
      <c r="C29" s="180" t="e">
        <f>ROUND(C5*C18*C19*C20*C21*C24,0)</f>
        <v>#DIV/0!</v>
      </c>
      <c r="D29" s="2295"/>
      <c r="E29" s="879" t="e">
        <f>ROUND(C29*D29/10000,0)</f>
        <v>#DIV/0!</v>
      </c>
      <c r="F29" s="2296" t="s">
        <v>2743</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2744</v>
      </c>
      <c r="C30" s="193" t="e">
        <f>ROUND(IF(E2="工业",C29*M39,C29*M38),0)</f>
        <v>#DIV/0!</v>
      </c>
      <c r="D30" s="2301"/>
      <c r="E30" s="879" t="e">
        <f>ROUND(C30*D30/10000,0)</f>
        <v>#DIV/0!</v>
      </c>
      <c r="F30" s="2302" t="s">
        <v>2745</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2746</v>
      </c>
      <c r="C31" s="2307" t="s">
        <v>2747</v>
      </c>
      <c r="D31" s="2224"/>
      <c r="E31" s="2307"/>
      <c r="F31" s="2307"/>
      <c r="G31" s="2222" t="s">
        <v>2748</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2739</v>
      </c>
      <c r="D32" s="455" t="s">
        <v>2740</v>
      </c>
      <c r="E32" s="455" t="s">
        <v>2741</v>
      </c>
      <c r="F32" s="348" t="s">
        <v>2749</v>
      </c>
      <c r="G32" s="2310" t="s">
        <v>2739</v>
      </c>
      <c r="H32" s="2310" t="s">
        <v>2740</v>
      </c>
      <c r="I32" s="2310"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412"/>
      <c r="B33" s="2311" t="s">
        <v>2750</v>
      </c>
      <c r="C33" s="180" t="e">
        <f>ROUND(D5*C19*C20*C24*F33,0)</f>
        <v>#DIV/0!</v>
      </c>
      <c r="D33" s="2295"/>
      <c r="E33" s="176" t="e">
        <f>ROUND(C33*D33/10000,0)</f>
        <v>#DIV/0!</v>
      </c>
      <c r="F33" s="176">
        <f>SUMIF(修正!A45:A56,G2,修正!B45:B56)</f>
        <v>0</v>
      </c>
      <c r="G33" s="176" t="e">
        <f t="shared" ref="G33" si="6">ROUND(IF(E2="工业",C33*$M$39,C33*$M$38),0)</f>
        <v>#DIV/0!</v>
      </c>
      <c r="H33" s="176">
        <f>D33</f>
        <v>0</v>
      </c>
      <c r="I33" s="176" t="e">
        <f>ROUND(G33*H33/10000,0)</f>
        <v>#DIV/0!</v>
      </c>
      <c r="J33" s="3417"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413"/>
      <c r="B34" s="2228" t="s">
        <v>2751</v>
      </c>
      <c r="C34" s="180" t="e">
        <f>ROUND(D5*C19*C20*C24*F34,0)</f>
        <v>#DIV/0!</v>
      </c>
      <c r="D34" s="229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1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413"/>
      <c r="B35" s="2228" t="s">
        <v>2752</v>
      </c>
      <c r="C35" s="180" t="e">
        <f>ROUND(D5*C19*C20*C24*F35,0)</f>
        <v>#DIV/0!</v>
      </c>
      <c r="D35" s="2295"/>
      <c r="E35" s="176" t="e">
        <f t="shared" si="7"/>
        <v>#DIV/0!</v>
      </c>
      <c r="F35" s="176">
        <f>SUMIF(修正!A45:A56,G2,修正!D45:D56)</f>
        <v>0</v>
      </c>
      <c r="G35" s="176" t="e">
        <f>ROUND(IF(E2="工业",C35*$M$39,C35*$M$38),0)</f>
        <v>#DIV/0!</v>
      </c>
      <c r="H35" s="176">
        <f t="shared" si="8"/>
        <v>0</v>
      </c>
      <c r="I35" s="176" t="e">
        <f t="shared" si="9"/>
        <v>#DIV/0!</v>
      </c>
      <c r="J35" s="341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414"/>
      <c r="B36" s="2228" t="s">
        <v>2753</v>
      </c>
      <c r="C36" s="180" t="e">
        <f>ROUND(D5*C19*C20*C24*F36,0)</f>
        <v>#DIV/0!</v>
      </c>
      <c r="D36" s="2295"/>
      <c r="E36" s="176" t="e">
        <f t="shared" si="7"/>
        <v>#DIV/0!</v>
      </c>
      <c r="F36" s="176">
        <f>SUMIF(修正!A45:A56,G2,修正!E45:E56)</f>
        <v>0</v>
      </c>
      <c r="G36" s="176" t="e">
        <f>ROUND(IF(E2="工业",C36*$M$39,C36*$M$38),0)</f>
        <v>#DIV/0!</v>
      </c>
      <c r="H36" s="176">
        <f t="shared" si="8"/>
        <v>0</v>
      </c>
      <c r="I36" s="176" t="e">
        <f t="shared" si="9"/>
        <v>#DIV/0!</v>
      </c>
      <c r="J36" s="3414"/>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2754</v>
      </c>
      <c r="C37" s="176" t="e">
        <f>ROUND(D5*C19*C20*C24*F37,0)</f>
        <v>#DIV/0!</v>
      </c>
      <c r="D37" s="2295"/>
      <c r="E37" s="176" t="e">
        <f t="shared" si="7"/>
        <v>#DIV/0!</v>
      </c>
      <c r="F37" s="180">
        <f>SUMIF(修正!A45:A56,G2,修正!F45:F56)</f>
        <v>0</v>
      </c>
      <c r="G37" s="176" t="e">
        <f>ROUND(IF(E2="工业",C37*$M$39,C37*$M$38),0)</f>
        <v>#DIV/0!</v>
      </c>
      <c r="H37" s="176">
        <f t="shared" si="8"/>
        <v>0</v>
      </c>
      <c r="I37" s="176" t="e">
        <f t="shared" si="9"/>
        <v>#DIV/0!</v>
      </c>
      <c r="J37" s="2312"/>
      <c r="K37" s="1280"/>
      <c r="L37" s="2314" t="s">
        <v>2755</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2756</v>
      </c>
      <c r="C38" s="176" t="e">
        <f>ROUND(D5*C19*C41*C24*F38,0)</f>
        <v>#DIV/0!</v>
      </c>
      <c r="D38" s="2295"/>
      <c r="E38" s="176" t="e">
        <f t="shared" si="7"/>
        <v>#DIV/0!</v>
      </c>
      <c r="F38" s="180">
        <f>SUMIF(修正!A45:A56,G2,修正!G45:G56)</f>
        <v>0</v>
      </c>
      <c r="G38" s="176" t="e">
        <f>ROUND(IF(E2="工业",C38*$M$39,C38*$M$38),0)</f>
        <v>#DIV/0!</v>
      </c>
      <c r="H38" s="176">
        <f t="shared" si="8"/>
        <v>0</v>
      </c>
      <c r="I38" s="176" t="e">
        <f t="shared" si="9"/>
        <v>#DIV/0!</v>
      </c>
      <c r="J38" s="2312"/>
      <c r="K38" s="1280"/>
      <c r="L38" s="1605" t="s">
        <v>2757</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2758</v>
      </c>
      <c r="C39" s="193" t="e">
        <f>ROUND(D5*C19*C41*C24*F39,0)</f>
        <v>#DIV/0!</v>
      </c>
      <c r="D39" s="2301"/>
      <c r="E39" s="193" t="e">
        <f t="shared" si="7"/>
        <v>#DIV/0!</v>
      </c>
      <c r="F39" s="871">
        <f>SUMIF(修正!A45:A56,G2,修正!H45:H56)</f>
        <v>0</v>
      </c>
      <c r="G39" s="193" t="e">
        <f>ROUND(IF(E2="工业",C39*$M$39,C39*$M$38),0)</f>
        <v>#DIV/0!</v>
      </c>
      <c r="H39" s="193">
        <f t="shared" si="8"/>
        <v>0</v>
      </c>
      <c r="I39" s="193" t="e">
        <f t="shared" si="9"/>
        <v>#DIV/0!</v>
      </c>
      <c r="J39" s="2318"/>
      <c r="K39" s="1280"/>
      <c r="L39" s="2319" t="s">
        <v>2702</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2863</v>
      </c>
      <c r="C41" s="348" t="e">
        <f>ROUND(POWER(1+E41,H41-G41)*(POWER(1+E41,G41)-1)/(POWER(1+E41,H41)-1),4)</f>
        <v>#DIV/0!</v>
      </c>
      <c r="D41" s="176" t="s">
        <v>2709</v>
      </c>
      <c r="E41" s="2368">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2759</v>
      </c>
      <c r="B45" s="2323"/>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4" t="s">
        <v>2760</v>
      </c>
      <c r="B46" s="2325">
        <f>1+E48</f>
        <v>1</v>
      </c>
      <c r="C46" s="2326"/>
      <c r="D46" s="753"/>
      <c r="E46" s="754"/>
      <c r="F46" s="2327"/>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8" t="s">
        <v>2761</v>
      </c>
      <c r="B47" s="1535" t="s">
        <v>2762</v>
      </c>
      <c r="C47" s="1535" t="s">
        <v>2763</v>
      </c>
      <c r="D47" s="1535" t="s">
        <v>2764</v>
      </c>
      <c r="E47" s="758" t="s">
        <v>2765</v>
      </c>
      <c r="F47" s="2329" t="s">
        <v>2766</v>
      </c>
      <c r="G47" s="1535" t="s">
        <v>754</v>
      </c>
      <c r="H47" s="2330" t="s">
        <v>2767</v>
      </c>
      <c r="I47" s="1535" t="s">
        <v>2768</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28" t="s">
        <v>2769</v>
      </c>
      <c r="B48" s="2331" t="str">
        <f>估价对象房地状况!C4</f>
        <v>估价对象位于XX商圈，周边商业氛围成熟，人流量大，商业繁华度好</v>
      </c>
      <c r="C48" s="2233"/>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8" t="s">
        <v>2770</v>
      </c>
      <c r="B49" s="2332" t="str">
        <f>估价对象房地状况!C18</f>
        <v>估价对象周边道路状况、公共交通通达情况、停车便捷程度，综合评价交通便捷度较好</v>
      </c>
      <c r="C49" s="2233"/>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2771</v>
      </c>
      <c r="B50" s="2332">
        <f>估价对象房地状况!C19</f>
        <v>0</v>
      </c>
      <c r="C50" s="2233"/>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2772</v>
      </c>
      <c r="B51" s="2333" t="s">
        <v>2773</v>
      </c>
      <c r="C51" s="2233"/>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2774</v>
      </c>
      <c r="B52" s="2332">
        <f>估价对象房地状况!C24</f>
        <v>0</v>
      </c>
      <c r="C52" s="2233"/>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2775</v>
      </c>
      <c r="B53" s="2334" t="s">
        <v>2776</v>
      </c>
      <c r="C53" s="2233"/>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5" t="s">
        <v>2777</v>
      </c>
      <c r="B54" s="1494" t="str">
        <f>估价对象房地状况!C21</f>
        <v>估价对象所在区域公共配套设施齐备情况</v>
      </c>
      <c r="C54" s="2233"/>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2778</v>
      </c>
      <c r="B55" s="2332" t="str">
        <f>估价对象房地状况!C22</f>
        <v>估价对象所在区域基础设施水平</v>
      </c>
      <c r="C55" s="2233"/>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6" t="s">
        <v>2779</v>
      </c>
      <c r="B56" s="2337" t="str">
        <f>估价对象房地状况!C20</f>
        <v>区域自然环境：；人文环境；综合评价环境状况一般</v>
      </c>
      <c r="C56" s="2233"/>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2780</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2761</v>
      </c>
      <c r="B58" s="1535"/>
      <c r="C58" s="1535" t="s">
        <v>2763</v>
      </c>
      <c r="D58" s="1535" t="s">
        <v>2764</v>
      </c>
      <c r="E58" s="758" t="s">
        <v>2765</v>
      </c>
      <c r="F58" s="2329" t="s">
        <v>2781</v>
      </c>
      <c r="G58" s="1535" t="s">
        <v>754</v>
      </c>
      <c r="H58" s="2330" t="s">
        <v>2767</v>
      </c>
      <c r="I58" s="1535" t="s">
        <v>2768</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8" t="s">
        <v>2782</v>
      </c>
      <c r="B59" s="2331" t="str">
        <f>估价对象房地状况!C17</f>
        <v>估价对象位于XX商圈，周边办公楼项目较多，入驻率高，办公集聚程度较好</v>
      </c>
      <c r="C59" s="2233"/>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8" t="s">
        <v>2770</v>
      </c>
      <c r="B60" s="2332" t="str">
        <f>估价对象房地状况!C18</f>
        <v>估价对象周边道路状况、公共交通通达情况、停车便捷程度，综合评价交通便捷度较好</v>
      </c>
      <c r="C60" s="2233"/>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2771</v>
      </c>
      <c r="B61" s="2332">
        <f>估价对象房地状况!C19</f>
        <v>0</v>
      </c>
      <c r="C61" s="2233"/>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2772</v>
      </c>
      <c r="B62" s="2333" t="s">
        <v>2773</v>
      </c>
      <c r="C62" s="2233"/>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2774</v>
      </c>
      <c r="B63" s="2332">
        <f>估价对象房地状况!C24</f>
        <v>0</v>
      </c>
      <c r="C63" s="2233"/>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2775</v>
      </c>
      <c r="B64" s="2334" t="s">
        <v>2776</v>
      </c>
      <c r="C64" s="2233"/>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8" t="s">
        <v>2777</v>
      </c>
      <c r="B65" s="1494" t="str">
        <f>估价对象房地状况!C21</f>
        <v>估价对象所在区域公共配套设施齐备情况</v>
      </c>
      <c r="C65" s="2233"/>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2778</v>
      </c>
      <c r="B66" s="1494" t="str">
        <f>估价对象房地状况!C22</f>
        <v>估价对象所在区域基础设施水平</v>
      </c>
      <c r="C66" s="2233"/>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6" t="s">
        <v>2779</v>
      </c>
      <c r="B67" s="2338" t="str">
        <f>估价对象房地状况!C20</f>
        <v>区域自然环境：；人文环境；综合评价环境状况一般</v>
      </c>
      <c r="C67" s="2233"/>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2783</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2761</v>
      </c>
      <c r="B69" s="1535"/>
      <c r="C69" s="1535" t="s">
        <v>2763</v>
      </c>
      <c r="D69" s="1535" t="s">
        <v>2764</v>
      </c>
      <c r="E69" s="758" t="s">
        <v>2765</v>
      </c>
      <c r="F69" s="2329" t="s">
        <v>2781</v>
      </c>
      <c r="G69" s="1535" t="s">
        <v>754</v>
      </c>
      <c r="H69" s="2330" t="s">
        <v>2767</v>
      </c>
      <c r="I69" s="1535" t="s">
        <v>2768</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8" t="s">
        <v>2784</v>
      </c>
      <c r="B70" s="2331" t="str">
        <f>估价对象房地状况!C15</f>
        <v>估价对象周边居住用地比例、居住小区规模和社区发展完善程度，综合评价居住社区成熟度一般</v>
      </c>
      <c r="C70" s="2233"/>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8" t="s">
        <v>2770</v>
      </c>
      <c r="B71" s="2332" t="str">
        <f>估价对象房地状况!C18</f>
        <v>估价对象周边道路状况、公共交通通达情况、停车便捷程度，综合评价交通便捷度较好</v>
      </c>
      <c r="C71" s="2233"/>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2771</v>
      </c>
      <c r="B72" s="2332">
        <f>估价对象房地状况!C19</f>
        <v>0</v>
      </c>
      <c r="C72" s="2233"/>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2785</v>
      </c>
      <c r="B73" s="2332">
        <f>估价对象房地状况!C24</f>
        <v>0</v>
      </c>
      <c r="C73" s="2233"/>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8" t="s">
        <v>2777</v>
      </c>
      <c r="B74" s="1494" t="str">
        <f>估价对象房地状况!C21</f>
        <v>估价对象所在区域公共配套设施齐备情况</v>
      </c>
      <c r="C74" s="2233"/>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2778</v>
      </c>
      <c r="B75" s="1494" t="str">
        <f>估价对象房地状况!C22</f>
        <v>估价对象所在区域基础设施水平</v>
      </c>
      <c r="C75" s="2233"/>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2775</v>
      </c>
      <c r="B76" s="2334" t="s">
        <v>2776</v>
      </c>
      <c r="C76" s="2233"/>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38.25">
      <c r="A77" s="2328" t="s">
        <v>2779</v>
      </c>
      <c r="B77" s="2331" t="str">
        <f>估价对象房地状况!C20</f>
        <v>区域自然环境：；人文环境；综合评价环境状况一般</v>
      </c>
      <c r="C77" s="2233"/>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2786</v>
      </c>
      <c r="B78" s="2340"/>
      <c r="C78" s="2233"/>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2787</v>
      </c>
      <c r="B79" s="2325">
        <f>1+E81</f>
        <v>1</v>
      </c>
      <c r="C79" s="753"/>
      <c r="D79" s="753"/>
      <c r="E79" s="754"/>
      <c r="F79" s="2327"/>
      <c r="G79" s="6"/>
      <c r="H79" s="6"/>
      <c r="I79" s="6"/>
      <c r="J79" s="7"/>
      <c r="K79" s="7"/>
      <c r="L79" s="7"/>
      <c r="M79" s="7"/>
      <c r="N79" s="7"/>
      <c r="Z79" s="2183"/>
      <c r="AA79" s="2249"/>
      <c r="AG79" s="1282"/>
      <c r="AK79" s="2249"/>
    </row>
    <row r="80" spans="1:37" ht="24.75">
      <c r="A80" s="2328" t="s">
        <v>2761</v>
      </c>
      <c r="B80" s="1535"/>
      <c r="C80" s="1535" t="s">
        <v>2763</v>
      </c>
      <c r="D80" s="1535" t="s">
        <v>2764</v>
      </c>
      <c r="E80" s="758" t="s">
        <v>2765</v>
      </c>
      <c r="F80" s="2329" t="s">
        <v>2781</v>
      </c>
      <c r="G80" s="1535" t="s">
        <v>754</v>
      </c>
      <c r="H80" s="2330" t="s">
        <v>2767</v>
      </c>
      <c r="I80" s="1535" t="s">
        <v>2768</v>
      </c>
      <c r="J80" s="560" t="s">
        <v>2417</v>
      </c>
      <c r="K80" s="560" t="s">
        <v>2418</v>
      </c>
      <c r="L80" s="560" t="s">
        <v>2419</v>
      </c>
      <c r="M80" s="560" t="s">
        <v>2420</v>
      </c>
      <c r="N80" s="560" t="s">
        <v>2421</v>
      </c>
      <c r="Z80" s="2183"/>
      <c r="AA80" s="2249"/>
      <c r="AG80" s="1282"/>
      <c r="AK80" s="2249"/>
    </row>
    <row r="81" spans="1:37" ht="38.25">
      <c r="A81" s="2328" t="s">
        <v>2788</v>
      </c>
      <c r="B81" s="2332" t="str">
        <f>估价对象房地状况!G15</f>
        <v>估价对象位于XX开发区，园区建设成熟度XX，产业集聚程度XX</v>
      </c>
      <c r="C81" s="2233"/>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2770</v>
      </c>
      <c r="B82" s="2332" t="str">
        <f>估价对象房地状况!G16</f>
        <v>估价对象周边道路状况、公共交通通达情况、停车便捷程度，综合评价交通便捷度较好</v>
      </c>
      <c r="C82" s="2233"/>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2771</v>
      </c>
      <c r="B83" s="2332">
        <f>估价对象房地状况!G17</f>
        <v>0</v>
      </c>
      <c r="C83" s="2233"/>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2785</v>
      </c>
      <c r="B84" s="2332">
        <f>估价对象房地状况!G22</f>
        <v>0</v>
      </c>
      <c r="C84" s="2233"/>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2777</v>
      </c>
      <c r="B85" s="1494" t="str">
        <f>估价对象房地状况!G19</f>
        <v>估价对象所在区域公共配套设施齐备情况</v>
      </c>
      <c r="C85" s="2233"/>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2778</v>
      </c>
      <c r="B86" s="1494" t="str">
        <f>估价对象房地状况!G20</f>
        <v>估价对象所在区域基础设施水平</v>
      </c>
      <c r="C86" s="2233"/>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2775</v>
      </c>
      <c r="B87" s="2334" t="s">
        <v>2789</v>
      </c>
      <c r="C87" s="2233"/>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2790</v>
      </c>
      <c r="B88" s="2341" t="str">
        <f>估价对象房地状况!G18</f>
        <v>该园区内是否有污染型企业，绿化情况，卫生条件，整体环境状况判断</v>
      </c>
      <c r="C88" s="2233"/>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404" t="s">
        <v>2791</v>
      </c>
      <c r="B90" s="3404"/>
      <c r="C90" s="3404"/>
      <c r="D90" s="3404"/>
      <c r="E90" s="3404"/>
      <c r="F90" s="3404"/>
      <c r="G90" s="3404"/>
      <c r="H90" s="3404"/>
      <c r="I90" s="3404"/>
      <c r="J90" s="3404"/>
      <c r="K90" s="2342"/>
      <c r="L90" s="2342"/>
      <c r="M90" s="2342"/>
      <c r="N90" s="2342"/>
    </row>
    <row r="91" spans="1:37">
      <c r="A91" s="3406" t="s">
        <v>2792</v>
      </c>
      <c r="B91" s="3406" t="s">
        <v>2793</v>
      </c>
      <c r="C91" s="2296" t="s">
        <v>2794</v>
      </c>
      <c r="D91" s="2297"/>
      <c r="E91" s="2297"/>
      <c r="F91" s="2297"/>
      <c r="G91" s="2297"/>
      <c r="H91" s="2297"/>
      <c r="I91" s="2297"/>
      <c r="J91" s="2343"/>
      <c r="K91" s="2344"/>
      <c r="L91" s="2344"/>
      <c r="M91" s="2344"/>
      <c r="N91" s="2344"/>
    </row>
    <row r="92" spans="1:37">
      <c r="A92" s="3406"/>
      <c r="B92" s="3406"/>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407" t="s">
        <v>2795</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408"/>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408"/>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408"/>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408"/>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408"/>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408"/>
      <c r="B99" s="2345" t="s">
        <v>2677</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409"/>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407" t="s">
        <v>2796</v>
      </c>
      <c r="B101" s="2349" t="s">
        <v>2797</v>
      </c>
      <c r="C101" s="2350">
        <f>$G$3</f>
        <v>2.57</v>
      </c>
      <c r="D101" s="2350">
        <f t="shared" ref="D101:N101" si="31">$G$3</f>
        <v>2.57</v>
      </c>
      <c r="E101" s="2350">
        <f t="shared" si="31"/>
        <v>2.57</v>
      </c>
      <c r="F101" s="2350">
        <f t="shared" si="31"/>
        <v>2.57</v>
      </c>
      <c r="G101" s="2350">
        <f t="shared" si="31"/>
        <v>2.57</v>
      </c>
      <c r="H101" s="2350">
        <f t="shared" si="31"/>
        <v>2.57</v>
      </c>
      <c r="I101" s="2350">
        <f t="shared" si="31"/>
        <v>2.57</v>
      </c>
      <c r="J101" s="2350">
        <f t="shared" si="31"/>
        <v>2.57</v>
      </c>
      <c r="K101" s="2350">
        <f t="shared" si="31"/>
        <v>2.57</v>
      </c>
      <c r="L101" s="2350">
        <f t="shared" si="31"/>
        <v>2.57</v>
      </c>
      <c r="M101" s="2350">
        <f t="shared" si="31"/>
        <v>2.57</v>
      </c>
      <c r="N101" s="2350">
        <f t="shared" si="31"/>
        <v>2.57</v>
      </c>
    </row>
    <row r="102" spans="1:14">
      <c r="A102" s="3408"/>
      <c r="B102" s="2345">
        <v>1</v>
      </c>
      <c r="C102" s="2346">
        <f>1.9362/C101</f>
        <v>0.75338521400778213</v>
      </c>
      <c r="D102" s="2346">
        <f>1.9362/D101</f>
        <v>0.75338521400778213</v>
      </c>
      <c r="E102" s="2346">
        <f>1.8629/E101</f>
        <v>0.72486381322957205</v>
      </c>
      <c r="F102" s="2346">
        <f>1.8629/F101</f>
        <v>0.72486381322957205</v>
      </c>
      <c r="G102" s="2346">
        <f>1.8629/G101</f>
        <v>0.72486381322957205</v>
      </c>
      <c r="H102" s="2346">
        <f>1.8629/H101</f>
        <v>0.72486381322957205</v>
      </c>
      <c r="I102" s="2346">
        <f>1.8629/I101</f>
        <v>0.72486381322957205</v>
      </c>
      <c r="J102" s="2346">
        <f>1.942/J101</f>
        <v>0.75564202334630348</v>
      </c>
      <c r="K102" s="2346">
        <f>1.942/K101</f>
        <v>0.75564202334630348</v>
      </c>
      <c r="L102" s="2346">
        <f>1.942/L101</f>
        <v>0.75564202334630348</v>
      </c>
      <c r="M102" s="2346">
        <f>1.942/M101</f>
        <v>0.75564202334630348</v>
      </c>
      <c r="N102" s="2346">
        <f>1.942/N101</f>
        <v>0.75564202334630348</v>
      </c>
    </row>
    <row r="103" spans="1:14">
      <c r="A103" s="3408"/>
      <c r="B103" s="2345">
        <v>2</v>
      </c>
      <c r="C103" s="2346">
        <f>1.4198/C101</f>
        <v>0.55245136186770427</v>
      </c>
      <c r="D103" s="2346">
        <f>1.4198/D101</f>
        <v>0.55245136186770427</v>
      </c>
      <c r="E103" s="2346">
        <f>1.3372/E101</f>
        <v>0.52031128404669258</v>
      </c>
      <c r="F103" s="2346">
        <f>1.3372/F101</f>
        <v>0.52031128404669258</v>
      </c>
      <c r="G103" s="2346">
        <f>1.3372/G101</f>
        <v>0.52031128404669258</v>
      </c>
      <c r="H103" s="2346">
        <f>1.3372/H101</f>
        <v>0.52031128404669258</v>
      </c>
      <c r="I103" s="2346">
        <f>1.3372/I101</f>
        <v>0.52031128404669258</v>
      </c>
      <c r="J103" s="2346">
        <f>1.2799/J101</f>
        <v>0.49801556420233467</v>
      </c>
      <c r="K103" s="2346">
        <f>1.2799/K101</f>
        <v>0.49801556420233467</v>
      </c>
      <c r="L103" s="2346">
        <f>1.2799/L101</f>
        <v>0.49801556420233467</v>
      </c>
      <c r="M103" s="2346">
        <f>1.2799/M101</f>
        <v>0.49801556420233467</v>
      </c>
      <c r="N103" s="2346">
        <f>1.2799/N101</f>
        <v>0.49801556420233467</v>
      </c>
    </row>
    <row r="104" spans="1:14">
      <c r="A104" s="3408"/>
      <c r="B104" s="2345">
        <v>3</v>
      </c>
      <c r="C104" s="2346">
        <f>1.1594/C101</f>
        <v>0.45112840466926074</v>
      </c>
      <c r="D104" s="2346">
        <f>1.1594/D101</f>
        <v>0.45112840466926074</v>
      </c>
      <c r="E104" s="2346">
        <f>1.0788/E101</f>
        <v>0.41976653696498056</v>
      </c>
      <c r="F104" s="2346">
        <f>1.0788/F101</f>
        <v>0.41976653696498056</v>
      </c>
      <c r="G104" s="2346">
        <f>1.0788/G101</f>
        <v>0.41976653696498056</v>
      </c>
      <c r="H104" s="2346">
        <f>1.0788/H101</f>
        <v>0.41976653696498056</v>
      </c>
      <c r="I104" s="2346">
        <f>1.0788/I101</f>
        <v>0.41976653696498056</v>
      </c>
      <c r="J104" s="2346">
        <f>1.0072/J101</f>
        <v>0.39190661478599226</v>
      </c>
      <c r="K104" s="2346">
        <f>1.0072/K101</f>
        <v>0.39190661478599226</v>
      </c>
      <c r="L104" s="2346">
        <f>1.0072/L101</f>
        <v>0.39190661478599226</v>
      </c>
      <c r="M104" s="2346">
        <f>1.0072/M101</f>
        <v>0.39190661478599226</v>
      </c>
      <c r="N104" s="2346">
        <f>1.0072/N101</f>
        <v>0.39190661478599226</v>
      </c>
    </row>
    <row r="105" spans="1:14">
      <c r="A105" s="3408"/>
      <c r="B105" s="2345">
        <v>4</v>
      </c>
      <c r="C105" s="2346">
        <f>0.9622/C101</f>
        <v>0.37439688715953312</v>
      </c>
      <c r="D105" s="2346">
        <f>0.9622/D101</f>
        <v>0.37439688715953312</v>
      </c>
      <c r="E105" s="2346">
        <f>0.8656/E101</f>
        <v>0.33680933852140083</v>
      </c>
      <c r="F105" s="2346">
        <f>0.8656/F101</f>
        <v>0.33680933852140083</v>
      </c>
      <c r="G105" s="2346">
        <f>0.8656/G101</f>
        <v>0.33680933852140083</v>
      </c>
      <c r="H105" s="2346">
        <f>0.8656/H101</f>
        <v>0.33680933852140083</v>
      </c>
      <c r="I105" s="2346">
        <f>0.8656/I101</f>
        <v>0.33680933852140083</v>
      </c>
      <c r="J105" s="2346">
        <f>0.7525/J101</f>
        <v>0.29280155642023348</v>
      </c>
      <c r="K105" s="2346">
        <f>0.7525/K101</f>
        <v>0.29280155642023348</v>
      </c>
      <c r="L105" s="2346">
        <f>0.7525/L101</f>
        <v>0.29280155642023348</v>
      </c>
      <c r="M105" s="2346">
        <f>0.7525/M101</f>
        <v>0.29280155642023348</v>
      </c>
      <c r="N105" s="2346">
        <f>0.7525/N101</f>
        <v>0.29280155642023348</v>
      </c>
    </row>
    <row r="106" spans="1:14">
      <c r="A106" s="3408"/>
      <c r="B106" s="2345">
        <v>5</v>
      </c>
      <c r="C106" s="2346">
        <f>0.8417/C101</f>
        <v>0.32750972762645919</v>
      </c>
      <c r="D106" s="2346">
        <f>0.8417/D101</f>
        <v>0.32750972762645919</v>
      </c>
      <c r="E106" s="2346">
        <f>0.7371/E101</f>
        <v>0.28680933852140078</v>
      </c>
      <c r="F106" s="2346">
        <f>0.7371/F101</f>
        <v>0.28680933852140078</v>
      </c>
      <c r="G106" s="2346">
        <f>0.7371/G101</f>
        <v>0.28680933852140078</v>
      </c>
      <c r="H106" s="2346">
        <f>0.7371/H101</f>
        <v>0.28680933852140078</v>
      </c>
      <c r="I106" s="2346">
        <f>0.7371/I101</f>
        <v>0.28680933852140078</v>
      </c>
      <c r="J106" s="2346">
        <f>0.5659/J101</f>
        <v>0.22019455252918288</v>
      </c>
      <c r="K106" s="2346">
        <f>0.5659/K101</f>
        <v>0.22019455252918288</v>
      </c>
      <c r="L106" s="2346">
        <f>0.5659/L101</f>
        <v>0.22019455252918288</v>
      </c>
      <c r="M106" s="2346">
        <f>0.5659/M101</f>
        <v>0.22019455252918288</v>
      </c>
      <c r="N106" s="2346">
        <f>0.5659/N101</f>
        <v>0.22019455252918288</v>
      </c>
    </row>
    <row r="107" spans="1:14">
      <c r="A107" s="3408"/>
      <c r="B107" s="2345">
        <v>6</v>
      </c>
      <c r="C107" s="2346">
        <f>0.7608/C101</f>
        <v>0.29603112840466927</v>
      </c>
      <c r="D107" s="2346">
        <f>0.7608/D101</f>
        <v>0.29603112840466927</v>
      </c>
      <c r="E107" s="2346">
        <f>0.6482/E101</f>
        <v>0.25221789883268486</v>
      </c>
      <c r="F107" s="2346">
        <f>0.6482/F101</f>
        <v>0.25221789883268486</v>
      </c>
      <c r="G107" s="2346">
        <f>0.6482/G101</f>
        <v>0.25221789883268486</v>
      </c>
      <c r="H107" s="2346">
        <f>0.6482/H101</f>
        <v>0.25221789883268486</v>
      </c>
      <c r="I107" s="2346">
        <f>0.6482/I101</f>
        <v>0.25221789883268486</v>
      </c>
      <c r="J107" s="2346">
        <f>0.4525/J101</f>
        <v>0.17607003891050585</v>
      </c>
      <c r="K107" s="2346">
        <f>0.4525/K101</f>
        <v>0.17607003891050585</v>
      </c>
      <c r="L107" s="2346">
        <f>0.4525/L101</f>
        <v>0.17607003891050585</v>
      </c>
      <c r="M107" s="2346">
        <f>0.4525/M101</f>
        <v>0.17607003891050585</v>
      </c>
      <c r="N107" s="2346">
        <f>0.4525/N101</f>
        <v>0.17607003891050585</v>
      </c>
    </row>
    <row r="108" spans="1:14">
      <c r="A108" s="3408"/>
      <c r="B108" s="3410" t="s">
        <v>2798</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409"/>
      <c r="B109" s="3411"/>
      <c r="C109" s="2348">
        <f>(-0.163*(C108^2)-0.59*C108+7617)*(10^(-4))/C101</f>
        <v>0.29638132295719849</v>
      </c>
      <c r="D109" s="2348">
        <f>(-0.163*(D108^2)-0.59*D108+7617)*(10^(-4))/D101</f>
        <v>0.29638132295719849</v>
      </c>
      <c r="E109" s="2348">
        <f>(-0.161*(E108^2)-7.509*E108+6533)*(10^(-4))/E101</f>
        <v>0.25420233463035019</v>
      </c>
      <c r="F109" s="2348">
        <f>(-0.161*(F108^2)-7.509*F108+6533)*(10^(-4))/F101</f>
        <v>0.25420233463035019</v>
      </c>
      <c r="G109" s="2348">
        <f>(-0.161*(G108^2)-7.509*G108+6533)*(10^(-4))/G101</f>
        <v>0.25420233463035019</v>
      </c>
      <c r="H109" s="2348">
        <f>(-0.161*(H108^2)-7.509*H108+6533)*(10^(-4))/H101</f>
        <v>0.25420233463035019</v>
      </c>
      <c r="I109" s="2348">
        <f>(-0.161*(I108^2)-7.509*I108+6533)*(10^(-4))/I101</f>
        <v>0.25420233463035019</v>
      </c>
      <c r="J109" s="2348">
        <f>(-0.214*(J108^2)-21.991*J108+4665)*(10^(-4))/J101</f>
        <v>0.18151750972762648</v>
      </c>
      <c r="K109" s="2348">
        <f>(-0.214*(K108^2)-21.991*K108+4665)*(10^(-4))/K101</f>
        <v>0.18151750972762648</v>
      </c>
      <c r="L109" s="2348">
        <f>(-0.214*(L108^2)-21.991*L108+4665)*(10^(-4))/L101</f>
        <v>0.18151750972762648</v>
      </c>
      <c r="M109" s="2348">
        <f>(-0.214*(M108^2)-21.991*M108+4665)*(10^(-4))/M101</f>
        <v>0.18151750972762648</v>
      </c>
      <c r="N109" s="2348">
        <f>(-0.214*(N108^2)-21.991*N108+4665)*(10^(-4))/N101</f>
        <v>0.18151750972762648</v>
      </c>
    </row>
    <row r="110" spans="1:14">
      <c r="A110" s="3405" t="s">
        <v>2799</v>
      </c>
      <c r="B110" s="3405"/>
      <c r="C110" s="3405"/>
      <c r="D110" s="3405"/>
      <c r="E110" s="3405"/>
      <c r="F110" s="3405"/>
      <c r="G110" s="3405"/>
      <c r="H110" s="3405"/>
      <c r="I110" s="3405"/>
      <c r="J110" s="3405"/>
      <c r="K110" s="2351"/>
      <c r="L110" s="2351"/>
      <c r="M110" s="2351"/>
      <c r="N110" s="2351"/>
    </row>
    <row r="112" spans="1:14" ht="13.5" thickBot="1"/>
    <row r="113" spans="1:13" ht="25.5" thickBot="1">
      <c r="A113" s="842" t="s">
        <v>2800</v>
      </c>
      <c r="B113" s="1197">
        <f>G3</f>
        <v>2.57</v>
      </c>
      <c r="C113" s="843" t="s">
        <v>2801</v>
      </c>
      <c r="D113" s="844">
        <f>SUMPRODUCT((A115:A118=F113)*(B114:M114=H113)*B115:M118)</f>
        <v>0</v>
      </c>
      <c r="E113" s="2187" t="s">
        <v>2634</v>
      </c>
      <c r="F113" s="2353">
        <f>E2</f>
        <v>0</v>
      </c>
      <c r="G113" s="2187" t="s">
        <v>2635</v>
      </c>
      <c r="H113" s="2353">
        <f>G2</f>
        <v>0</v>
      </c>
      <c r="I113" s="2187"/>
      <c r="J113" s="2354"/>
      <c r="K113" s="2354"/>
      <c r="L113" s="2354"/>
      <c r="M113" s="2354"/>
    </row>
    <row r="114" spans="1:13">
      <c r="A114" s="847"/>
      <c r="B114" s="2355" t="s">
        <v>2802</v>
      </c>
      <c r="C114" s="2355" t="s">
        <v>2803</v>
      </c>
      <c r="D114" s="2355" t="s">
        <v>2804</v>
      </c>
      <c r="E114" s="2356" t="s">
        <v>2805</v>
      </c>
      <c r="F114" s="2356" t="s">
        <v>2806</v>
      </c>
      <c r="G114" s="2356" t="s">
        <v>2807</v>
      </c>
      <c r="H114" s="2357" t="s">
        <v>2808</v>
      </c>
      <c r="I114" s="2357" t="s">
        <v>2809</v>
      </c>
      <c r="J114" s="2358" t="s">
        <v>2810</v>
      </c>
      <c r="K114" s="2358" t="s">
        <v>2811</v>
      </c>
      <c r="L114" s="2358" t="s">
        <v>2812</v>
      </c>
      <c r="M114" s="2359" t="s">
        <v>2813</v>
      </c>
    </row>
    <row r="115" spans="1:13">
      <c r="A115" s="848" t="s">
        <v>2699</v>
      </c>
      <c r="B115" s="849">
        <f>ROUND(0.9335-0.0094*B113,4)</f>
        <v>0.9093</v>
      </c>
      <c r="C115" s="849">
        <f>B115</f>
        <v>0.9093</v>
      </c>
      <c r="D115" s="849">
        <f>ROUND(0.8331-0.0109*B113,4)</f>
        <v>0.80510000000000004</v>
      </c>
      <c r="E115" s="849">
        <f>D115</f>
        <v>0.80510000000000004</v>
      </c>
      <c r="F115" s="849">
        <f>E115</f>
        <v>0.80510000000000004</v>
      </c>
      <c r="G115" s="849">
        <f>F115</f>
        <v>0.80510000000000004</v>
      </c>
      <c r="H115" s="849">
        <f>G115</f>
        <v>0.80510000000000004</v>
      </c>
      <c r="I115" s="849">
        <f>ROUND(0.689-0.0155*B113,4)</f>
        <v>0.6492</v>
      </c>
      <c r="J115" s="849">
        <f t="shared" ref="J115:M118" si="33">I115</f>
        <v>0.6492</v>
      </c>
      <c r="K115" s="849">
        <f t="shared" si="33"/>
        <v>0.6492</v>
      </c>
      <c r="L115" s="849">
        <f t="shared" si="33"/>
        <v>0.6492</v>
      </c>
      <c r="M115" s="850">
        <f t="shared" si="33"/>
        <v>0.6492</v>
      </c>
    </row>
    <row r="116" spans="1:13">
      <c r="A116" s="848" t="s">
        <v>2700</v>
      </c>
      <c r="B116" s="849">
        <f>ROUND(0.949-0.012*B113,4)</f>
        <v>0.91820000000000002</v>
      </c>
      <c r="C116" s="849">
        <f>B116</f>
        <v>0.91820000000000002</v>
      </c>
      <c r="D116" s="849">
        <f>ROUND(0.8567-0.013*B113,4)</f>
        <v>0.82330000000000003</v>
      </c>
      <c r="E116" s="849">
        <f t="shared" ref="E116:H117" si="34">D116</f>
        <v>0.82330000000000003</v>
      </c>
      <c r="F116" s="849">
        <f t="shared" si="34"/>
        <v>0.82330000000000003</v>
      </c>
      <c r="G116" s="849">
        <f t="shared" si="34"/>
        <v>0.82330000000000003</v>
      </c>
      <c r="H116" s="849">
        <f t="shared" si="34"/>
        <v>0.82330000000000003</v>
      </c>
      <c r="I116" s="849">
        <f>ROUND(0.7694-0.014*B113,4)</f>
        <v>0.73340000000000005</v>
      </c>
      <c r="J116" s="849">
        <f t="shared" si="33"/>
        <v>0.73340000000000005</v>
      </c>
      <c r="K116" s="849">
        <f t="shared" si="33"/>
        <v>0.73340000000000005</v>
      </c>
      <c r="L116" s="849">
        <f t="shared" si="33"/>
        <v>0.73340000000000005</v>
      </c>
      <c r="M116" s="850">
        <f t="shared" si="33"/>
        <v>0.73340000000000005</v>
      </c>
    </row>
    <row r="117" spans="1:13">
      <c r="A117" s="848" t="s">
        <v>2701</v>
      </c>
      <c r="B117" s="849">
        <f>ROUND(0.8808-0.006*B113,4)</f>
        <v>0.86539999999999995</v>
      </c>
      <c r="C117" s="849">
        <f>B117</f>
        <v>0.86539999999999995</v>
      </c>
      <c r="D117" s="849">
        <f>ROUND(0.8748-0.008*B113,4)</f>
        <v>0.85419999999999996</v>
      </c>
      <c r="E117" s="849">
        <f t="shared" si="34"/>
        <v>0.85419999999999996</v>
      </c>
      <c r="F117" s="849">
        <f t="shared" si="34"/>
        <v>0.85419999999999996</v>
      </c>
      <c r="G117" s="849">
        <f t="shared" si="34"/>
        <v>0.85419999999999996</v>
      </c>
      <c r="H117" s="849">
        <f t="shared" si="34"/>
        <v>0.85419999999999996</v>
      </c>
      <c r="I117" s="849">
        <f>ROUND(0.7412-0.0095*B113,4)</f>
        <v>0.71679999999999999</v>
      </c>
      <c r="J117" s="849">
        <f t="shared" si="33"/>
        <v>0.71679999999999999</v>
      </c>
      <c r="K117" s="849">
        <f t="shared" si="33"/>
        <v>0.71679999999999999</v>
      </c>
      <c r="L117" s="849">
        <f t="shared" si="33"/>
        <v>0.71679999999999999</v>
      </c>
      <c r="M117" s="850">
        <f t="shared" si="33"/>
        <v>0.71679999999999999</v>
      </c>
    </row>
    <row r="118" spans="1:13" ht="13.5" thickBot="1">
      <c r="A118" s="670" t="s">
        <v>2702</v>
      </c>
      <c r="B118" s="851">
        <f>ROUND(0.7275-0.01*B113,4)</f>
        <v>0.70179999999999998</v>
      </c>
      <c r="C118" s="851">
        <f>B118</f>
        <v>0.70179999999999998</v>
      </c>
      <c r="D118" s="851">
        <f>ROUND(0.7043-0.012*B113,4)</f>
        <v>0.67349999999999999</v>
      </c>
      <c r="E118" s="851">
        <f>D118</f>
        <v>0.67349999999999999</v>
      </c>
      <c r="F118" s="851">
        <f>E118</f>
        <v>0.67349999999999999</v>
      </c>
      <c r="G118" s="851">
        <f>ROUND(0.6299-0.0122*B113,4)</f>
        <v>0.59850000000000003</v>
      </c>
      <c r="H118" s="851">
        <f>G118</f>
        <v>0.59850000000000003</v>
      </c>
      <c r="I118" s="851">
        <f>ROUND(0.5667-0.0136*B113,4)</f>
        <v>0.53169999999999995</v>
      </c>
      <c r="J118" s="851">
        <f t="shared" si="33"/>
        <v>0.53169999999999995</v>
      </c>
      <c r="K118" s="851">
        <f t="shared" si="33"/>
        <v>0.53169999999999995</v>
      </c>
      <c r="L118" s="851">
        <f t="shared" si="33"/>
        <v>0.53169999999999995</v>
      </c>
      <c r="M118" s="852">
        <f t="shared" si="33"/>
        <v>0.53169999999999995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8" t="s">
        <v>183</v>
      </c>
      <c r="B18" s="821" t="s">
        <v>560</v>
      </c>
      <c r="C18" s="822" t="s">
        <v>561</v>
      </c>
      <c r="D18" s="823"/>
      <c r="E18" s="821">
        <v>1</v>
      </c>
      <c r="F18" s="824" t="s">
        <v>562</v>
      </c>
      <c r="G18" s="825"/>
      <c r="H18" s="817"/>
      <c r="I18" s="817"/>
    </row>
    <row r="19" spans="1:9" s="826" customFormat="1" ht="19.5" customHeight="1">
      <c r="A19" s="3418"/>
      <c r="B19" s="3418" t="s">
        <v>563</v>
      </c>
      <c r="C19" s="822" t="s">
        <v>564</v>
      </c>
      <c r="D19" s="823"/>
      <c r="E19" s="821">
        <v>0.9</v>
      </c>
      <c r="F19" s="824" t="s">
        <v>565</v>
      </c>
      <c r="G19" s="825"/>
      <c r="H19" s="817"/>
      <c r="I19" s="817"/>
    </row>
    <row r="20" spans="1:9" s="826" customFormat="1" ht="19.5" customHeight="1">
      <c r="A20" s="3418"/>
      <c r="B20" s="3418"/>
      <c r="C20" s="822" t="s">
        <v>566</v>
      </c>
      <c r="D20" s="823"/>
      <c r="E20" s="821">
        <v>1.1000000000000001</v>
      </c>
      <c r="F20" s="824" t="s">
        <v>567</v>
      </c>
      <c r="G20" s="825"/>
      <c r="H20" s="817"/>
      <c r="I20" s="817"/>
    </row>
    <row r="21" spans="1:9" s="826" customFormat="1" ht="19.5" customHeight="1">
      <c r="A21" s="3418"/>
      <c r="B21" s="3418"/>
      <c r="C21" s="822" t="s">
        <v>568</v>
      </c>
      <c r="D21" s="823"/>
      <c r="E21" s="821">
        <v>0.8</v>
      </c>
      <c r="F21" s="824" t="s">
        <v>569</v>
      </c>
      <c r="G21" s="825"/>
      <c r="H21" s="817"/>
      <c r="I21" s="817"/>
    </row>
    <row r="22" spans="1:9" s="826" customFormat="1" ht="19.5" customHeight="1">
      <c r="A22" s="3418"/>
      <c r="B22" s="3418"/>
      <c r="C22" s="822" t="s">
        <v>570</v>
      </c>
      <c r="D22" s="823"/>
      <c r="E22" s="821">
        <v>0.5</v>
      </c>
      <c r="F22" s="824"/>
      <c r="G22" s="825"/>
      <c r="H22" s="817"/>
      <c r="I22" s="817"/>
    </row>
    <row r="23" spans="1:9" s="826" customFormat="1" ht="19.5" customHeight="1">
      <c r="A23" s="3418" t="s">
        <v>184</v>
      </c>
      <c r="B23" s="821" t="s">
        <v>560</v>
      </c>
      <c r="C23" s="822" t="s">
        <v>571</v>
      </c>
      <c r="D23" s="823"/>
      <c r="E23" s="821">
        <v>1</v>
      </c>
      <c r="F23" s="824" t="s">
        <v>572</v>
      </c>
      <c r="G23" s="825"/>
      <c r="H23" s="817"/>
      <c r="I23" s="817"/>
    </row>
    <row r="24" spans="1:9" s="826" customFormat="1" ht="19.5" customHeight="1">
      <c r="A24" s="3418"/>
      <c r="B24" s="3418" t="s">
        <v>563</v>
      </c>
      <c r="C24" s="822" t="s">
        <v>573</v>
      </c>
      <c r="D24" s="823"/>
      <c r="E24" s="821">
        <v>0.5</v>
      </c>
      <c r="F24" s="824"/>
      <c r="G24" s="825"/>
      <c r="H24" s="817"/>
      <c r="I24" s="817"/>
    </row>
    <row r="25" spans="1:9" s="826" customFormat="1" ht="19.5" customHeight="1">
      <c r="A25" s="3418"/>
      <c r="B25" s="3418"/>
      <c r="C25" s="822" t="s">
        <v>574</v>
      </c>
      <c r="D25" s="823"/>
      <c r="E25" s="821">
        <v>1.1000000000000001</v>
      </c>
      <c r="F25" s="824"/>
      <c r="G25" s="825"/>
      <c r="H25" s="817"/>
      <c r="I25" s="817"/>
    </row>
    <row r="26" spans="1:9" s="826" customFormat="1" ht="19.5" customHeight="1">
      <c r="A26" s="3418"/>
      <c r="B26" s="3418"/>
      <c r="C26" s="822" t="s">
        <v>575</v>
      </c>
      <c r="D26" s="823"/>
      <c r="E26" s="821">
        <v>1.1000000000000001</v>
      </c>
      <c r="F26" s="824"/>
      <c r="G26" s="825"/>
      <c r="H26" s="817"/>
      <c r="I26" s="817"/>
    </row>
    <row r="27" spans="1:9" s="826" customFormat="1" ht="19.5" customHeight="1">
      <c r="A27" s="3418"/>
      <c r="B27" s="3418"/>
      <c r="C27" s="822" t="s">
        <v>576</v>
      </c>
      <c r="D27" s="823"/>
      <c r="E27" s="821">
        <v>0.9</v>
      </c>
      <c r="F27" s="824" t="s">
        <v>577</v>
      </c>
      <c r="G27" s="825"/>
      <c r="H27" s="817"/>
      <c r="I27" s="817"/>
    </row>
    <row r="28" spans="1:9" s="826" customFormat="1" ht="19.5" customHeight="1">
      <c r="A28" s="3418"/>
      <c r="B28" s="3418"/>
      <c r="C28" s="822" t="s">
        <v>578</v>
      </c>
      <c r="D28" s="823"/>
      <c r="E28" s="821">
        <v>0.9</v>
      </c>
      <c r="F28" s="824" t="s">
        <v>579</v>
      </c>
      <c r="G28" s="825"/>
      <c r="H28" s="817"/>
      <c r="I28" s="817"/>
    </row>
    <row r="29" spans="1:9" s="826" customFormat="1" ht="19.5" customHeight="1">
      <c r="A29" s="3418"/>
      <c r="B29" s="3418"/>
      <c r="C29" s="822" t="s">
        <v>580</v>
      </c>
      <c r="D29" s="823"/>
      <c r="E29" s="821">
        <v>0.9</v>
      </c>
      <c r="F29" s="824" t="s">
        <v>581</v>
      </c>
      <c r="G29" s="825"/>
      <c r="H29" s="817"/>
      <c r="I29" s="817"/>
    </row>
    <row r="30" spans="1:9" s="826" customFormat="1" ht="19.5" customHeight="1">
      <c r="A30" s="3418"/>
      <c r="B30" s="3418"/>
      <c r="C30" s="822" t="s">
        <v>582</v>
      </c>
      <c r="D30" s="823"/>
      <c r="E30" s="821">
        <v>0.9</v>
      </c>
      <c r="F30" s="824" t="s">
        <v>583</v>
      </c>
      <c r="G30" s="825"/>
      <c r="H30" s="817"/>
      <c r="I30" s="817"/>
    </row>
    <row r="31" spans="1:9" s="826" customFormat="1" ht="19.5" customHeight="1">
      <c r="A31" s="3418"/>
      <c r="B31" s="3418"/>
      <c r="C31" s="822" t="s">
        <v>584</v>
      </c>
      <c r="D31" s="823"/>
      <c r="E31" s="821">
        <v>0.8</v>
      </c>
      <c r="F31" s="824" t="s">
        <v>585</v>
      </c>
      <c r="G31" s="825"/>
      <c r="H31" s="817"/>
      <c r="I31" s="817"/>
    </row>
    <row r="32" spans="1:9" s="826" customFormat="1" ht="19.5" customHeight="1">
      <c r="A32" s="3418"/>
      <c r="B32" s="3418"/>
      <c r="C32" s="822" t="s">
        <v>586</v>
      </c>
      <c r="D32" s="823"/>
      <c r="E32" s="821">
        <v>0.8</v>
      </c>
      <c r="F32" s="824" t="s">
        <v>587</v>
      </c>
      <c r="G32" s="825"/>
      <c r="H32" s="817"/>
      <c r="I32" s="817"/>
    </row>
    <row r="33" spans="1:9" s="826" customFormat="1" ht="19.5" customHeight="1">
      <c r="A33" s="3418" t="s">
        <v>185</v>
      </c>
      <c r="B33" s="821" t="s">
        <v>560</v>
      </c>
      <c r="C33" s="822" t="s">
        <v>588</v>
      </c>
      <c r="D33" s="823"/>
      <c r="E33" s="821">
        <v>1</v>
      </c>
      <c r="F33" s="824" t="s">
        <v>589</v>
      </c>
      <c r="G33" s="825"/>
      <c r="H33" s="817"/>
      <c r="I33" s="817"/>
    </row>
    <row r="34" spans="1:9" s="826" customFormat="1" ht="19.5" customHeight="1">
      <c r="A34" s="3418"/>
      <c r="B34" s="821" t="s">
        <v>563</v>
      </c>
      <c r="C34" s="822" t="s">
        <v>590</v>
      </c>
      <c r="D34" s="823"/>
      <c r="E34" s="821">
        <v>1.5</v>
      </c>
      <c r="F34" s="824" t="s">
        <v>591</v>
      </c>
      <c r="G34" s="825"/>
      <c r="H34" s="817"/>
      <c r="I34" s="817"/>
    </row>
    <row r="35" spans="1:9" s="826" customFormat="1" ht="19.5" customHeight="1">
      <c r="A35" s="3418" t="s">
        <v>186</v>
      </c>
      <c r="B35" s="821" t="s">
        <v>560</v>
      </c>
      <c r="C35" s="822" t="s">
        <v>592</v>
      </c>
      <c r="D35" s="823"/>
      <c r="E35" s="821">
        <v>1</v>
      </c>
      <c r="F35" s="824" t="s">
        <v>593</v>
      </c>
      <c r="G35" s="825"/>
      <c r="H35" s="817"/>
      <c r="I35" s="817"/>
    </row>
    <row r="36" spans="1:9" s="826" customFormat="1" ht="19.5" customHeight="1">
      <c r="A36" s="3418"/>
      <c r="B36" s="3418" t="s">
        <v>563</v>
      </c>
      <c r="C36" s="822" t="s">
        <v>594</v>
      </c>
      <c r="D36" s="823"/>
      <c r="E36" s="821">
        <v>1</v>
      </c>
      <c r="F36" s="824" t="s">
        <v>595</v>
      </c>
      <c r="G36" s="825"/>
      <c r="H36" s="817"/>
      <c r="I36" s="817"/>
    </row>
    <row r="37" spans="1:9" s="826" customFormat="1" ht="19.5" customHeight="1">
      <c r="A37" s="3418"/>
      <c r="B37" s="3418"/>
      <c r="C37" s="822" t="s">
        <v>596</v>
      </c>
      <c r="D37" s="823"/>
      <c r="E37" s="821">
        <v>1.5</v>
      </c>
      <c r="F37" s="824" t="s">
        <v>597</v>
      </c>
      <c r="G37" s="825"/>
      <c r="H37" s="817"/>
      <c r="I37" s="817"/>
    </row>
    <row r="38" spans="1:9" s="826" customFormat="1" ht="19.5" customHeight="1">
      <c r="A38" s="3418"/>
      <c r="B38" s="3418"/>
      <c r="C38" s="822" t="s">
        <v>598</v>
      </c>
      <c r="D38" s="823"/>
      <c r="E38" s="821">
        <v>1</v>
      </c>
      <c r="F38" s="824" t="s">
        <v>599</v>
      </c>
      <c r="G38" s="825"/>
      <c r="H38" s="817"/>
      <c r="I38" s="817"/>
    </row>
    <row r="39" spans="1:9" s="826" customFormat="1" ht="19.5" customHeight="1">
      <c r="A39" s="3418"/>
      <c r="B39" s="341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8" t="s">
        <v>614</v>
      </c>
      <c r="C61" s="757" t="s">
        <v>615</v>
      </c>
      <c r="D61" s="757" t="s">
        <v>616</v>
      </c>
      <c r="E61" s="834">
        <v>0.5</v>
      </c>
      <c r="F61" s="821">
        <v>80</v>
      </c>
    </row>
    <row r="62" spans="1:8" s="817" customFormat="1" ht="24">
      <c r="A62" s="821">
        <v>2</v>
      </c>
      <c r="B62" s="3418"/>
      <c r="C62" s="757" t="s">
        <v>617</v>
      </c>
      <c r="D62" s="757" t="s">
        <v>618</v>
      </c>
      <c r="E62" s="834">
        <v>0.5</v>
      </c>
      <c r="F62" s="821">
        <v>80</v>
      </c>
    </row>
    <row r="63" spans="1:8" s="817" customFormat="1" ht="36">
      <c r="A63" s="821">
        <v>3</v>
      </c>
      <c r="B63" s="3418"/>
      <c r="C63" s="757" t="s">
        <v>619</v>
      </c>
      <c r="D63" s="757" t="s">
        <v>620</v>
      </c>
      <c r="E63" s="834">
        <v>0.5</v>
      </c>
      <c r="F63" s="821">
        <v>80</v>
      </c>
    </row>
    <row r="64" spans="1:8" s="817" customFormat="1" ht="36">
      <c r="A64" s="821">
        <v>4</v>
      </c>
      <c r="B64" s="3418"/>
      <c r="C64" s="757" t="s">
        <v>621</v>
      </c>
      <c r="D64" s="757" t="s">
        <v>622</v>
      </c>
      <c r="E64" s="834">
        <v>0.4</v>
      </c>
      <c r="F64" s="821">
        <v>60</v>
      </c>
    </row>
    <row r="65" spans="1:6" s="817" customFormat="1" ht="36">
      <c r="A65" s="821">
        <v>5</v>
      </c>
      <c r="B65" s="3418"/>
      <c r="C65" s="757" t="s">
        <v>623</v>
      </c>
      <c r="D65" s="757" t="s">
        <v>624</v>
      </c>
      <c r="E65" s="834">
        <v>0.2</v>
      </c>
      <c r="F65" s="821">
        <v>30</v>
      </c>
    </row>
    <row r="66" spans="1:6" s="817" customFormat="1" ht="36">
      <c r="A66" s="821">
        <v>6</v>
      </c>
      <c r="B66" s="3418"/>
      <c r="C66" s="757" t="s">
        <v>625</v>
      </c>
      <c r="D66" s="757" t="s">
        <v>626</v>
      </c>
      <c r="E66" s="834">
        <v>0.3</v>
      </c>
      <c r="F66" s="821">
        <v>50</v>
      </c>
    </row>
    <row r="67" spans="1:6" s="817" customFormat="1" ht="36">
      <c r="A67" s="821">
        <v>7</v>
      </c>
      <c r="B67" s="3418"/>
      <c r="C67" s="757" t="s">
        <v>627</v>
      </c>
      <c r="D67" s="757" t="s">
        <v>628</v>
      </c>
      <c r="E67" s="834">
        <v>0.2</v>
      </c>
      <c r="F67" s="821">
        <v>30</v>
      </c>
    </row>
    <row r="68" spans="1:6" s="817" customFormat="1" ht="36">
      <c r="A68" s="821">
        <v>8</v>
      </c>
      <c r="B68" s="3418"/>
      <c r="C68" s="757" t="s">
        <v>629</v>
      </c>
      <c r="D68" s="757" t="s">
        <v>630</v>
      </c>
      <c r="E68" s="834">
        <v>0.2</v>
      </c>
      <c r="F68" s="821">
        <v>30</v>
      </c>
    </row>
    <row r="69" spans="1:6" s="817" customFormat="1" ht="36">
      <c r="A69" s="821">
        <v>9</v>
      </c>
      <c r="B69" s="3418"/>
      <c r="C69" s="757" t="s">
        <v>631</v>
      </c>
      <c r="D69" s="757" t="s">
        <v>632</v>
      </c>
      <c r="E69" s="834">
        <v>0.2</v>
      </c>
      <c r="F69" s="821">
        <v>30</v>
      </c>
    </row>
    <row r="70" spans="1:6" s="817" customFormat="1" ht="48">
      <c r="A70" s="821">
        <v>10</v>
      </c>
      <c r="B70" s="3418"/>
      <c r="C70" s="757" t="s">
        <v>633</v>
      </c>
      <c r="D70" s="757" t="s">
        <v>634</v>
      </c>
      <c r="E70" s="834">
        <v>0.2</v>
      </c>
      <c r="F70" s="821">
        <v>30</v>
      </c>
    </row>
    <row r="71" spans="1:6" s="817" customFormat="1" ht="48">
      <c r="A71" s="821">
        <v>11</v>
      </c>
      <c r="B71" s="3418"/>
      <c r="C71" s="757" t="s">
        <v>635</v>
      </c>
      <c r="D71" s="757" t="s">
        <v>636</v>
      </c>
      <c r="E71" s="834">
        <v>0.2</v>
      </c>
      <c r="F71" s="821">
        <v>30</v>
      </c>
    </row>
    <row r="72" spans="1:6" s="817" customFormat="1" ht="36">
      <c r="A72" s="821">
        <v>12</v>
      </c>
      <c r="B72" s="3418"/>
      <c r="C72" s="757" t="s">
        <v>637</v>
      </c>
      <c r="D72" s="757" t="s">
        <v>638</v>
      </c>
      <c r="E72" s="834">
        <v>0.5</v>
      </c>
      <c r="F72" s="821">
        <v>80</v>
      </c>
    </row>
    <row r="73" spans="1:6" s="817" customFormat="1" ht="24">
      <c r="A73" s="821">
        <v>13</v>
      </c>
      <c r="B73" s="3418"/>
      <c r="C73" s="757" t="s">
        <v>639</v>
      </c>
      <c r="D73" s="757" t="s">
        <v>640</v>
      </c>
      <c r="E73" s="834">
        <v>0.4</v>
      </c>
      <c r="F73" s="821">
        <v>60</v>
      </c>
    </row>
    <row r="74" spans="1:6" s="817" customFormat="1" ht="24">
      <c r="A74" s="821">
        <v>14</v>
      </c>
      <c r="B74" s="3418"/>
      <c r="C74" s="757" t="s">
        <v>641</v>
      </c>
      <c r="D74" s="757" t="s">
        <v>642</v>
      </c>
      <c r="E74" s="834">
        <v>0.2</v>
      </c>
      <c r="F74" s="821">
        <v>30</v>
      </c>
    </row>
    <row r="75" spans="1:6" s="817" customFormat="1" ht="24">
      <c r="A75" s="821">
        <v>15</v>
      </c>
      <c r="B75" s="3418"/>
      <c r="C75" s="757" t="s">
        <v>643</v>
      </c>
      <c r="D75" s="757" t="s">
        <v>644</v>
      </c>
      <c r="E75" s="834">
        <v>0.2</v>
      </c>
      <c r="F75" s="821">
        <v>30</v>
      </c>
    </row>
    <row r="76" spans="1:6" s="817" customFormat="1" ht="24">
      <c r="A76" s="821">
        <v>16</v>
      </c>
      <c r="B76" s="3418" t="s">
        <v>645</v>
      </c>
      <c r="C76" s="757" t="s">
        <v>646</v>
      </c>
      <c r="D76" s="757" t="s">
        <v>647</v>
      </c>
      <c r="E76" s="834">
        <v>0.5</v>
      </c>
      <c r="F76" s="821">
        <v>80</v>
      </c>
    </row>
    <row r="77" spans="1:6" s="817" customFormat="1" ht="24">
      <c r="A77" s="821">
        <v>17</v>
      </c>
      <c r="B77" s="3418"/>
      <c r="C77" s="757" t="s">
        <v>648</v>
      </c>
      <c r="D77" s="757" t="s">
        <v>649</v>
      </c>
      <c r="E77" s="834">
        <v>0.5</v>
      </c>
      <c r="F77" s="821">
        <v>80</v>
      </c>
    </row>
    <row r="78" spans="1:6" s="817" customFormat="1" ht="24">
      <c r="A78" s="821">
        <v>18</v>
      </c>
      <c r="B78" s="3418"/>
      <c r="C78" s="757" t="s">
        <v>650</v>
      </c>
      <c r="D78" s="757" t="s">
        <v>651</v>
      </c>
      <c r="E78" s="834">
        <v>0.2</v>
      </c>
      <c r="F78" s="821">
        <v>30</v>
      </c>
    </row>
    <row r="79" spans="1:6" s="817" customFormat="1" ht="24">
      <c r="A79" s="821">
        <v>19</v>
      </c>
      <c r="B79" s="3418"/>
      <c r="C79" s="757" t="s">
        <v>652</v>
      </c>
      <c r="D79" s="757" t="s">
        <v>653</v>
      </c>
      <c r="E79" s="834">
        <v>0.5</v>
      </c>
      <c r="F79" s="821">
        <v>80</v>
      </c>
    </row>
    <row r="80" spans="1:6" s="817" customFormat="1" ht="36">
      <c r="A80" s="821">
        <v>20</v>
      </c>
      <c r="B80" s="3418"/>
      <c r="C80" s="757" t="s">
        <v>654</v>
      </c>
      <c r="D80" s="757" t="s">
        <v>655</v>
      </c>
      <c r="E80" s="834">
        <v>0.2</v>
      </c>
      <c r="F80" s="821">
        <v>30</v>
      </c>
    </row>
    <row r="81" spans="1:6" s="817" customFormat="1" ht="36">
      <c r="A81" s="821">
        <v>21</v>
      </c>
      <c r="B81" s="3418"/>
      <c r="C81" s="757" t="s">
        <v>656</v>
      </c>
      <c r="D81" s="757" t="s">
        <v>657</v>
      </c>
      <c r="E81" s="834">
        <v>0.2</v>
      </c>
      <c r="F81" s="821">
        <v>30</v>
      </c>
    </row>
    <row r="82" spans="1:6" s="817" customFormat="1" ht="48">
      <c r="A82" s="821">
        <v>22</v>
      </c>
      <c r="B82" s="3418"/>
      <c r="C82" s="757" t="s">
        <v>658</v>
      </c>
      <c r="D82" s="757" t="s">
        <v>659</v>
      </c>
      <c r="E82" s="834">
        <v>0.2</v>
      </c>
      <c r="F82" s="821">
        <v>30</v>
      </c>
    </row>
    <row r="83" spans="1:6" s="817" customFormat="1" ht="48">
      <c r="A83" s="821">
        <v>23</v>
      </c>
      <c r="B83" s="3418"/>
      <c r="C83" s="757" t="s">
        <v>660</v>
      </c>
      <c r="D83" s="757" t="s">
        <v>661</v>
      </c>
      <c r="E83" s="834">
        <v>0.2</v>
      </c>
      <c r="F83" s="821">
        <v>30</v>
      </c>
    </row>
    <row r="84" spans="1:6" s="817" customFormat="1" ht="36">
      <c r="A84" s="821">
        <v>24</v>
      </c>
      <c r="B84" s="3418"/>
      <c r="C84" s="757" t="s">
        <v>662</v>
      </c>
      <c r="D84" s="757" t="s">
        <v>663</v>
      </c>
      <c r="E84" s="834">
        <v>0.2</v>
      </c>
      <c r="F84" s="821">
        <v>30</v>
      </c>
    </row>
    <row r="85" spans="1:6" s="817" customFormat="1" ht="36">
      <c r="A85" s="821">
        <v>25</v>
      </c>
      <c r="B85" s="3418"/>
      <c r="C85" s="757" t="s">
        <v>664</v>
      </c>
      <c r="D85" s="757" t="s">
        <v>665</v>
      </c>
      <c r="E85" s="834">
        <v>0.5</v>
      </c>
      <c r="F85" s="821">
        <v>80</v>
      </c>
    </row>
    <row r="86" spans="1:6" s="817" customFormat="1" ht="36">
      <c r="A86" s="821">
        <v>26</v>
      </c>
      <c r="B86" s="3418"/>
      <c r="C86" s="757" t="s">
        <v>666</v>
      </c>
      <c r="D86" s="757" t="s">
        <v>667</v>
      </c>
      <c r="E86" s="834">
        <v>0.2</v>
      </c>
      <c r="F86" s="821">
        <v>30</v>
      </c>
    </row>
    <row r="87" spans="1:6" s="817" customFormat="1" ht="36">
      <c r="A87" s="821">
        <v>27</v>
      </c>
      <c r="B87" s="3418"/>
      <c r="C87" s="757" t="s">
        <v>668</v>
      </c>
      <c r="D87" s="757" t="s">
        <v>669</v>
      </c>
      <c r="E87" s="834">
        <v>0.2</v>
      </c>
      <c r="F87" s="821">
        <v>30</v>
      </c>
    </row>
    <row r="88" spans="1:6" s="817" customFormat="1" ht="36">
      <c r="A88" s="821">
        <v>28</v>
      </c>
      <c r="B88" s="3418"/>
      <c r="C88" s="757" t="s">
        <v>670</v>
      </c>
      <c r="D88" s="757" t="s">
        <v>671</v>
      </c>
      <c r="E88" s="834">
        <v>0.2</v>
      </c>
      <c r="F88" s="821">
        <v>30</v>
      </c>
    </row>
    <row r="89" spans="1:6" s="817" customFormat="1" ht="24">
      <c r="A89" s="821">
        <v>29</v>
      </c>
      <c r="B89" s="3418"/>
      <c r="C89" s="757" t="s">
        <v>672</v>
      </c>
      <c r="D89" s="757" t="s">
        <v>673</v>
      </c>
      <c r="E89" s="834">
        <v>0.2</v>
      </c>
      <c r="F89" s="821">
        <v>30</v>
      </c>
    </row>
    <row r="90" spans="1:6" s="817" customFormat="1" ht="24">
      <c r="A90" s="821">
        <v>30</v>
      </c>
      <c r="B90" s="3418"/>
      <c r="C90" s="757" t="s">
        <v>674</v>
      </c>
      <c r="D90" s="757" t="s">
        <v>675</v>
      </c>
      <c r="E90" s="834">
        <v>0.2</v>
      </c>
      <c r="F90" s="821">
        <v>30</v>
      </c>
    </row>
    <row r="91" spans="1:6" s="817" customFormat="1" ht="36">
      <c r="A91" s="821">
        <v>31</v>
      </c>
      <c r="B91" s="3418"/>
      <c r="C91" s="757" t="s">
        <v>676</v>
      </c>
      <c r="D91" s="757" t="s">
        <v>677</v>
      </c>
      <c r="E91" s="834">
        <v>0.2</v>
      </c>
      <c r="F91" s="821">
        <v>30</v>
      </c>
    </row>
    <row r="92" spans="1:6" s="817" customFormat="1" ht="24">
      <c r="A92" s="821">
        <v>32</v>
      </c>
      <c r="B92" s="3418" t="s">
        <v>678</v>
      </c>
      <c r="C92" s="821" t="s">
        <v>679</v>
      </c>
      <c r="D92" s="757" t="s">
        <v>680</v>
      </c>
      <c r="E92" s="834">
        <v>0.2</v>
      </c>
      <c r="F92" s="821">
        <v>30</v>
      </c>
    </row>
    <row r="93" spans="1:6" s="817" customFormat="1" ht="36">
      <c r="A93" s="821">
        <v>33</v>
      </c>
      <c r="B93" s="3418"/>
      <c r="C93" s="821" t="s">
        <v>681</v>
      </c>
      <c r="D93" s="757" t="s">
        <v>682</v>
      </c>
      <c r="E93" s="834">
        <v>0.2</v>
      </c>
      <c r="F93" s="821">
        <v>30</v>
      </c>
    </row>
    <row r="94" spans="1:6" s="817" customFormat="1" ht="48">
      <c r="A94" s="821">
        <v>34</v>
      </c>
      <c r="B94" s="3418"/>
      <c r="C94" s="821" t="s">
        <v>683</v>
      </c>
      <c r="D94" s="757" t="s">
        <v>684</v>
      </c>
      <c r="E94" s="834">
        <v>0.2</v>
      </c>
      <c r="F94" s="821">
        <v>30</v>
      </c>
    </row>
    <row r="95" spans="1:6" s="817" customFormat="1" ht="36">
      <c r="A95" s="821">
        <v>35</v>
      </c>
      <c r="B95" s="3418"/>
      <c r="C95" s="821" t="s">
        <v>685</v>
      </c>
      <c r="D95" s="757" t="s">
        <v>686</v>
      </c>
      <c r="E95" s="834">
        <v>0.2</v>
      </c>
      <c r="F95" s="821">
        <v>30</v>
      </c>
    </row>
    <row r="96" spans="1:6" s="817" customFormat="1" ht="48">
      <c r="A96" s="821">
        <v>36</v>
      </c>
      <c r="B96" s="3418"/>
      <c r="C96" s="757" t="s">
        <v>687</v>
      </c>
      <c r="D96" s="757" t="s">
        <v>688</v>
      </c>
      <c r="E96" s="834">
        <v>0.2</v>
      </c>
      <c r="F96" s="821">
        <v>30</v>
      </c>
    </row>
    <row r="97" spans="1:6" s="817" customFormat="1" ht="36">
      <c r="A97" s="821">
        <v>37</v>
      </c>
      <c r="B97" s="3418"/>
      <c r="C97" s="821" t="s">
        <v>689</v>
      </c>
      <c r="D97" s="757" t="s">
        <v>690</v>
      </c>
      <c r="E97" s="834">
        <v>0.2</v>
      </c>
      <c r="F97" s="821">
        <v>30</v>
      </c>
    </row>
    <row r="98" spans="1:6" s="817" customFormat="1" ht="36">
      <c r="A98" s="821">
        <v>38</v>
      </c>
      <c r="B98" s="3418"/>
      <c r="C98" s="821" t="s">
        <v>691</v>
      </c>
      <c r="D98" s="757" t="s">
        <v>692</v>
      </c>
      <c r="E98" s="834">
        <v>0.2</v>
      </c>
      <c r="F98" s="821">
        <v>30</v>
      </c>
    </row>
    <row r="99" spans="1:6" s="817" customFormat="1" ht="36">
      <c r="A99" s="821">
        <v>39</v>
      </c>
      <c r="B99" s="3418" t="s">
        <v>693</v>
      </c>
      <c r="C99" s="821" t="s">
        <v>694</v>
      </c>
      <c r="D99" s="757" t="s">
        <v>695</v>
      </c>
      <c r="E99" s="834">
        <v>0.3</v>
      </c>
      <c r="F99" s="821">
        <v>50</v>
      </c>
    </row>
    <row r="100" spans="1:6" s="817" customFormat="1" ht="24">
      <c r="A100" s="821">
        <v>40</v>
      </c>
      <c r="B100" s="3418"/>
      <c r="C100" s="821" t="s">
        <v>696</v>
      </c>
      <c r="D100" s="757" t="s">
        <v>697</v>
      </c>
      <c r="E100" s="834">
        <v>0.2</v>
      </c>
      <c r="F100" s="821">
        <v>30</v>
      </c>
    </row>
    <row r="101" spans="1:6" s="817" customFormat="1" ht="36">
      <c r="A101" s="821">
        <v>41</v>
      </c>
      <c r="B101" s="341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8" t="s">
        <v>708</v>
      </c>
      <c r="C105" s="821" t="s">
        <v>709</v>
      </c>
      <c r="D105" s="757" t="s">
        <v>710</v>
      </c>
      <c r="E105" s="834">
        <v>0.2</v>
      </c>
      <c r="F105" s="821">
        <v>30</v>
      </c>
    </row>
    <row r="106" spans="1:6" s="817" customFormat="1" ht="36">
      <c r="A106" s="821">
        <v>46</v>
      </c>
      <c r="B106" s="3418"/>
      <c r="C106" s="821" t="s">
        <v>711</v>
      </c>
      <c r="D106" s="757" t="s">
        <v>712</v>
      </c>
      <c r="E106" s="834">
        <v>0.2</v>
      </c>
      <c r="F106" s="821">
        <v>30</v>
      </c>
    </row>
    <row r="107" spans="1:6" s="817" customFormat="1" ht="36">
      <c r="A107" s="821">
        <v>47</v>
      </c>
      <c r="B107" s="3418" t="s">
        <v>713</v>
      </c>
      <c r="C107" s="821" t="s">
        <v>714</v>
      </c>
      <c r="D107" s="757" t="s">
        <v>715</v>
      </c>
      <c r="E107" s="834">
        <v>0.3</v>
      </c>
      <c r="F107" s="821">
        <v>50</v>
      </c>
    </row>
    <row r="108" spans="1:6" s="817" customFormat="1" ht="36">
      <c r="A108" s="821">
        <v>48</v>
      </c>
      <c r="B108" s="341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8" t="s">
        <v>724</v>
      </c>
      <c r="C111" s="821" t="s">
        <v>725</v>
      </c>
      <c r="D111" s="757" t="s">
        <v>726</v>
      </c>
      <c r="E111" s="834">
        <v>0.2</v>
      </c>
      <c r="F111" s="821">
        <v>30</v>
      </c>
    </row>
    <row r="112" spans="1:6" s="817" customFormat="1" ht="24">
      <c r="A112" s="821">
        <v>52</v>
      </c>
      <c r="B112" s="3418"/>
      <c r="C112" s="821" t="s">
        <v>727</v>
      </c>
      <c r="D112" s="757" t="s">
        <v>728</v>
      </c>
      <c r="E112" s="834">
        <v>0.2</v>
      </c>
      <c r="F112" s="821">
        <v>30</v>
      </c>
    </row>
    <row r="113" spans="1:6" s="817" customFormat="1" ht="24">
      <c r="A113" s="821">
        <v>53</v>
      </c>
      <c r="B113" s="341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8" t="s">
        <v>737</v>
      </c>
      <c r="C116" s="821" t="s">
        <v>738</v>
      </c>
      <c r="D116" s="757" t="s">
        <v>739</v>
      </c>
      <c r="E116" s="834">
        <v>0.2</v>
      </c>
      <c r="F116" s="821">
        <v>30</v>
      </c>
    </row>
    <row r="117" spans="1:6" ht="36">
      <c r="A117" s="821">
        <v>57</v>
      </c>
      <c r="B117" s="341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2"/>
      <c r="C1" s="2362"/>
      <c r="D1" s="2362"/>
      <c r="E1" s="2362"/>
      <c r="F1" s="3019"/>
      <c r="G1" s="3019"/>
      <c r="H1" s="3019"/>
      <c r="I1" s="3019"/>
      <c r="J1" s="3019"/>
      <c r="K1" s="3019"/>
      <c r="L1" s="3019"/>
      <c r="M1" s="3019"/>
      <c r="N1" s="3019"/>
      <c r="O1" s="3019"/>
      <c r="P1" s="3019"/>
    </row>
    <row r="2" spans="1:16" ht="15.75">
      <c r="A2" s="2360" t="s">
        <v>2814</v>
      </c>
      <c r="B2" s="2824" t="e">
        <f ca="1">SUMIF(B6:B13,"&lt;&gt;#ref!",B6:B13)</f>
        <v>#DIV/0!</v>
      </c>
      <c r="C2" s="2360" t="s">
        <v>2815</v>
      </c>
      <c r="D2" s="2360" t="s">
        <v>2816</v>
      </c>
      <c r="E2" s="2834">
        <f ca="1">SUMIF(E6:E13,"&lt;&gt;#ref!",E6:E13)</f>
        <v>0</v>
      </c>
      <c r="F2" s="3019"/>
      <c r="G2" s="3019"/>
      <c r="H2" s="3019"/>
      <c r="I2" s="3019"/>
      <c r="J2" s="3019"/>
      <c r="K2" s="3019"/>
      <c r="L2" s="3019"/>
      <c r="M2" s="3019"/>
      <c r="N2" s="3019"/>
      <c r="O2" s="3019"/>
      <c r="P2" s="3019"/>
    </row>
    <row r="3" spans="1:16" ht="15.75">
      <c r="A3" s="2360" t="s">
        <v>2817</v>
      </c>
      <c r="B3" s="2824" t="e">
        <f ca="1">ROUND(B2*10000/E2,0)</f>
        <v>#DIV/0!</v>
      </c>
      <c r="C3" s="2360" t="s">
        <v>2823</v>
      </c>
      <c r="D3" s="3019"/>
      <c r="E3" s="3019"/>
      <c r="F3" s="3019"/>
      <c r="G3" s="3019"/>
      <c r="H3" s="3019"/>
      <c r="I3" s="3019"/>
      <c r="J3" s="3019"/>
      <c r="K3" s="3019"/>
      <c r="L3" s="3019"/>
      <c r="M3" s="3019"/>
      <c r="N3" s="3019"/>
      <c r="O3" s="3019"/>
      <c r="P3" s="3019"/>
    </row>
    <row r="4" spans="1:16" ht="15.75">
      <c r="A4" s="3020"/>
      <c r="B4" s="3019"/>
      <c r="C4" s="3019"/>
      <c r="D4" s="3019"/>
      <c r="E4" s="3019"/>
      <c r="F4" s="3019"/>
      <c r="G4" s="3019"/>
      <c r="H4" s="3019"/>
      <c r="I4" s="3019"/>
      <c r="J4" s="3019"/>
      <c r="K4" s="3019"/>
      <c r="L4" s="3019"/>
      <c r="M4" s="3019"/>
      <c r="N4" s="3019"/>
      <c r="O4" s="3019"/>
      <c r="P4" s="3019"/>
    </row>
    <row r="5" spans="1:16" ht="28.5">
      <c r="A5" s="2830" t="s">
        <v>2818</v>
      </c>
      <c r="B5" s="2832" t="s">
        <v>2819</v>
      </c>
      <c r="C5" s="2361"/>
      <c r="D5" s="3019"/>
      <c r="E5" s="2833" t="s">
        <v>2820</v>
      </c>
      <c r="F5" s="3019"/>
      <c r="G5" s="3019"/>
      <c r="H5" s="3019"/>
      <c r="I5" s="3019"/>
      <c r="J5" s="3019"/>
      <c r="K5" s="3019"/>
      <c r="L5" s="3019"/>
      <c r="M5" s="3019"/>
      <c r="N5" s="3019"/>
      <c r="O5" s="3019"/>
      <c r="P5" s="3019"/>
    </row>
    <row r="6" spans="1:16" ht="15.75">
      <c r="A6" s="2831" t="s">
        <v>2821</v>
      </c>
      <c r="B6" s="2824" t="e">
        <f ca="1">SUMIF(INDIRECT("'"&amp;A6&amp;"'"&amp;"!A:A"),"总价",INDIRECT("'"&amp;A6&amp;"'"&amp;"!B:B"))</f>
        <v>#DIV/0!</v>
      </c>
      <c r="C6" s="2360" t="s">
        <v>2815</v>
      </c>
      <c r="D6" s="3019"/>
      <c r="E6" s="2834">
        <f ca="1">SUMIF(INDIRECT("'"&amp;A6&amp;"'"&amp;"!C:C"),"建筑面积",INDIRECT("'"&amp;A6&amp;"'"&amp;"!D:D"))</f>
        <v>0</v>
      </c>
      <c r="F6" s="3019"/>
      <c r="G6" s="3019"/>
      <c r="H6" s="3019"/>
      <c r="I6" s="3019"/>
      <c r="J6" s="3019"/>
      <c r="K6" s="3019"/>
      <c r="L6" s="3019"/>
      <c r="M6" s="3019"/>
      <c r="N6" s="3019"/>
      <c r="O6" s="3019"/>
      <c r="P6" s="3019"/>
    </row>
    <row r="7" spans="1:16" ht="15.75">
      <c r="A7" s="2831"/>
      <c r="B7" s="2824" t="e">
        <f ca="1">SUMIF(INDIRECT("'"&amp;A7&amp;"'"&amp;"!A:A"),"总价",INDIRECT("'"&amp;A7&amp;"'"&amp;"!B:B"))</f>
        <v>#REF!</v>
      </c>
      <c r="C7" s="2360" t="s">
        <v>2815</v>
      </c>
      <c r="D7" s="3019"/>
      <c r="E7" s="2834" t="e">
        <f t="shared" ref="E7:E13" ca="1" si="0">SUMIF(INDIRECT("'"&amp;A7&amp;"'"&amp;"!C:C"),"建筑面积",INDIRECT("'"&amp;A7&amp;"'"&amp;"!D:D"))</f>
        <v>#REF!</v>
      </c>
      <c r="F7" s="3019"/>
      <c r="G7" s="3019"/>
      <c r="H7" s="3019"/>
      <c r="I7" s="3019"/>
      <c r="J7" s="3019"/>
      <c r="K7" s="3019"/>
      <c r="L7" s="3019"/>
      <c r="M7" s="3019"/>
      <c r="N7" s="3019"/>
      <c r="O7" s="3019"/>
      <c r="P7" s="3019"/>
    </row>
    <row r="8" spans="1:16" ht="15.75">
      <c r="A8" s="2831"/>
      <c r="B8" s="2824" t="e">
        <f t="shared" ref="B8:B13" ca="1" si="1">SUMIF(INDIRECT("'"&amp;A8&amp;"'"&amp;"!A:A"),"总价",INDIRECT("'"&amp;A8&amp;"'"&amp;"!B:B"))</f>
        <v>#REF!</v>
      </c>
      <c r="C8" s="2360" t="s">
        <v>2815</v>
      </c>
      <c r="D8" s="3019"/>
      <c r="E8" s="2834" t="e">
        <f t="shared" ca="1" si="0"/>
        <v>#REF!</v>
      </c>
      <c r="F8" s="3019"/>
      <c r="G8" s="3019"/>
      <c r="H8" s="3019"/>
      <c r="I8" s="3019"/>
      <c r="J8" s="3019"/>
      <c r="K8" s="3019"/>
      <c r="L8" s="3019"/>
      <c r="M8" s="3019"/>
      <c r="N8" s="3019"/>
      <c r="O8" s="3019"/>
      <c r="P8" s="3019"/>
    </row>
    <row r="9" spans="1:16" ht="15.75">
      <c r="A9" s="2831"/>
      <c r="B9" s="2824" t="e">
        <f t="shared" ca="1" si="1"/>
        <v>#REF!</v>
      </c>
      <c r="C9" s="2360" t="s">
        <v>2815</v>
      </c>
      <c r="D9" s="3019"/>
      <c r="E9" s="2834" t="e">
        <f t="shared" ca="1" si="0"/>
        <v>#REF!</v>
      </c>
      <c r="F9" s="3019"/>
      <c r="G9" s="3019"/>
      <c r="H9" s="3019"/>
      <c r="I9" s="3019"/>
      <c r="J9" s="3019"/>
      <c r="K9" s="3019"/>
      <c r="L9" s="3019"/>
      <c r="M9" s="3019"/>
      <c r="N9" s="3019"/>
      <c r="O9" s="3019"/>
      <c r="P9" s="3019"/>
    </row>
    <row r="10" spans="1:16" ht="15.75">
      <c r="A10" s="2831"/>
      <c r="B10" s="2824" t="e">
        <f t="shared" ca="1" si="1"/>
        <v>#REF!</v>
      </c>
      <c r="C10" s="2360" t="s">
        <v>2815</v>
      </c>
      <c r="D10" s="3019"/>
      <c r="E10" s="2834" t="e">
        <f t="shared" ca="1" si="0"/>
        <v>#REF!</v>
      </c>
      <c r="F10" s="3019"/>
      <c r="G10" s="3019"/>
      <c r="H10" s="3019"/>
      <c r="I10" s="3019"/>
      <c r="J10" s="3019"/>
      <c r="K10" s="3019"/>
      <c r="L10" s="3019"/>
      <c r="M10" s="3019"/>
      <c r="N10" s="3019"/>
      <c r="O10" s="3019"/>
      <c r="P10" s="3019"/>
    </row>
    <row r="11" spans="1:16" ht="15.75">
      <c r="A11" s="2831"/>
      <c r="B11" s="2824" t="e">
        <f t="shared" ca="1" si="1"/>
        <v>#REF!</v>
      </c>
      <c r="C11" s="2360" t="s">
        <v>2815</v>
      </c>
      <c r="D11" s="3019"/>
      <c r="E11" s="2834" t="e">
        <f t="shared" ca="1" si="0"/>
        <v>#REF!</v>
      </c>
      <c r="F11" s="3019"/>
      <c r="G11" s="3019"/>
      <c r="H11" s="3019"/>
      <c r="I11" s="3019"/>
      <c r="J11" s="3019"/>
      <c r="K11" s="3019"/>
      <c r="L11" s="3019"/>
      <c r="M11" s="3019"/>
      <c r="N11" s="3019"/>
      <c r="O11" s="3019"/>
      <c r="P11" s="3019"/>
    </row>
    <row r="12" spans="1:16" ht="15.75">
      <c r="A12" s="2831"/>
      <c r="B12" s="2824" t="e">
        <f t="shared" ca="1" si="1"/>
        <v>#REF!</v>
      </c>
      <c r="C12" s="2360" t="s">
        <v>2815</v>
      </c>
      <c r="D12" s="3019"/>
      <c r="E12" s="2834" t="e">
        <f t="shared" ca="1" si="0"/>
        <v>#REF!</v>
      </c>
      <c r="F12" s="3019"/>
      <c r="G12" s="3019"/>
      <c r="H12" s="3019"/>
      <c r="I12" s="3019"/>
      <c r="J12" s="3019"/>
      <c r="K12" s="3019"/>
      <c r="L12" s="3019"/>
      <c r="M12" s="3019"/>
      <c r="N12" s="3019"/>
      <c r="O12" s="3019"/>
      <c r="P12" s="3019"/>
    </row>
    <row r="13" spans="1:16" ht="15.75">
      <c r="A13" s="2831"/>
      <c r="B13" s="2824" t="e">
        <f t="shared" ca="1" si="1"/>
        <v>#REF!</v>
      </c>
      <c r="C13" s="2360" t="s">
        <v>2815</v>
      </c>
      <c r="D13" s="3019"/>
      <c r="E13" s="2834" t="e">
        <f t="shared" ca="1" si="0"/>
        <v>#REF!</v>
      </c>
      <c r="F13" s="3019"/>
      <c r="G13" s="3019"/>
      <c r="H13" s="3019"/>
      <c r="I13" s="3019"/>
      <c r="J13" s="3019"/>
      <c r="K13" s="3019"/>
      <c r="L13" s="3019"/>
      <c r="M13" s="3019"/>
      <c r="N13" s="3019"/>
      <c r="O13" s="3019"/>
      <c r="P13" s="3019"/>
    </row>
    <row r="14" spans="1:16">
      <c r="A14" s="3019"/>
      <c r="B14" s="3019"/>
      <c r="C14" s="3019"/>
      <c r="D14" s="3019"/>
      <c r="E14" s="3019"/>
      <c r="F14" s="3019"/>
      <c r="G14" s="3019"/>
      <c r="H14" s="3019"/>
      <c r="I14" s="3019"/>
      <c r="J14" s="3019"/>
      <c r="K14" s="3019"/>
      <c r="L14" s="3019"/>
      <c r="M14" s="3019"/>
      <c r="N14" s="3019"/>
      <c r="O14" s="3019"/>
      <c r="P14" s="3019"/>
    </row>
    <row r="15" spans="1:16">
      <c r="A15" s="3019"/>
      <c r="B15" s="3019"/>
      <c r="C15" s="3019"/>
      <c r="D15" s="3019"/>
      <c r="E15" s="3019"/>
      <c r="F15" s="3019"/>
      <c r="G15" s="3019"/>
      <c r="H15" s="3019"/>
      <c r="I15" s="3019"/>
      <c r="J15" s="3019"/>
      <c r="K15" s="3019"/>
      <c r="L15" s="3019"/>
      <c r="M15" s="3019"/>
      <c r="N15" s="3019"/>
      <c r="O15" s="3019"/>
      <c r="P15" s="3019"/>
    </row>
    <row r="16" spans="1:16">
      <c r="A16" s="3019"/>
      <c r="B16" s="3019"/>
      <c r="C16" s="3019"/>
      <c r="D16" s="3019"/>
      <c r="E16" s="3019"/>
      <c r="F16" s="3019"/>
      <c r="G16" s="3019"/>
      <c r="H16" s="3019"/>
      <c r="I16" s="3019"/>
      <c r="J16" s="3019"/>
      <c r="K16" s="3019"/>
      <c r="L16" s="3019"/>
      <c r="M16" s="3019"/>
      <c r="N16" s="3019"/>
      <c r="O16" s="3019"/>
      <c r="P16" s="3019"/>
    </row>
    <row r="17" spans="1:16">
      <c r="A17" s="3019"/>
      <c r="B17" s="3019"/>
      <c r="C17" s="3019"/>
      <c r="D17" s="3019"/>
      <c r="E17" s="3019"/>
      <c r="F17" s="3019"/>
      <c r="G17" s="3019"/>
      <c r="H17" s="3019"/>
      <c r="I17" s="3019"/>
      <c r="J17" s="3019"/>
      <c r="K17" s="3019"/>
      <c r="L17" s="3019"/>
      <c r="M17" s="3019"/>
      <c r="N17" s="3019"/>
      <c r="O17" s="3019"/>
      <c r="P17" s="3019"/>
    </row>
    <row r="18" spans="1:16">
      <c r="A18" s="3019"/>
      <c r="B18" s="3019"/>
      <c r="C18" s="3019"/>
      <c r="D18" s="3019"/>
      <c r="E18" s="3019"/>
      <c r="F18" s="3019"/>
      <c r="G18" s="3019"/>
      <c r="H18" s="3019"/>
      <c r="I18" s="3019"/>
      <c r="J18" s="3019"/>
      <c r="K18" s="3019"/>
      <c r="L18" s="3019"/>
      <c r="M18" s="3019"/>
      <c r="N18" s="3019"/>
      <c r="O18" s="3019"/>
      <c r="P18" s="3019"/>
    </row>
    <row r="19" spans="1:16">
      <c r="A19" s="3019"/>
      <c r="B19" s="3019"/>
      <c r="C19" s="3019"/>
      <c r="D19" s="3019"/>
      <c r="E19" s="3019"/>
      <c r="F19" s="3019"/>
      <c r="G19" s="3019"/>
      <c r="H19" s="3019"/>
      <c r="I19" s="3019"/>
      <c r="J19" s="3019"/>
      <c r="K19" s="3019"/>
      <c r="L19" s="3019"/>
      <c r="M19" s="3019"/>
      <c r="N19" s="3019"/>
      <c r="O19" s="3019"/>
      <c r="P19" s="3019"/>
    </row>
    <row r="20" spans="1:16">
      <c r="A20" s="3019"/>
      <c r="B20" s="3019"/>
      <c r="C20" s="3019"/>
      <c r="D20" s="3019"/>
      <c r="E20" s="3019"/>
      <c r="F20" s="3019"/>
      <c r="G20" s="3019"/>
      <c r="H20" s="3019"/>
      <c r="I20" s="3019"/>
      <c r="J20" s="3019"/>
      <c r="K20" s="3019"/>
      <c r="L20" s="3019"/>
      <c r="M20" s="3019"/>
      <c r="N20" s="3019"/>
      <c r="O20" s="3019"/>
      <c r="P20" s="3019"/>
    </row>
    <row r="21" spans="1:16">
      <c r="A21" s="3019"/>
      <c r="B21" s="3019"/>
      <c r="C21" s="3019"/>
      <c r="D21" s="3019"/>
      <c r="E21" s="3019"/>
      <c r="F21" s="3019"/>
      <c r="G21" s="3019"/>
      <c r="H21" s="3019"/>
      <c r="I21" s="3019"/>
      <c r="J21" s="3019"/>
      <c r="K21" s="3019"/>
      <c r="L21" s="3019"/>
      <c r="M21" s="3019"/>
      <c r="N21" s="3019"/>
      <c r="O21" s="3019"/>
      <c r="P21" s="301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24" t="s">
        <v>1117</v>
      </c>
      <c r="C1" s="3424"/>
      <c r="D1" s="3424"/>
      <c r="E1" s="3424"/>
      <c r="F1" s="3424"/>
      <c r="G1" s="3423" t="s">
        <v>1118</v>
      </c>
      <c r="H1" s="3423"/>
      <c r="I1" s="3423"/>
      <c r="J1" s="3423"/>
      <c r="K1" s="3423"/>
      <c r="L1" s="3423"/>
      <c r="N1" s="3423" t="s">
        <v>1119</v>
      </c>
      <c r="O1" s="3423"/>
      <c r="P1" s="3423"/>
      <c r="Q1" s="3423"/>
      <c r="S1" s="3423" t="s">
        <v>1120</v>
      </c>
      <c r="T1" s="3423"/>
      <c r="U1" s="3423"/>
      <c r="V1" s="3423"/>
      <c r="X1" s="3422" t="s">
        <v>1121</v>
      </c>
      <c r="Y1" s="3423"/>
      <c r="Z1" s="3423"/>
      <c r="AA1" s="3423"/>
      <c r="AB1" s="3423"/>
      <c r="AD1" s="3422" t="s">
        <v>1122</v>
      </c>
      <c r="AE1" s="3423"/>
      <c r="AF1" s="3423"/>
      <c r="AG1" s="3423"/>
      <c r="AH1" s="3423"/>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2855</v>
      </c>
      <c r="B3" s="2394"/>
      <c r="C3" s="2394"/>
      <c r="D3" s="2395"/>
      <c r="E3" s="2395"/>
      <c r="F3" s="2394"/>
      <c r="G3" s="2396"/>
      <c r="H3" s="2397"/>
      <c r="I3" s="2398">
        <f>ROUND(AVERAGE($I4:$I36),2)</f>
        <v>1.66</v>
      </c>
      <c r="J3" s="2398">
        <f>ROUND(AVERAGE($J4:$J36),2)</f>
        <v>1.05</v>
      </c>
      <c r="K3" s="2398">
        <f>ROUND(AVERAGE($K4:$K36),2)</f>
        <v>1.83</v>
      </c>
      <c r="L3" s="2398">
        <f>ROUND(AVERAGE($L4:$L36),2)</f>
        <v>1.22</v>
      </c>
      <c r="N3" s="2396"/>
      <c r="S3" s="2396"/>
      <c r="W3" s="2400"/>
      <c r="X3" s="2401">
        <f>ROUND(SUMPRODUCT(PRODUCT(1+N3:N$35)),4)</f>
        <v>1.6415999999999999</v>
      </c>
      <c r="Y3" s="2401">
        <f>ROUND(SUMPRODUCT(PRODUCT(1+O3:O$35)),4)</f>
        <v>1.3644000000000001</v>
      </c>
      <c r="Z3" s="2401">
        <f t="shared" ref="Z3:Z33" si="0">Y3</f>
        <v>1.3644000000000001</v>
      </c>
      <c r="AA3" s="2401">
        <f>ROUND(SUMPRODUCT(PRODUCT(1+P3:P$35)),4)</f>
        <v>1.7232000000000001</v>
      </c>
      <c r="AB3" s="2401">
        <f>ROUND(SUMPRODUCT(PRODUCT(1+Q3:Q$35)),4)</f>
        <v>1.4529000000000001</v>
      </c>
      <c r="AD3" s="2402">
        <f>ROUND(AVERAGE(I3:I$36)/100,4)</f>
        <v>1.66E-2</v>
      </c>
      <c r="AE3" s="2402">
        <f>ROUND(AVERAGE(J3:J$36)/100,4)</f>
        <v>1.0500000000000001E-2</v>
      </c>
      <c r="AF3" s="2402">
        <f t="shared" ref="AF3:AF34" si="1">AE3</f>
        <v>1.0500000000000001E-2</v>
      </c>
      <c r="AG3" s="2402">
        <f>ROUND(AVERAGE(K3:K$36)/100,4)</f>
        <v>1.83E-2</v>
      </c>
      <c r="AH3" s="2402">
        <f>ROUND(AVERAGE(L3:L$36)/100,4)</f>
        <v>1.2200000000000001E-2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3062</v>
      </c>
      <c r="B5" s="2412">
        <f t="shared" ref="B5" si="2">B6*(1+N5)</f>
        <v>504.87072809615569</v>
      </c>
      <c r="C5" s="2412">
        <f t="shared" ref="C5" si="3">C6*(1+O5)</f>
        <v>351.71182348101968</v>
      </c>
      <c r="D5" s="2412">
        <f t="shared" ref="D5" si="4">C5</f>
        <v>351.71182348101968</v>
      </c>
      <c r="E5" s="2412">
        <f t="shared" ref="E5" si="5">E6*(1+P5)</f>
        <v>728.75350858360832</v>
      </c>
      <c r="F5" s="2412">
        <f t="shared" ref="F5" si="6">F6*(1+Q5)</f>
        <v>334.04593931673656</v>
      </c>
      <c r="G5" s="3056">
        <v>2021</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2856</v>
      </c>
      <c r="X5" s="2420">
        <f>ROUND(IF(项目基本情况!B2="出让",SUMPRODUCT(PRODUCT(1+N5:N$36)),SUMPRODUCT(PRODUCT(1+N5:N$35))),4)</f>
        <v>1.6415999999999999</v>
      </c>
      <c r="Y5" s="2420">
        <f>ROUND(IF(项目基本情况!B2="出让",SUMPRODUCT(PRODUCT(1+O5:O$36)),SUMPRODUCT(PRODUCT(1+O5:O$35))),4)</f>
        <v>1.3644000000000001</v>
      </c>
      <c r="Z5" s="2420">
        <f t="shared" ref="Z5" si="11">Y5</f>
        <v>1.3644000000000001</v>
      </c>
      <c r="AA5" s="2420">
        <f>ROUND(IF(项目基本情况!B2="出让",SUMPRODUCT(PRODUCT(1+P5:P$36)),SUMPRODUCT(PRODUCT(1+P5:P$35))),4)</f>
        <v>1.7232000000000001</v>
      </c>
      <c r="AB5" s="2420">
        <f>ROUND(IF(项目基本情况!B2="出让",SUMPRODUCT(PRODUCT(1+Q5:Q$36)),SUMPRODUCT(PRODUCT(1+Q5:Q$35))),4)</f>
        <v>1.4529000000000001</v>
      </c>
      <c r="AD5" s="2421">
        <f>ROUND(AVERAGE(I5:I$36)/100,4)</f>
        <v>1.66E-2</v>
      </c>
      <c r="AE5" s="2421">
        <f>ROUND(AVERAGE(J5:J$36)/100,4)</f>
        <v>1.0500000000000001E-2</v>
      </c>
      <c r="AF5" s="2421">
        <f t="shared" ref="AF5" si="12">AE5</f>
        <v>1.0500000000000001E-2</v>
      </c>
      <c r="AG5" s="2421">
        <f>ROUND(AVERAGE(K5:K$36)/100,4)</f>
        <v>1.83E-2</v>
      </c>
      <c r="AH5" s="2421">
        <f>ROUND(AVERAGE(L5:L$36)/100,4)</f>
        <v>1.2200000000000001E-2</v>
      </c>
    </row>
    <row r="6" spans="1:34" s="2429" customFormat="1">
      <c r="A6" s="2422" t="s">
        <v>3061</v>
      </c>
      <c r="B6" s="2423">
        <f t="shared" ref="B6" si="13">B7*(1+N6)</f>
        <v>504.87072809615569</v>
      </c>
      <c r="C6" s="2423">
        <f t="shared" ref="C6" si="14">C7*(1+O6)</f>
        <v>351.71182348101968</v>
      </c>
      <c r="D6" s="2423">
        <f t="shared" ref="D6" si="15">C6</f>
        <v>351.71182348101968</v>
      </c>
      <c r="E6" s="2423">
        <f t="shared" ref="E6" si="16">E7*(1+P6)</f>
        <v>728.75350858360832</v>
      </c>
      <c r="F6" s="2423">
        <f t="shared" ref="F6" si="17">F7*(1+Q6)</f>
        <v>334.04593931673656</v>
      </c>
      <c r="G6" s="3056">
        <v>2021</v>
      </c>
      <c r="H6" s="2424">
        <v>3</v>
      </c>
      <c r="I6" s="2386">
        <v>0.47</v>
      </c>
      <c r="J6" s="2386">
        <v>0.41</v>
      </c>
      <c r="K6" s="2386">
        <v>0.48</v>
      </c>
      <c r="L6" s="2387">
        <v>0.48</v>
      </c>
      <c r="M6" s="2409"/>
      <c r="N6" s="2425">
        <f t="shared" ref="N6" si="18">I6/100</f>
        <v>4.6999999999999993E-3</v>
      </c>
      <c r="O6" s="2410">
        <f t="shared" ref="O6" si="19">J6/100</f>
        <v>4.0999999999999995E-3</v>
      </c>
      <c r="P6" s="2410">
        <f t="shared" ref="P6" si="20">K6/100</f>
        <v>4.7999999999999996E-3</v>
      </c>
      <c r="Q6" s="2410">
        <f t="shared" ref="Q6" si="21">L6/100</f>
        <v>4.7999999999999996E-3</v>
      </c>
      <c r="R6" s="2426"/>
      <c r="S6" s="2425"/>
      <c r="T6" s="2410"/>
      <c r="U6" s="2410"/>
      <c r="V6" s="2410"/>
      <c r="W6" s="2427"/>
      <c r="X6" s="2427">
        <f>ROUND(IF(项目基本情况!B3="出让",SUMPRODUCT(PRODUCT(1+N6:N$36)),SUMPRODUCT(PRODUCT(1+N6:N$35))),4)</f>
        <v>1.6415999999999999</v>
      </c>
      <c r="Y6" s="2427">
        <f>ROUND(IF(项目基本情况!B3="出让",SUMPRODUCT(PRODUCT(1+O6:O$36)),SUMPRODUCT(PRODUCT(1+O6:O$35))),4)</f>
        <v>1.3644000000000001</v>
      </c>
      <c r="Z6" s="2427">
        <f t="shared" ref="Z6" si="22">Y6</f>
        <v>1.3644000000000001</v>
      </c>
      <c r="AA6" s="2427">
        <f>ROUND(IF(项目基本情况!B3="出让",SUMPRODUCT(PRODUCT(1+P6:P$36)),SUMPRODUCT(PRODUCT(1+P6:P$35))),4)</f>
        <v>1.7232000000000001</v>
      </c>
      <c r="AB6" s="2427">
        <f>ROUND(IF(项目基本情况!B3="出让",SUMPRODUCT(PRODUCT(1+Q6:Q$36)),SUMPRODUCT(PRODUCT(1+Q6:Q$35))),4)</f>
        <v>1.4529000000000001</v>
      </c>
      <c r="AC6" s="2427"/>
      <c r="AD6" s="2428">
        <f>ROUND(AVERAGE(I6:I$36)/100,4)</f>
        <v>1.72E-2</v>
      </c>
      <c r="AE6" s="2428">
        <f>ROUND(AVERAGE(J6:J$36)/100,4)</f>
        <v>1.09E-2</v>
      </c>
      <c r="AF6" s="2428">
        <f t="shared" ref="AF6" si="23">AE6</f>
        <v>1.09E-2</v>
      </c>
      <c r="AG6" s="2428">
        <f>ROUND(AVERAGE(K6:K$36)/100,4)</f>
        <v>1.89E-2</v>
      </c>
      <c r="AH6" s="2428">
        <f>ROUND(AVERAGE(L6:L$36)/100,4)</f>
        <v>1.26E-2</v>
      </c>
    </row>
    <row r="7" spans="1:34" s="2429" customFormat="1">
      <c r="A7" s="2422" t="s">
        <v>3060</v>
      </c>
      <c r="B7" s="2423">
        <f t="shared" ref="B7" si="24">B8*(1+N7)</f>
        <v>502.50893609650217</v>
      </c>
      <c r="C7" s="2423">
        <f t="shared" ref="C7" si="25">C8*(1+O7)</f>
        <v>350.27569313914915</v>
      </c>
      <c r="D7" s="2423">
        <f t="shared" ref="D7" si="26">C7</f>
        <v>350.27569313914915</v>
      </c>
      <c r="E7" s="2423">
        <f t="shared" ref="E7" si="27">E8*(1+P7)</f>
        <v>725.27220201394141</v>
      </c>
      <c r="F7" s="2423">
        <f t="shared" ref="F7" si="28">F8*(1+Q7)</f>
        <v>332.45017846012797</v>
      </c>
      <c r="G7" s="3055">
        <v>2021</v>
      </c>
      <c r="H7" s="2424">
        <v>2</v>
      </c>
      <c r="I7" s="2386">
        <v>0.92</v>
      </c>
      <c r="J7" s="2386">
        <v>0.72</v>
      </c>
      <c r="K7" s="2386">
        <v>0.95</v>
      </c>
      <c r="L7" s="2387">
        <v>1.01</v>
      </c>
      <c r="M7" s="2409"/>
      <c r="N7" s="2425">
        <f t="shared" ref="N7" si="29">I7/100</f>
        <v>9.1999999999999998E-3</v>
      </c>
      <c r="O7" s="2410">
        <f t="shared" ref="O7" si="30">J7/100</f>
        <v>7.1999999999999998E-3</v>
      </c>
      <c r="P7" s="2410">
        <f t="shared" ref="P7" si="31">K7/100</f>
        <v>9.4999999999999998E-3</v>
      </c>
      <c r="Q7" s="2410">
        <f t="shared" ref="Q7" si="32">L7/100</f>
        <v>1.01E-2</v>
      </c>
      <c r="R7" s="2426"/>
      <c r="S7" s="2425"/>
      <c r="T7" s="2410"/>
      <c r="U7" s="2410"/>
      <c r="V7" s="2410"/>
      <c r="W7" s="2427"/>
      <c r="X7" s="2427">
        <f>ROUND(IF(项目基本情况!B4="出让",SUMPRODUCT(PRODUCT(1+N7:N$36)),SUMPRODUCT(PRODUCT(1+N7:N$35))),4)</f>
        <v>1.6338999999999999</v>
      </c>
      <c r="Y7" s="2427">
        <f>ROUND(IF(项目基本情况!B4="出让",SUMPRODUCT(PRODUCT(1+O7:O$36)),SUMPRODUCT(PRODUCT(1+O7:O$35))),4)</f>
        <v>1.3588</v>
      </c>
      <c r="Z7" s="2427">
        <f t="shared" ref="Z7" si="33">Y7</f>
        <v>1.3588</v>
      </c>
      <c r="AA7" s="2427">
        <f>ROUND(IF(项目基本情况!B4="出让",SUMPRODUCT(PRODUCT(1+P7:P$36)),SUMPRODUCT(PRODUCT(1+P7:P$35))),4)</f>
        <v>1.7150000000000001</v>
      </c>
      <c r="AB7" s="2427">
        <f>ROUND(IF(项目基本情况!B4="出让",SUMPRODUCT(PRODUCT(1+Q7:Q$36)),SUMPRODUCT(PRODUCT(1+Q7:Q$35))),4)</f>
        <v>1.446</v>
      </c>
      <c r="AC7" s="2427"/>
      <c r="AD7" s="2428">
        <f>ROUND(AVERAGE(I7:I$36)/100,4)</f>
        <v>1.7600000000000001E-2</v>
      </c>
      <c r="AE7" s="2428">
        <f>ROUND(AVERAGE(J7:J$36)/100,4)</f>
        <v>1.11E-2</v>
      </c>
      <c r="AF7" s="2428">
        <f t="shared" ref="AF7" si="34">AE7</f>
        <v>1.11E-2</v>
      </c>
      <c r="AG7" s="2428">
        <f>ROUND(AVERAGE(K7:K$36)/100,4)</f>
        <v>1.9400000000000001E-2</v>
      </c>
      <c r="AH7" s="2428">
        <f>ROUND(AVERAGE(L7:L$36)/100,4)</f>
        <v>1.2800000000000001E-2</v>
      </c>
    </row>
    <row r="8" spans="1:34" s="2429" customFormat="1">
      <c r="A8" s="2422" t="s">
        <v>3059</v>
      </c>
      <c r="B8" s="2423">
        <f t="shared" ref="B8" si="35">B9*(1+N8)</f>
        <v>497.92799851020823</v>
      </c>
      <c r="C8" s="2423">
        <f t="shared" ref="C8" si="36">C9*(1+O8)</f>
        <v>347.77173663537445</v>
      </c>
      <c r="D8" s="2423">
        <f t="shared" ref="D8" si="37">C8</f>
        <v>347.77173663537445</v>
      </c>
      <c r="E8" s="2423">
        <f t="shared" ref="E8" si="38">E9*(1+P8)</f>
        <v>718.44695593258189</v>
      </c>
      <c r="F8" s="2423">
        <f t="shared" ref="F8" si="39">F9*(1+Q8)</f>
        <v>329.12600580153247</v>
      </c>
      <c r="G8" s="3039">
        <v>2021</v>
      </c>
      <c r="H8" s="2424">
        <v>1</v>
      </c>
      <c r="I8" s="2386">
        <v>0.97</v>
      </c>
      <c r="J8" s="2386">
        <v>0.16</v>
      </c>
      <c r="K8" s="2386">
        <v>1.1100000000000001</v>
      </c>
      <c r="L8" s="2387">
        <v>0.36</v>
      </c>
      <c r="M8" s="2409"/>
      <c r="N8" s="2425">
        <f t="shared" ref="N8" si="40">I8/100</f>
        <v>9.7000000000000003E-3</v>
      </c>
      <c r="O8" s="2410">
        <f t="shared" ref="O8" si="41">J8/100</f>
        <v>1.6000000000000001E-3</v>
      </c>
      <c r="P8" s="2410">
        <f t="shared" ref="P8" si="42">K8/100</f>
        <v>1.11E-2</v>
      </c>
      <c r="Q8" s="2410">
        <f t="shared" ref="Q8" si="43">L8/100</f>
        <v>3.5999999999999999E-3</v>
      </c>
      <c r="R8" s="2426"/>
      <c r="S8" s="2425">
        <f>B8/B9-1</f>
        <v>9.7000000000000419E-3</v>
      </c>
      <c r="T8" s="2410">
        <f t="shared" ref="T8" si="44">C8/C9-1</f>
        <v>1.6000000000000458E-3</v>
      </c>
      <c r="U8" s="2410">
        <f t="shared" ref="U8" si="45">D8/D9-1</f>
        <v>1.6000000000000458E-3</v>
      </c>
      <c r="V8" s="2410">
        <f t="shared" ref="V8" si="46">E8/E9-1</f>
        <v>1.110000000000011E-2</v>
      </c>
      <c r="W8" s="2427"/>
      <c r="X8" s="2427">
        <f>ROUND(IF(项目基本情况!B5="出让",SUMPRODUCT(PRODUCT(1+N8:N$36)),SUMPRODUCT(PRODUCT(1+N8:N$35))),4)</f>
        <v>1.619</v>
      </c>
      <c r="Y8" s="2427">
        <f>ROUND(IF(项目基本情况!B5="出让",SUMPRODUCT(PRODUCT(1+O8:O$36)),SUMPRODUCT(PRODUCT(1+O8:O$35))),4)</f>
        <v>1.3491</v>
      </c>
      <c r="Z8" s="2427">
        <f t="shared" ref="Z8" si="47">Y8</f>
        <v>1.3491</v>
      </c>
      <c r="AA8" s="2427">
        <f>ROUND(IF(项目基本情况!B5="出让",SUMPRODUCT(PRODUCT(1+P8:P$36)),SUMPRODUCT(PRODUCT(1+P8:P$35))),4)</f>
        <v>1.6988000000000001</v>
      </c>
      <c r="AB8" s="2427">
        <f>ROUND(IF(项目基本情况!B5="出让",SUMPRODUCT(PRODUCT(1+Q8:Q$36)),SUMPRODUCT(PRODUCT(1+Q8:Q$35))),4)</f>
        <v>1.4315</v>
      </c>
      <c r="AC8" s="2427"/>
      <c r="AD8" s="2428">
        <f>ROUND(AVERAGE(I8:I$36)/100,4)</f>
        <v>1.7899999999999999E-2</v>
      </c>
      <c r="AE8" s="2428">
        <f>ROUND(AVERAGE(J8:J$36)/100,4)</f>
        <v>1.12E-2</v>
      </c>
      <c r="AF8" s="2428">
        <f t="shared" ref="AF8" si="48">AE8</f>
        <v>1.12E-2</v>
      </c>
      <c r="AG8" s="2428">
        <f>ROUND(AVERAGE(K8:K$36)/100,4)</f>
        <v>1.9699999999999999E-2</v>
      </c>
      <c r="AH8" s="2428">
        <f>ROUND(AVERAGE(L8:L$36)/100,4)</f>
        <v>1.29E-2</v>
      </c>
    </row>
    <row r="9" spans="1:34" s="2429" customFormat="1">
      <c r="A9" s="2422" t="s">
        <v>3057</v>
      </c>
      <c r="B9" s="2423">
        <f t="shared" ref="B9" si="49">B10*(1+N9)</f>
        <v>493.14449689037161</v>
      </c>
      <c r="C9" s="2423">
        <f t="shared" ref="C9" si="50">C10*(1+O9)</f>
        <v>347.21619073020611</v>
      </c>
      <c r="D9" s="2423">
        <f t="shared" ref="D9" si="51">C9</f>
        <v>347.21619073020611</v>
      </c>
      <c r="E9" s="2423">
        <f t="shared" ref="E9" si="52">E10*(1+P9)</f>
        <v>710.55974278763904</v>
      </c>
      <c r="F9" s="2423">
        <f t="shared" ref="F9" si="53">F10*(1+Q9)</f>
        <v>327.94540235306141</v>
      </c>
      <c r="G9" s="3038">
        <v>2020</v>
      </c>
      <c r="H9" s="2424">
        <v>4</v>
      </c>
      <c r="I9" s="2386">
        <v>2.0699999999999998</v>
      </c>
      <c r="J9" s="2386">
        <v>0.37</v>
      </c>
      <c r="K9" s="2386">
        <v>2.35</v>
      </c>
      <c r="L9" s="2387">
        <v>2.69</v>
      </c>
      <c r="M9" s="2409"/>
      <c r="N9" s="2425">
        <f t="shared" ref="N9" si="54">I9/100</f>
        <v>2.07E-2</v>
      </c>
      <c r="O9" s="2410">
        <f t="shared" ref="O9" si="55">J9/100</f>
        <v>3.7000000000000002E-3</v>
      </c>
      <c r="P9" s="2410">
        <f t="shared" ref="P9" si="56">K9/100</f>
        <v>2.35E-2</v>
      </c>
      <c r="Q9" s="2410">
        <f t="shared" ref="Q9" si="57">L9/100</f>
        <v>2.69E-2</v>
      </c>
      <c r="R9" s="2426"/>
      <c r="S9" s="2425"/>
      <c r="T9" s="2410"/>
      <c r="U9" s="2410"/>
      <c r="V9" s="2410"/>
      <c r="W9" s="2427"/>
      <c r="X9" s="2427">
        <f>ROUND(IF(项目基本情况!B6="出让",SUMPRODUCT(PRODUCT(1+N9:N$36)),SUMPRODUCT(PRODUCT(1+N9:N$35))),4)</f>
        <v>1.6034999999999999</v>
      </c>
      <c r="Y9" s="2427">
        <f>ROUND(IF(项目基本情况!B6="出让",SUMPRODUCT(PRODUCT(1+O9:O$36)),SUMPRODUCT(PRODUCT(1+O9:O$35))),4)</f>
        <v>1.3469</v>
      </c>
      <c r="Z9" s="2427">
        <f t="shared" ref="Z9" si="58">Y9</f>
        <v>1.3469</v>
      </c>
      <c r="AA9" s="2427">
        <f>ROUND(IF(项目基本情况!B6="出让",SUMPRODUCT(PRODUCT(1+P9:P$36)),SUMPRODUCT(PRODUCT(1+P9:P$35))),4)</f>
        <v>1.6801999999999999</v>
      </c>
      <c r="AB9" s="2427">
        <f>ROUND(IF(项目基本情况!B6="出让",SUMPRODUCT(PRODUCT(1+Q9:Q$36)),SUMPRODUCT(PRODUCT(1+Q9:Q$35))),4)</f>
        <v>1.4263999999999999</v>
      </c>
      <c r="AC9" s="2427"/>
      <c r="AD9" s="2428">
        <f>ROUND(AVERAGE(I9:I$36)/100,4)</f>
        <v>1.8200000000000001E-2</v>
      </c>
      <c r="AE9" s="2428">
        <f>ROUND(AVERAGE(J9:J$36)/100,4)</f>
        <v>1.1599999999999999E-2</v>
      </c>
      <c r="AF9" s="2428">
        <f t="shared" ref="AF9" si="59">AE9</f>
        <v>1.1599999999999999E-2</v>
      </c>
      <c r="AG9" s="2428">
        <f>ROUND(AVERAGE(K9:K$36)/100,4)</f>
        <v>0.02</v>
      </c>
      <c r="AH9" s="2428">
        <f>ROUND(AVERAGE(L9:L$36)/100,4)</f>
        <v>1.3299999999999999E-2</v>
      </c>
    </row>
    <row r="10" spans="1:34" s="2429" customFormat="1">
      <c r="A10" s="2422" t="s">
        <v>3056</v>
      </c>
      <c r="B10" s="2423">
        <f t="shared" ref="B10" si="60">B11*(1+N10)</f>
        <v>483.1434279321756</v>
      </c>
      <c r="C10" s="2423">
        <f t="shared" ref="C10" si="61">C11*(1+O10)</f>
        <v>345.93622669144776</v>
      </c>
      <c r="D10" s="2423">
        <f t="shared" ref="D10" si="62">C10</f>
        <v>345.93622669144776</v>
      </c>
      <c r="E10" s="2423">
        <f t="shared" ref="E10" si="63">E11*(1+P10)</f>
        <v>694.24498562544113</v>
      </c>
      <c r="F10" s="2423">
        <f t="shared" ref="F10" si="64">F11*(1+Q10)</f>
        <v>319.35475932716082</v>
      </c>
      <c r="G10" s="3035">
        <v>2020</v>
      </c>
      <c r="H10" s="2424">
        <v>3</v>
      </c>
      <c r="I10" s="2386">
        <v>0.36</v>
      </c>
      <c r="J10" s="2386">
        <v>-0.39</v>
      </c>
      <c r="K10" s="2386">
        <v>0.49</v>
      </c>
      <c r="L10" s="2387">
        <v>7.0000000000000007E-2</v>
      </c>
      <c r="M10" s="2409"/>
      <c r="N10" s="2425">
        <f t="shared" ref="N10" si="65">I10/100</f>
        <v>3.5999999999999999E-3</v>
      </c>
      <c r="O10" s="2410">
        <f t="shared" ref="O10" si="66">J10/100</f>
        <v>-3.9000000000000003E-3</v>
      </c>
      <c r="P10" s="2410">
        <f t="shared" ref="P10" si="67">K10/100</f>
        <v>4.8999999999999998E-3</v>
      </c>
      <c r="Q10" s="2410">
        <f t="shared" ref="Q10" si="68">L10/100</f>
        <v>7.000000000000001E-4</v>
      </c>
      <c r="R10" s="2426"/>
      <c r="S10" s="2425"/>
      <c r="T10" s="2410"/>
      <c r="U10" s="2410"/>
      <c r="V10" s="2410"/>
      <c r="W10" s="2427"/>
      <c r="X10" s="2427">
        <f>ROUND(IF(项目基本情况!B7="出让",SUMPRODUCT(PRODUCT(1+N10:N$36)),SUMPRODUCT(PRODUCT(1+N10:N$35))),4)</f>
        <v>1.571</v>
      </c>
      <c r="Y10" s="2427">
        <f>ROUND(IF(项目基本情况!B7="出让",SUMPRODUCT(PRODUCT(1+O10:O$36)),SUMPRODUCT(PRODUCT(1+O10:O$35))),4)</f>
        <v>1.3420000000000001</v>
      </c>
      <c r="Z10" s="2427">
        <f t="shared" ref="Z10" si="69">Y10</f>
        <v>1.3420000000000001</v>
      </c>
      <c r="AA10" s="2427">
        <f>ROUND(IF(项目基本情况!B7="出让",SUMPRODUCT(PRODUCT(1+P10:P$36)),SUMPRODUCT(PRODUCT(1+P10:P$35))),4)</f>
        <v>1.6415999999999999</v>
      </c>
      <c r="AB10" s="2427">
        <f>ROUND(IF(项目基本情况!B7="出让",SUMPRODUCT(PRODUCT(1+Q10:Q$36)),SUMPRODUCT(PRODUCT(1+Q10:Q$35))),4)</f>
        <v>1.389</v>
      </c>
      <c r="AC10" s="2427"/>
      <c r="AD10" s="2428">
        <f>ROUND(AVERAGE(I10:I$36)/100,4)</f>
        <v>1.8100000000000002E-2</v>
      </c>
      <c r="AE10" s="2428">
        <f>ROUND(AVERAGE(J10:J$36)/100,4)</f>
        <v>1.1900000000000001E-2</v>
      </c>
      <c r="AF10" s="2428">
        <f t="shared" ref="AF10" si="70">AE10</f>
        <v>1.1900000000000001E-2</v>
      </c>
      <c r="AG10" s="2428">
        <f>ROUND(AVERAGE(K10:K$36)/100,4)</f>
        <v>1.9900000000000001E-2</v>
      </c>
      <c r="AH10" s="2428">
        <f>ROUND(AVERAGE(L10:L$36)/100,4)</f>
        <v>1.2800000000000001E-2</v>
      </c>
    </row>
    <row r="11" spans="1:34" s="2429" customFormat="1">
      <c r="A11" s="2422" t="s">
        <v>2872</v>
      </c>
      <c r="B11" s="2423">
        <f t="shared" ref="B11" si="71">B12*(1+N11)</f>
        <v>481.4103506697644</v>
      </c>
      <c r="C11" s="2423">
        <f t="shared" ref="C11" si="72">C12*(1+O11)</f>
        <v>347.29066026648707</v>
      </c>
      <c r="D11" s="2423">
        <f t="shared" ref="D11" si="73">C11</f>
        <v>347.29066026648707</v>
      </c>
      <c r="E11" s="2423">
        <f t="shared" ref="E11" si="74">E12*(1+P11)</f>
        <v>690.85977273901995</v>
      </c>
      <c r="F11" s="2423">
        <f t="shared" ref="F11" si="75">F12*(1+Q11)</f>
        <v>319.13136737000184</v>
      </c>
      <c r="G11" s="2413">
        <v>2020</v>
      </c>
      <c r="H11" s="2424">
        <v>2</v>
      </c>
      <c r="I11" s="2386">
        <v>0.31</v>
      </c>
      <c r="J11" s="2386">
        <v>-0.78</v>
      </c>
      <c r="K11" s="2386">
        <v>0.5</v>
      </c>
      <c r="L11" s="2387">
        <v>0.47</v>
      </c>
      <c r="M11" s="2409"/>
      <c r="N11" s="2425">
        <f t="shared" ref="N11" si="76">I11/100</f>
        <v>3.0999999999999999E-3</v>
      </c>
      <c r="O11" s="2410">
        <f t="shared" ref="O11" si="77">J11/100</f>
        <v>-7.8000000000000005E-3</v>
      </c>
      <c r="P11" s="2410">
        <f t="shared" ref="P11" si="78">K11/100</f>
        <v>5.0000000000000001E-3</v>
      </c>
      <c r="Q11" s="2410">
        <f t="shared" ref="Q11" si="79">L11/100</f>
        <v>4.6999999999999993E-3</v>
      </c>
      <c r="R11" s="2426"/>
      <c r="S11" s="2425"/>
      <c r="T11" s="2410"/>
      <c r="U11" s="2410"/>
      <c r="V11" s="2410"/>
      <c r="W11" s="2427"/>
      <c r="X11" s="2427">
        <f>ROUND(IF(项目基本情况!B8="出让",SUMPRODUCT(PRODUCT(1+N11:N$36)),SUMPRODUCT(PRODUCT(1+N11:N$35))),4)</f>
        <v>1.5652999999999999</v>
      </c>
      <c r="Y11" s="2427">
        <f>ROUND(IF(项目基本情况!B8="出让",SUMPRODUCT(PRODUCT(1+O11:O$36)),SUMPRODUCT(PRODUCT(1+O11:O$35))),4)</f>
        <v>1.3472</v>
      </c>
      <c r="Z11" s="2427">
        <f t="shared" ref="Z11" si="80">Y11</f>
        <v>1.3472</v>
      </c>
      <c r="AA11" s="2427">
        <f>ROUND(IF(项目基本情况!B8="出让",SUMPRODUCT(PRODUCT(1+P11:P$36)),SUMPRODUCT(PRODUCT(1+P11:P$35))),4)</f>
        <v>1.6335999999999999</v>
      </c>
      <c r="AB11" s="2427">
        <f>ROUND(IF(项目基本情况!B8="出让",SUMPRODUCT(PRODUCT(1+Q11:Q$36)),SUMPRODUCT(PRODUCT(1+Q11:Q$35))),4)</f>
        <v>1.3880999999999999</v>
      </c>
      <c r="AC11" s="2427"/>
      <c r="AD11" s="2428">
        <f>ROUND(AVERAGE(I11:I$36)/100,4)</f>
        <v>1.8599999999999998E-2</v>
      </c>
      <c r="AE11" s="2428">
        <f>ROUND(AVERAGE(J11:J$36)/100,4)</f>
        <v>1.2500000000000001E-2</v>
      </c>
      <c r="AF11" s="2428">
        <f t="shared" ref="AF11" si="81">AE11</f>
        <v>1.2500000000000001E-2</v>
      </c>
      <c r="AG11" s="2428">
        <f>ROUND(AVERAGE(K11:K$36)/100,4)</f>
        <v>2.0400000000000001E-2</v>
      </c>
      <c r="AH11" s="2428">
        <f>ROUND(AVERAGE(L11:L$36)/100,4)</f>
        <v>1.32E-2</v>
      </c>
    </row>
    <row r="12" spans="1:34" s="2429" customFormat="1">
      <c r="A12" s="2422" t="s">
        <v>2870</v>
      </c>
      <c r="B12" s="2423">
        <f t="shared" ref="B12" si="82">B13*(1+N12)</f>
        <v>479.92259063878413</v>
      </c>
      <c r="C12" s="2423">
        <f t="shared" ref="C12" si="83">C13*(1+O12)</f>
        <v>350.02082268341775</v>
      </c>
      <c r="D12" s="2423">
        <f t="shared" ref="D12" si="84">C12</f>
        <v>350.02082268341775</v>
      </c>
      <c r="E12" s="2423">
        <f t="shared" ref="E12" si="85">E13*(1+P12)</f>
        <v>687.42265944181099</v>
      </c>
      <c r="F12" s="2423">
        <f t="shared" ref="F12" si="86">F13*(1+Q12)</f>
        <v>317.63846657708956</v>
      </c>
      <c r="G12" s="2413">
        <v>2020</v>
      </c>
      <c r="H12" s="2424">
        <v>1</v>
      </c>
      <c r="I12" s="2386">
        <v>0.12</v>
      </c>
      <c r="J12" s="2386">
        <v>-0.4</v>
      </c>
      <c r="K12" s="2386">
        <v>0.21</v>
      </c>
      <c r="L12" s="2387">
        <v>0.27</v>
      </c>
      <c r="M12" s="2409"/>
      <c r="N12" s="2425">
        <f t="shared" ref="N12" si="87">I12/100</f>
        <v>1.1999999999999999E-3</v>
      </c>
      <c r="O12" s="2410">
        <f t="shared" ref="O12" si="88">J12/100</f>
        <v>-4.0000000000000001E-3</v>
      </c>
      <c r="P12" s="2410">
        <f t="shared" ref="P12" si="89">K12/100</f>
        <v>2.0999999999999999E-3</v>
      </c>
      <c r="Q12" s="2410">
        <f t="shared" ref="Q12" si="90">L12/100</f>
        <v>2.7000000000000001E-3</v>
      </c>
      <c r="R12" s="2426"/>
      <c r="S12" s="2425">
        <f>B12/B13-1</f>
        <v>1.2000000000000899E-3</v>
      </c>
      <c r="T12" s="2410">
        <f t="shared" ref="T12" si="91">C12/C13-1</f>
        <v>-4.0000000000000036E-3</v>
      </c>
      <c r="U12" s="2410">
        <f t="shared" ref="U12" si="92">D12/D13-1</f>
        <v>-4.0000000000000036E-3</v>
      </c>
      <c r="V12" s="2410">
        <f t="shared" ref="V12" si="93">E12/E13-1</f>
        <v>2.0999999999999908E-3</v>
      </c>
      <c r="W12" s="2427"/>
      <c r="X12" s="2427">
        <f>ROUND(IF(项目基本情况!B8="出让",SUMPRODUCT(PRODUCT(1+N12:N$36)),SUMPRODUCT(PRODUCT(1+N12:N$35))),4)</f>
        <v>1.5605</v>
      </c>
      <c r="Y12" s="2427">
        <f>ROUND(IF(项目基本情况!B8="出让",SUMPRODUCT(PRODUCT(1+O12:O$36)),SUMPRODUCT(PRODUCT(1+O12:O$35))),4)</f>
        <v>1.3577999999999999</v>
      </c>
      <c r="Z12" s="2427">
        <f t="shared" ref="Z12" si="94">Y12</f>
        <v>1.3577999999999999</v>
      </c>
      <c r="AA12" s="2427">
        <f>ROUND(IF(项目基本情况!B8="出让",SUMPRODUCT(PRODUCT(1+P12:P$36)),SUMPRODUCT(PRODUCT(1+P12:P$35))),4)</f>
        <v>1.6254999999999999</v>
      </c>
      <c r="AB12" s="2427">
        <f>ROUND(IF(项目基本情况!B8="出让",SUMPRODUCT(PRODUCT(1+Q12:Q$36)),SUMPRODUCT(PRODUCT(1+Q12:Q$35))),4)</f>
        <v>1.3815999999999999</v>
      </c>
      <c r="AC12" s="2427"/>
      <c r="AD12" s="2428">
        <f>ROUND(AVERAGE(I12:I$36)/100,4)</f>
        <v>1.9199999999999998E-2</v>
      </c>
      <c r="AE12" s="2428">
        <f>ROUND(AVERAGE(J12:J$36)/100,4)</f>
        <v>1.3299999999999999E-2</v>
      </c>
      <c r="AF12" s="2428">
        <f t="shared" ref="AF12" si="95">AE12</f>
        <v>1.3299999999999999E-2</v>
      </c>
      <c r="AG12" s="2428">
        <f>ROUND(AVERAGE(K12:K$36)/100,4)</f>
        <v>2.1100000000000001E-2</v>
      </c>
      <c r="AH12" s="2428">
        <f>ROUND(AVERAGE(L12:L$36)/100,4)</f>
        <v>1.3599999999999999E-2</v>
      </c>
    </row>
    <row r="13" spans="1:34" s="2429" customFormat="1">
      <c r="A13" s="2422" t="s">
        <v>2869</v>
      </c>
      <c r="B13" s="2423">
        <f t="shared" ref="B13" si="96">B14*(1+N13)</f>
        <v>479.34737379023579</v>
      </c>
      <c r="C13" s="2423">
        <f t="shared" ref="C13" si="97">C14*(1+O13)</f>
        <v>351.4265287986122</v>
      </c>
      <c r="D13" s="2423">
        <f t="shared" ref="D13" si="98">C13</f>
        <v>351.4265287986122</v>
      </c>
      <c r="E13" s="2423">
        <f t="shared" ref="E13" si="99">E14*(1+P13)</f>
        <v>685.98209703803116</v>
      </c>
      <c r="F13" s="2423">
        <f t="shared" ref="F13" si="100">F14*(1+Q13)</f>
        <v>316.78315206651001</v>
      </c>
      <c r="G13" s="2413">
        <v>2019</v>
      </c>
      <c r="H13" s="2424">
        <v>4</v>
      </c>
      <c r="I13" s="2424">
        <v>0.45</v>
      </c>
      <c r="J13" s="2424">
        <v>-0.12</v>
      </c>
      <c r="K13" s="2424">
        <v>0.54</v>
      </c>
      <c r="L13" s="2430">
        <v>0.48</v>
      </c>
      <c r="M13" s="2409"/>
      <c r="N13" s="2425">
        <f t="shared" ref="N13:N18" si="101">I13/100</f>
        <v>4.5000000000000005E-3</v>
      </c>
      <c r="O13" s="2410">
        <f t="shared" ref="O13" si="102">J13/100</f>
        <v>-1.1999999999999999E-3</v>
      </c>
      <c r="P13" s="2410">
        <f t="shared" ref="P13" si="103">K13/100</f>
        <v>5.4000000000000003E-3</v>
      </c>
      <c r="Q13" s="2410">
        <f t="shared" ref="Q13" si="104">L13/100</f>
        <v>4.7999999999999996E-3</v>
      </c>
      <c r="R13" s="2426"/>
      <c r="S13" s="2425"/>
      <c r="T13" s="2410"/>
      <c r="U13" s="2410"/>
      <c r="V13" s="2410"/>
      <c r="W13" s="2427"/>
      <c r="X13" s="2427">
        <f>ROUND(IF(项目基本情况!B8="出让",SUMPRODUCT(PRODUCT(1+N13:N$36)),SUMPRODUCT(PRODUCT(1+N13:N$35))),4)</f>
        <v>1.5586</v>
      </c>
      <c r="Y13" s="2427">
        <f>ROUND(IF(项目基本情况!B8="出让",SUMPRODUCT(PRODUCT(1+O13:O$36)),SUMPRODUCT(PRODUCT(1+O13:O$35))),4)</f>
        <v>1.3633</v>
      </c>
      <c r="Z13" s="2427">
        <f t="shared" ref="Z13" si="105">Y13</f>
        <v>1.3633</v>
      </c>
      <c r="AA13" s="2427">
        <f>ROUND(IF(项目基本情况!B8="出让",SUMPRODUCT(PRODUCT(1+P13:P$36)),SUMPRODUCT(PRODUCT(1+P13:P$35))),4)</f>
        <v>1.6221000000000001</v>
      </c>
      <c r="AB13" s="2427">
        <f>ROUND(IF(项目基本情况!B8="出让",SUMPRODUCT(PRODUCT(1+Q13:Q$36)),SUMPRODUCT(PRODUCT(1+Q13:Q$35))),4)</f>
        <v>1.3777999999999999</v>
      </c>
      <c r="AC13" s="2427"/>
      <c r="AD13" s="2428">
        <f>ROUND(AVERAGE(I13:I$36)/100,4)</f>
        <v>0.02</v>
      </c>
      <c r="AE13" s="2428">
        <f>ROUND(AVERAGE(J13:J$36)/100,4)</f>
        <v>1.4E-2</v>
      </c>
      <c r="AF13" s="2428">
        <f t="shared" ref="AF13" si="106">AE13</f>
        <v>1.4E-2</v>
      </c>
      <c r="AG13" s="2428">
        <f>ROUND(AVERAGE(K13:K$36)/100,4)</f>
        <v>2.1899999999999999E-2</v>
      </c>
      <c r="AH13" s="2428">
        <f>ROUND(AVERAGE(L13:L$36)/100,4)</f>
        <v>1.4E-2</v>
      </c>
    </row>
    <row r="14" spans="1:34" s="2429" customFormat="1" ht="13.5" thickBot="1">
      <c r="A14" s="2422" t="s">
        <v>2868</v>
      </c>
      <c r="B14" s="2423">
        <f t="shared" ref="B14" si="107">B15*(1+N14)</f>
        <v>477.19997390765138</v>
      </c>
      <c r="C14" s="2423">
        <f t="shared" ref="C14" si="108">C15*(1+O14)</f>
        <v>351.84874729536665</v>
      </c>
      <c r="D14" s="2423">
        <f t="shared" ref="D14" si="109">C14</f>
        <v>351.84874729536665</v>
      </c>
      <c r="E14" s="2423">
        <f t="shared" ref="E14" si="110">E15*(1+P14)</f>
        <v>682.29768951465201</v>
      </c>
      <c r="F14" s="2423">
        <f t="shared" ref="F14" si="111">F15*(1+Q14)</f>
        <v>315.26985675409043</v>
      </c>
      <c r="G14" s="2413">
        <v>2019</v>
      </c>
      <c r="H14" s="2424">
        <v>3</v>
      </c>
      <c r="I14" s="2424">
        <v>0.61</v>
      </c>
      <c r="J14" s="2424">
        <v>0.67</v>
      </c>
      <c r="K14" s="2424">
        <v>0.6</v>
      </c>
      <c r="L14" s="2430">
        <v>1.03</v>
      </c>
      <c r="M14" s="2409"/>
      <c r="N14" s="2425">
        <f t="shared" si="101"/>
        <v>6.0999999999999995E-3</v>
      </c>
      <c r="O14" s="2410">
        <f t="shared" ref="O14" si="112">J14/100</f>
        <v>6.7000000000000002E-3</v>
      </c>
      <c r="P14" s="2410">
        <f t="shared" ref="P14" si="113">K14/100</f>
        <v>6.0000000000000001E-3</v>
      </c>
      <c r="Q14" s="2410">
        <f t="shared" ref="Q14" si="114">L14/100</f>
        <v>1.03E-2</v>
      </c>
      <c r="R14" s="2426"/>
      <c r="S14" s="2425"/>
      <c r="T14" s="2410"/>
      <c r="U14" s="2410"/>
      <c r="V14" s="2410"/>
      <c r="W14" s="2427"/>
      <c r="X14" s="2427">
        <f>ROUND(IF(项目基本情况!B8="出让",SUMPRODUCT(PRODUCT(1+N14:N$36)),SUMPRODUCT(PRODUCT(1+N14:N$35))),4)</f>
        <v>1.5516000000000001</v>
      </c>
      <c r="Y14" s="2427">
        <f>ROUND(IF(项目基本情况!B8="出让",SUMPRODUCT(PRODUCT(1+O14:O$36)),SUMPRODUCT(PRODUCT(1+O14:O$35))),4)</f>
        <v>1.3649</v>
      </c>
      <c r="Z14" s="2427">
        <f t="shared" ref="Z14" si="115">Y14</f>
        <v>1.3649</v>
      </c>
      <c r="AA14" s="2427">
        <f>ROUND(IF(项目基本情况!B8="出让",SUMPRODUCT(PRODUCT(1+P14:P$36)),SUMPRODUCT(PRODUCT(1+P14:P$35))),4)</f>
        <v>1.6133999999999999</v>
      </c>
      <c r="AB14" s="2427">
        <f>ROUND(IF(项目基本情况!B8="出让",SUMPRODUCT(PRODUCT(1+Q14:Q$36)),SUMPRODUCT(PRODUCT(1+Q14:Q$35))),4)</f>
        <v>1.3713</v>
      </c>
      <c r="AC14" s="2427"/>
      <c r="AD14" s="2428">
        <f>ROUND(AVERAGE(I14:I$36)/100,4)</f>
        <v>2.07E-2</v>
      </c>
      <c r="AE14" s="2428">
        <f>ROUND(AVERAGE(J14:J$36)/100,4)</f>
        <v>1.47E-2</v>
      </c>
      <c r="AF14" s="2428">
        <f t="shared" ref="AF14" si="116">AE14</f>
        <v>1.47E-2</v>
      </c>
      <c r="AG14" s="2428">
        <f>ROUND(AVERAGE(K14:K$36)/100,4)</f>
        <v>2.2599999999999999E-2</v>
      </c>
      <c r="AH14" s="2428">
        <f>ROUND(AVERAGE(L14:L$36)/100,4)</f>
        <v>1.44E-2</v>
      </c>
    </row>
    <row r="15" spans="1:34" s="2429" customFormat="1">
      <c r="A15" s="2422" t="s">
        <v>2866</v>
      </c>
      <c r="B15" s="2423">
        <f t="shared" ref="B15" si="117">B16*(1+N15)</f>
        <v>474.30670301923408</v>
      </c>
      <c r="C15" s="2423">
        <f t="shared" ref="C15" si="118">C16*(1+O15)</f>
        <v>349.50705005996491</v>
      </c>
      <c r="D15" s="2423">
        <f t="shared" ref="D15" si="119">C15</f>
        <v>349.50705005996491</v>
      </c>
      <c r="E15" s="2423">
        <f t="shared" ref="E15" si="120">E16*(1+P15)</f>
        <v>678.22831959706957</v>
      </c>
      <c r="F15" s="2423">
        <f t="shared" ref="F15" si="121">F16*(1+Q15)</f>
        <v>312.0556832169558</v>
      </c>
      <c r="G15" s="2413">
        <v>2019</v>
      </c>
      <c r="H15" s="2431">
        <v>2</v>
      </c>
      <c r="I15" s="2431">
        <v>1.53</v>
      </c>
      <c r="J15" s="2431">
        <v>1.01</v>
      </c>
      <c r="K15" s="2431">
        <v>1.62</v>
      </c>
      <c r="L15" s="2432">
        <v>1.25</v>
      </c>
      <c r="M15" s="2409"/>
      <c r="N15" s="2425">
        <f t="shared" si="101"/>
        <v>1.5300000000000001E-2</v>
      </c>
      <c r="O15" s="2410">
        <f t="shared" ref="O15" si="122">J15/100</f>
        <v>1.01E-2</v>
      </c>
      <c r="P15" s="2410">
        <f t="shared" ref="P15" si="123">K15/100</f>
        <v>1.6200000000000003E-2</v>
      </c>
      <c r="Q15" s="2410">
        <f t="shared" ref="Q15" si="124">L15/100</f>
        <v>1.2500000000000001E-2</v>
      </c>
      <c r="R15" s="2426"/>
      <c r="S15" s="2425"/>
      <c r="T15" s="2410"/>
      <c r="U15" s="2410"/>
      <c r="V15" s="2410"/>
      <c r="W15" s="2427"/>
      <c r="X15" s="2427">
        <f>ROUND(IF(项目基本情况!B8="出让",SUMPRODUCT(PRODUCT(1+N15:N$36)),SUMPRODUCT(PRODUCT(1+N15:N$35))),4)</f>
        <v>1.5422</v>
      </c>
      <c r="Y15" s="2427">
        <f>ROUND(IF(项目基本情况!B8="出让",SUMPRODUCT(PRODUCT(1+O15:O$36)),SUMPRODUCT(PRODUCT(1+O15:O$35))),4)</f>
        <v>1.3557999999999999</v>
      </c>
      <c r="Z15" s="2427">
        <f t="shared" ref="Z15" si="125">Y15</f>
        <v>1.3557999999999999</v>
      </c>
      <c r="AA15" s="2427">
        <f>ROUND(IF(项目基本情况!B8="出让",SUMPRODUCT(PRODUCT(1+P15:P$36)),SUMPRODUCT(PRODUCT(1+P15:P$35))),4)</f>
        <v>1.6036999999999999</v>
      </c>
      <c r="AB15" s="2427">
        <f>ROUND(IF(项目基本情况!B8="出让",SUMPRODUCT(PRODUCT(1+Q15:Q$36)),SUMPRODUCT(PRODUCT(1+Q15:Q$35))),4)</f>
        <v>1.3573</v>
      </c>
      <c r="AC15" s="2427"/>
      <c r="AD15" s="2428">
        <f>ROUND(AVERAGE(I15:I$36)/100,4)</f>
        <v>2.1299999999999999E-2</v>
      </c>
      <c r="AE15" s="2428">
        <f>ROUND(AVERAGE(J15:J$36)/100,4)</f>
        <v>1.4999999999999999E-2</v>
      </c>
      <c r="AF15" s="2428">
        <f t="shared" ref="AF15" si="126">AE15</f>
        <v>1.4999999999999999E-2</v>
      </c>
      <c r="AG15" s="2428">
        <f>ROUND(AVERAGE(K15:K$36)/100,4)</f>
        <v>2.3300000000000001E-2</v>
      </c>
      <c r="AH15" s="2428">
        <f>ROUND(AVERAGE(L15:L$36)/100,4)</f>
        <v>1.46E-2</v>
      </c>
    </row>
    <row r="16" spans="1:34" s="2429" customFormat="1" ht="13.5" thickBot="1">
      <c r="A16" s="2422" t="s">
        <v>2864</v>
      </c>
      <c r="B16" s="2423">
        <f t="shared" ref="B16" si="127">B17*(1+N16)</f>
        <v>467.15916775261894</v>
      </c>
      <c r="C16" s="2423">
        <f t="shared" ref="C16" si="128">C17*(1+O16)</f>
        <v>346.01232557169084</v>
      </c>
      <c r="D16" s="2423">
        <f t="shared" ref="D16" si="129">C16</f>
        <v>346.01232557169084</v>
      </c>
      <c r="E16" s="2423">
        <f t="shared" ref="E16" si="130">E17*(1+P16)</f>
        <v>667.41617752122568</v>
      </c>
      <c r="F16" s="2423">
        <f t="shared" ref="F16" si="131">F17*(1+Q16)</f>
        <v>308.20314391798104</v>
      </c>
      <c r="G16" s="2413">
        <v>2019</v>
      </c>
      <c r="H16" s="2424">
        <v>1</v>
      </c>
      <c r="I16" s="2424">
        <v>0.6</v>
      </c>
      <c r="J16" s="2424">
        <v>0.37</v>
      </c>
      <c r="K16" s="2424">
        <v>0.63</v>
      </c>
      <c r="L16" s="2430">
        <v>1.1299999999999999</v>
      </c>
      <c r="M16" s="2409"/>
      <c r="N16" s="2425">
        <f t="shared" si="101"/>
        <v>6.0000000000000001E-3</v>
      </c>
      <c r="O16" s="2410">
        <f t="shared" ref="O16" si="132">J16/100</f>
        <v>3.7000000000000002E-3</v>
      </c>
      <c r="P16" s="2410">
        <f t="shared" ref="P16" si="133">K16/100</f>
        <v>6.3E-3</v>
      </c>
      <c r="Q16" s="2410">
        <f t="shared" ref="Q16" si="134">L16/100</f>
        <v>1.1299999999999999E-2</v>
      </c>
      <c r="R16" s="2426"/>
      <c r="S16" s="2425">
        <f>B16/B17-1</f>
        <v>6.0000000000000053E-3</v>
      </c>
      <c r="T16" s="2410">
        <f t="shared" ref="T16" si="135">C16/C17-1</f>
        <v>3.7000000000000366E-3</v>
      </c>
      <c r="U16" s="2410">
        <f t="shared" ref="U16" si="136">D16/D17-1</f>
        <v>3.7000000000000366E-3</v>
      </c>
      <c r="V16" s="2410">
        <f t="shared" ref="V16" si="137">E16/E17-1</f>
        <v>6.2999999999999723E-3</v>
      </c>
      <c r="W16" s="2427"/>
      <c r="X16" s="2427">
        <f>ROUND(IF(项目基本情况!B8="出让",SUMPRODUCT(PRODUCT(1+N16:N$36)),SUMPRODUCT(PRODUCT(1+N16:N$35))),4)</f>
        <v>1.5189999999999999</v>
      </c>
      <c r="Y16" s="2427">
        <f>ROUND(IF(项目基本情况!B8="出让",SUMPRODUCT(PRODUCT(1+O16:O$36)),SUMPRODUCT(PRODUCT(1+O16:O$35))),4)</f>
        <v>1.3423</v>
      </c>
      <c r="Z16" s="2427">
        <f t="shared" ref="Z16" si="138">Y16</f>
        <v>1.3423</v>
      </c>
      <c r="AA16" s="2427">
        <f>ROUND(IF(项目基本情况!B8="出让",SUMPRODUCT(PRODUCT(1+P16:P$36)),SUMPRODUCT(PRODUCT(1+P16:P$35))),4)</f>
        <v>1.5782</v>
      </c>
      <c r="AB16" s="2427">
        <f>ROUND(IF(项目基本情况!B8="出让",SUMPRODUCT(PRODUCT(1+Q16:Q$36)),SUMPRODUCT(PRODUCT(1+Q16:Q$35))),4)</f>
        <v>1.3405</v>
      </c>
      <c r="AC16" s="2427"/>
      <c r="AD16" s="2428">
        <f>ROUND(AVERAGE(I16:I$36)/100,4)</f>
        <v>2.1600000000000001E-2</v>
      </c>
      <c r="AE16" s="2428">
        <f>ROUND(AVERAGE(J16:J$36)/100,4)</f>
        <v>1.5299999999999999E-2</v>
      </c>
      <c r="AF16" s="2428">
        <f t="shared" ref="AF16" si="139">AE16</f>
        <v>1.5299999999999999E-2</v>
      </c>
      <c r="AG16" s="2428">
        <f>ROUND(AVERAGE(K16:K$36)/100,4)</f>
        <v>2.3699999999999999E-2</v>
      </c>
      <c r="AH16" s="2428">
        <f>ROUND(AVERAGE(L16:L$36)/100,4)</f>
        <v>1.47E-2</v>
      </c>
    </row>
    <row r="17" spans="1:34" s="2429" customFormat="1">
      <c r="A17" s="2422" t="s">
        <v>2867</v>
      </c>
      <c r="B17" s="2433">
        <f t="shared" ref="B17" si="140">B18*(1+N17)</f>
        <v>464.37293017158942</v>
      </c>
      <c r="C17" s="2433">
        <f t="shared" ref="C17" si="141">C18*(1+O17)</f>
        <v>344.73679941385956</v>
      </c>
      <c r="D17" s="2433">
        <f t="shared" ref="D17" si="142">C17</f>
        <v>344.73679941385956</v>
      </c>
      <c r="E17" s="2433">
        <f t="shared" ref="E17" si="143">E18*(1+P17)</f>
        <v>663.2377795103107</v>
      </c>
      <c r="F17" s="2434">
        <f t="shared" ref="F17" si="144">F18*(1+Q17)</f>
        <v>304.75936311478398</v>
      </c>
      <c r="G17" s="3420">
        <v>2018</v>
      </c>
      <c r="H17" s="2431">
        <v>4</v>
      </c>
      <c r="I17" s="2431">
        <v>0.96</v>
      </c>
      <c r="J17" s="2431">
        <v>1.03</v>
      </c>
      <c r="K17" s="2431">
        <v>0.92</v>
      </c>
      <c r="L17" s="2432">
        <v>1.29</v>
      </c>
      <c r="M17" s="2409"/>
      <c r="N17" s="2425">
        <f t="shared" si="101"/>
        <v>9.5999999999999992E-3</v>
      </c>
      <c r="O17" s="2410">
        <f t="shared" ref="O17" si="145">J17/100</f>
        <v>1.03E-2</v>
      </c>
      <c r="P17" s="2410">
        <f t="shared" ref="P17" si="146">K17/100</f>
        <v>9.1999999999999998E-3</v>
      </c>
      <c r="Q17" s="2410">
        <f t="shared" ref="Q17" si="147">L17/100</f>
        <v>1.29E-2</v>
      </c>
      <c r="R17" s="2426"/>
      <c r="S17" s="2425"/>
      <c r="T17" s="2410"/>
      <c r="U17" s="2410"/>
      <c r="V17" s="2410"/>
      <c r="W17" s="2427"/>
      <c r="X17" s="2427">
        <f>ROUND(SUMPRODUCT(PRODUCT(1+N17:N$35)),4)</f>
        <v>1.5099</v>
      </c>
      <c r="Y17" s="2427">
        <f>ROUND(SUMPRODUCT(PRODUCT(1+O17:O$35)),4)</f>
        <v>1.3372999999999999</v>
      </c>
      <c r="Z17" s="2427">
        <f t="shared" ref="Z17" si="148">Y17</f>
        <v>1.3372999999999999</v>
      </c>
      <c r="AA17" s="2427">
        <f>ROUND(SUMPRODUCT(PRODUCT(1+P17:P$35)),4)</f>
        <v>1.5683</v>
      </c>
      <c r="AB17" s="2427">
        <f>ROUND(SUMPRODUCT(PRODUCT(1+Q17:Q$35)),4)</f>
        <v>1.3255999999999999</v>
      </c>
      <c r="AC17" s="2427"/>
      <c r="AD17" s="2428">
        <f>ROUND(AVERAGE(I17:I$36)/100,4)</f>
        <v>2.24E-2</v>
      </c>
      <c r="AE17" s="2428">
        <f>ROUND(AVERAGE(J17:J$36)/100,4)</f>
        <v>1.5800000000000002E-2</v>
      </c>
      <c r="AF17" s="2428">
        <f t="shared" ref="AF17" si="149">AE17</f>
        <v>1.5800000000000002E-2</v>
      </c>
      <c r="AG17" s="2428">
        <f>ROUND(AVERAGE(K17:K$36)/100,4)</f>
        <v>2.4500000000000001E-2</v>
      </c>
      <c r="AH17" s="2428">
        <f>ROUND(AVERAGE(L17:L$36)/100,4)</f>
        <v>1.49E-2</v>
      </c>
    </row>
    <row r="18" spans="1:34" s="2429" customFormat="1" ht="14.45" customHeight="1">
      <c r="A18" s="2422" t="s">
        <v>2862</v>
      </c>
      <c r="B18" s="2423">
        <f t="shared" ref="B18" si="150">B19*(1+N18)</f>
        <v>459.95733971036987</v>
      </c>
      <c r="C18" s="2423">
        <f t="shared" ref="C18" si="151">C19*(1+O18)</f>
        <v>341.22221064422405</v>
      </c>
      <c r="D18" s="2423">
        <f t="shared" ref="D18" si="152">C18</f>
        <v>341.22221064422405</v>
      </c>
      <c r="E18" s="2423">
        <f t="shared" ref="E18" si="153">E19*(1+P18)</f>
        <v>657.19161663724799</v>
      </c>
      <c r="F18" s="2423">
        <f t="shared" ref="F18" si="154">F19*(1+Q18)</f>
        <v>300.87803644464805</v>
      </c>
      <c r="G18" s="3420"/>
      <c r="H18" s="2424">
        <v>3</v>
      </c>
      <c r="I18" s="2424">
        <v>1.51</v>
      </c>
      <c r="J18" s="2424">
        <v>1.41</v>
      </c>
      <c r="K18" s="2424">
        <v>1.52</v>
      </c>
      <c r="L18" s="2430">
        <v>1.74</v>
      </c>
      <c r="M18" s="2409"/>
      <c r="N18" s="2425">
        <f t="shared" si="101"/>
        <v>1.5100000000000001E-2</v>
      </c>
      <c r="O18" s="2410">
        <f t="shared" ref="O18" si="155">J18/100</f>
        <v>1.41E-2</v>
      </c>
      <c r="P18" s="2410">
        <f t="shared" ref="P18" si="156">K18/100</f>
        <v>1.52E-2</v>
      </c>
      <c r="Q18" s="2410">
        <f t="shared" ref="Q18" si="157">L18/100</f>
        <v>1.7399999999999999E-2</v>
      </c>
      <c r="R18" s="2426"/>
      <c r="S18" s="2425"/>
      <c r="T18" s="2410"/>
      <c r="U18" s="2410"/>
      <c r="V18" s="2410"/>
      <c r="W18" s="2427"/>
      <c r="X18" s="2427">
        <f>ROUND(SUMPRODUCT(PRODUCT(1+N18:N$35)),4)</f>
        <v>1.4956</v>
      </c>
      <c r="Y18" s="2427">
        <f>ROUND(SUMPRODUCT(PRODUCT(1+O18:O$35)),4)</f>
        <v>1.3237000000000001</v>
      </c>
      <c r="Z18" s="2427">
        <f t="shared" ref="Z18" si="158">Y18</f>
        <v>1.3237000000000001</v>
      </c>
      <c r="AA18" s="2427">
        <f>ROUND(SUMPRODUCT(PRODUCT(1+P18:P$35)),4)</f>
        <v>1.554</v>
      </c>
      <c r="AB18" s="2427">
        <f>ROUND(SUMPRODUCT(PRODUCT(1+Q18:Q$35)),4)</f>
        <v>1.3087</v>
      </c>
      <c r="AC18" s="2427"/>
      <c r="AD18" s="2428">
        <f>ROUND(AVERAGE(I18:I$36)/100,4)</f>
        <v>2.3099999999999999E-2</v>
      </c>
      <c r="AE18" s="2428">
        <f>ROUND(AVERAGE(J18:J$36)/100,4)</f>
        <v>1.61E-2</v>
      </c>
      <c r="AF18" s="2428">
        <f t="shared" ref="AF18" si="159">AE18</f>
        <v>1.61E-2</v>
      </c>
      <c r="AG18" s="2428">
        <f>ROUND(AVERAGE(K18:K$36)/100,4)</f>
        <v>2.53E-2</v>
      </c>
      <c r="AH18" s="2428">
        <f>ROUND(AVERAGE(L18:L$36)/100,4)</f>
        <v>1.4999999999999999E-2</v>
      </c>
    </row>
    <row r="19" spans="1:34" s="2429" customFormat="1" ht="14.45" customHeight="1">
      <c r="A19" s="2422" t="s">
        <v>2861</v>
      </c>
      <c r="B19" s="2423">
        <f t="shared" ref="B19" si="160">B20*(1+N19)</f>
        <v>453.11529869999993</v>
      </c>
      <c r="C19" s="2423">
        <f t="shared" ref="C19" si="161">C20*(1+O19)</f>
        <v>336.47787264000004</v>
      </c>
      <c r="D19" s="2423">
        <f t="shared" ref="D19" si="162">C19</f>
        <v>336.47787264000004</v>
      </c>
      <c r="E19" s="2423">
        <f t="shared" ref="E19" si="163">E20*(1+P19)</f>
        <v>647.35186823999993</v>
      </c>
      <c r="F19" s="2423">
        <f t="shared" ref="F19" si="164">F20*(1+Q19)</f>
        <v>295.73229452000004</v>
      </c>
      <c r="G19" s="3420"/>
      <c r="H19" s="2435">
        <v>2</v>
      </c>
      <c r="I19" s="2435">
        <v>1.49</v>
      </c>
      <c r="J19" s="2435">
        <v>0.96</v>
      </c>
      <c r="K19" s="2435">
        <v>1.58</v>
      </c>
      <c r="L19" s="2436">
        <v>2.44</v>
      </c>
      <c r="M19" s="2409"/>
      <c r="N19" s="2425">
        <f t="shared" ref="N19" si="165">I19/100</f>
        <v>1.49E-2</v>
      </c>
      <c r="O19" s="2410">
        <f t="shared" ref="O19" si="166">J19/100</f>
        <v>9.5999999999999992E-3</v>
      </c>
      <c r="P19" s="2410">
        <f t="shared" ref="P19" si="167">K19/100</f>
        <v>1.5800000000000002E-2</v>
      </c>
      <c r="Q19" s="2410">
        <f t="shared" ref="Q19" si="168">L19/100</f>
        <v>2.4399999999999998E-2</v>
      </c>
      <c r="R19" s="2426"/>
      <c r="S19" s="2425"/>
      <c r="T19" s="2410"/>
      <c r="U19" s="2410"/>
      <c r="V19" s="2410"/>
      <c r="W19" s="2427"/>
      <c r="X19" s="2427">
        <f>ROUND(SUMPRODUCT(PRODUCT(1+N19:N$35)),4)</f>
        <v>1.4733000000000001</v>
      </c>
      <c r="Y19" s="2427">
        <f>ROUND(SUMPRODUCT(PRODUCT(1+O19:O$35)),4)</f>
        <v>1.3052999999999999</v>
      </c>
      <c r="Z19" s="2427">
        <f t="shared" ref="Z19" si="169">Y19</f>
        <v>1.3052999999999999</v>
      </c>
      <c r="AA19" s="2427">
        <f>ROUND(SUMPRODUCT(PRODUCT(1+P19:P$35)),4)</f>
        <v>1.5306999999999999</v>
      </c>
      <c r="AB19" s="2427">
        <f>ROUND(SUMPRODUCT(PRODUCT(1+Q19:Q$35)),4)</f>
        <v>1.2863</v>
      </c>
      <c r="AC19" s="2427"/>
      <c r="AD19" s="2428">
        <f>ROUND(AVERAGE(I19:I$36)/100,4)</f>
        <v>2.35E-2</v>
      </c>
      <c r="AE19" s="2428">
        <f>ROUND(AVERAGE(J19:J$36)/100,4)</f>
        <v>1.6199999999999999E-2</v>
      </c>
      <c r="AF19" s="2428">
        <f t="shared" ref="AF19" si="170">AE19</f>
        <v>1.6199999999999999E-2</v>
      </c>
      <c r="AG19" s="2428">
        <f>ROUND(AVERAGE(K19:K$36)/100,4)</f>
        <v>2.5899999999999999E-2</v>
      </c>
      <c r="AH19" s="2428">
        <f>ROUND(AVERAGE(L19:L$36)/100,4)</f>
        <v>1.49E-2</v>
      </c>
    </row>
    <row r="20" spans="1:34" s="2429" customFormat="1" ht="15" customHeight="1" thickBot="1">
      <c r="A20" s="2422" t="s">
        <v>2854</v>
      </c>
      <c r="B20" s="2423">
        <f t="shared" ref="B20" si="171">B21*(1+N20)</f>
        <v>446.46299999999997</v>
      </c>
      <c r="C20" s="2423">
        <f t="shared" ref="C20" si="172">C21*(1+O20)</f>
        <v>333.27840000000003</v>
      </c>
      <c r="D20" s="2423">
        <f t="shared" ref="D20" si="173">C20</f>
        <v>333.27840000000003</v>
      </c>
      <c r="E20" s="2423">
        <f t="shared" ref="E20" si="174">E21*(1+P20)</f>
        <v>637.28279999999995</v>
      </c>
      <c r="F20" s="2423">
        <f t="shared" ref="F20" si="175">F21*(1+Q20)</f>
        <v>288.68830000000003</v>
      </c>
      <c r="G20" s="3429"/>
      <c r="H20" s="2424">
        <v>1</v>
      </c>
      <c r="I20" s="2424">
        <v>1.7</v>
      </c>
      <c r="J20" s="2424">
        <v>1.92</v>
      </c>
      <c r="K20" s="2424">
        <v>1.64</v>
      </c>
      <c r="L20" s="2430">
        <v>2.0099999999999998</v>
      </c>
      <c r="M20" s="2409"/>
      <c r="N20" s="2425">
        <f t="shared" ref="N20:N25" si="176">I20/100</f>
        <v>1.7000000000000001E-2</v>
      </c>
      <c r="O20" s="2410">
        <f t="shared" ref="O20" si="177">J20/100</f>
        <v>1.9199999999999998E-2</v>
      </c>
      <c r="P20" s="2410">
        <f t="shared" ref="P20" si="178">K20/100</f>
        <v>1.6399999999999998E-2</v>
      </c>
      <c r="Q20" s="2410">
        <f t="shared" ref="Q20" si="179">L20/100</f>
        <v>2.0099999999999996E-2</v>
      </c>
      <c r="R20" s="2426"/>
      <c r="S20" s="2425">
        <f>B20/B21-1</f>
        <v>1.6999999999999904E-2</v>
      </c>
      <c r="T20" s="2410">
        <f t="shared" ref="T20" si="180">C20/C21-1</f>
        <v>1.9200000000000106E-2</v>
      </c>
      <c r="U20" s="2410">
        <f t="shared" ref="U20" si="181">D20/D21-1</f>
        <v>1.9200000000000106E-2</v>
      </c>
      <c r="V20" s="2410">
        <f t="shared" ref="V20" si="182">E20/E21-1</f>
        <v>1.639999999999997E-2</v>
      </c>
      <c r="W20" s="2427"/>
      <c r="X20" s="2427">
        <f>ROUND(SUMPRODUCT(PRODUCT(1+N20:N$35)),4)</f>
        <v>1.4517</v>
      </c>
      <c r="Y20" s="2427">
        <f>ROUND(SUMPRODUCT(PRODUCT(1+O20:O$35)),4)</f>
        <v>1.2928999999999999</v>
      </c>
      <c r="Z20" s="2427">
        <f t="shared" ref="Z20" si="183">Y20</f>
        <v>1.2928999999999999</v>
      </c>
      <c r="AA20" s="2427">
        <f>ROUND(SUMPRODUCT(PRODUCT(1+P20:P$35)),4)</f>
        <v>1.5068999999999999</v>
      </c>
      <c r="AB20" s="2427">
        <f>ROUND(SUMPRODUCT(PRODUCT(1+Q20:Q$35)),4)</f>
        <v>1.2557</v>
      </c>
      <c r="AC20" s="2427"/>
      <c r="AD20" s="2428">
        <f>ROUND(AVERAGE(I20:I$36)/100,4)</f>
        <v>2.4E-2</v>
      </c>
      <c r="AE20" s="2428">
        <f>ROUND(AVERAGE(J20:J$36)/100,4)</f>
        <v>1.66E-2</v>
      </c>
      <c r="AF20" s="2428">
        <f t="shared" ref="AF20" si="184">AE20</f>
        <v>1.66E-2</v>
      </c>
      <c r="AG20" s="2428">
        <f>ROUND(AVERAGE(K20:K$36)/100,4)</f>
        <v>2.6499999999999999E-2</v>
      </c>
      <c r="AH20" s="2428">
        <f>ROUND(AVERAGE(L20:L$36)/100,4)</f>
        <v>1.43E-2</v>
      </c>
    </row>
    <row r="21" spans="1:34">
      <c r="A21" s="2422" t="s">
        <v>2852</v>
      </c>
      <c r="B21" s="2437">
        <v>439</v>
      </c>
      <c r="C21" s="2437">
        <v>327</v>
      </c>
      <c r="D21" s="2437">
        <f>C21</f>
        <v>327</v>
      </c>
      <c r="E21" s="2437">
        <v>627</v>
      </c>
      <c r="F21" s="2438">
        <v>283</v>
      </c>
      <c r="G21" s="3425">
        <v>2017</v>
      </c>
      <c r="H21" s="2431">
        <v>4</v>
      </c>
      <c r="I21" s="2431">
        <v>1.71</v>
      </c>
      <c r="J21" s="2431">
        <v>1.78</v>
      </c>
      <c r="K21" s="2431">
        <v>1.71</v>
      </c>
      <c r="L21" s="2432">
        <v>1.43</v>
      </c>
      <c r="N21" s="2425">
        <f t="shared" si="176"/>
        <v>1.7100000000000001E-2</v>
      </c>
      <c r="O21" s="2410">
        <f t="shared" ref="O21" si="185">J21/100</f>
        <v>1.78E-2</v>
      </c>
      <c r="P21" s="2410">
        <f t="shared" ref="P21" si="186">K21/100</f>
        <v>1.7100000000000001E-2</v>
      </c>
      <c r="Q21" s="2410">
        <f t="shared" ref="Q21" si="187">L21/100</f>
        <v>1.43E-2</v>
      </c>
      <c r="R21" s="2426"/>
      <c r="S21" s="2439"/>
      <c r="T21" s="2440"/>
      <c r="U21" s="2440"/>
      <c r="V21" s="2440"/>
      <c r="X21" s="2409">
        <f>ROUND(SUMPRODUCT(PRODUCT(1+N21:N$35)),4)</f>
        <v>1.4274</v>
      </c>
      <c r="Y21" s="2409">
        <f>ROUND(SUMPRODUCT(PRODUCT(1+O21:O$35)),4)</f>
        <v>1.2685</v>
      </c>
      <c r="Z21" s="2409">
        <f t="shared" si="0"/>
        <v>1.2685</v>
      </c>
      <c r="AA21" s="2409">
        <f>ROUND(SUMPRODUCT(PRODUCT(1+P21:P$35)),4)</f>
        <v>1.4825999999999999</v>
      </c>
      <c r="AB21" s="2409">
        <f>ROUND(SUMPRODUCT(PRODUCT(1+Q21:Q$35)),4)</f>
        <v>1.2309000000000001</v>
      </c>
      <c r="AD21" s="2410">
        <f>ROUND(AVERAGE(I21:I$36)/100,4)</f>
        <v>2.4500000000000001E-2</v>
      </c>
      <c r="AE21" s="2410">
        <f>ROUND(AVERAGE(J21:J$36)/100,4)</f>
        <v>1.6500000000000001E-2</v>
      </c>
      <c r="AF21" s="2410">
        <f t="shared" si="1"/>
        <v>1.6500000000000001E-2</v>
      </c>
      <c r="AG21" s="2410">
        <f>ROUND(AVERAGE(K21:K$36)/100,4)</f>
        <v>2.7099999999999999E-2</v>
      </c>
      <c r="AH21" s="2410">
        <f>ROUND(AVERAGE(L21:L$36)/100,4)</f>
        <v>1.3899999999999999E-2</v>
      </c>
    </row>
    <row r="22" spans="1:34" s="2429" customFormat="1" ht="14.45" customHeight="1">
      <c r="A22" s="2422" t="s">
        <v>2853</v>
      </c>
      <c r="B22" s="2423">
        <f t="shared" ref="B22:B23" si="188">B23*(1+N22)</f>
        <v>431.80730811680002</v>
      </c>
      <c r="C22" s="2423">
        <f t="shared" ref="C22:C23" si="189">C23*(1+O22)</f>
        <v>320.57880516480003</v>
      </c>
      <c r="D22" s="2423">
        <f t="shared" ref="D22:D23" si="190">C22</f>
        <v>320.57880516480003</v>
      </c>
      <c r="E22" s="2423">
        <f t="shared" ref="E22:E23" si="191">E23*(1+P22)</f>
        <v>615.96110553196797</v>
      </c>
      <c r="F22" s="2423">
        <f t="shared" ref="F22:F23" si="192">F23*(1+Q22)</f>
        <v>279.46777300108801</v>
      </c>
      <c r="G22" s="3420"/>
      <c r="H22" s="2424">
        <v>3</v>
      </c>
      <c r="I22" s="2424">
        <v>2.98</v>
      </c>
      <c r="J22" s="2424">
        <v>2.11</v>
      </c>
      <c r="K22" s="2424">
        <v>3.24</v>
      </c>
      <c r="L22" s="2430">
        <v>1.72</v>
      </c>
      <c r="M22" s="2409"/>
      <c r="N22" s="2425">
        <f t="shared" si="176"/>
        <v>2.98E-2</v>
      </c>
      <c r="O22" s="2410">
        <f t="shared" ref="O22" si="193">J22/100</f>
        <v>2.1099999999999997E-2</v>
      </c>
      <c r="P22" s="2410">
        <f t="shared" ref="P22" si="194">K22/100</f>
        <v>3.2400000000000005E-2</v>
      </c>
      <c r="Q22" s="2410">
        <f t="shared" ref="Q22" si="195">L22/100</f>
        <v>1.72E-2</v>
      </c>
      <c r="R22" s="2426"/>
      <c r="S22" s="2425"/>
      <c r="T22" s="2410"/>
      <c r="U22" s="2410"/>
      <c r="V22" s="2410"/>
      <c r="W22" s="2427"/>
      <c r="X22" s="2427">
        <f>ROUND(SUMPRODUCT(PRODUCT(1+N22:N$35)),4)</f>
        <v>1.4034</v>
      </c>
      <c r="Y22" s="2427">
        <f>ROUND(SUMPRODUCT(PRODUCT(1+O22:O$35)),4)</f>
        <v>1.2463</v>
      </c>
      <c r="Z22" s="2427">
        <f t="shared" si="0"/>
        <v>1.2463</v>
      </c>
      <c r="AA22" s="2427">
        <f>ROUND(SUMPRODUCT(PRODUCT(1+P22:P$35)),4)</f>
        <v>1.4577</v>
      </c>
      <c r="AB22" s="2427">
        <f>ROUND(SUMPRODUCT(PRODUCT(1+Q22:Q$35)),4)</f>
        <v>1.2136</v>
      </c>
      <c r="AC22" s="2427"/>
      <c r="AD22" s="2428">
        <f>ROUND(AVERAGE(I22:I$36)/100,4)</f>
        <v>2.4899999999999999E-2</v>
      </c>
      <c r="AE22" s="2428">
        <f>ROUND(AVERAGE(J22:J$36)/100,4)</f>
        <v>1.6400000000000001E-2</v>
      </c>
      <c r="AF22" s="2428">
        <f t="shared" si="1"/>
        <v>1.6400000000000001E-2</v>
      </c>
      <c r="AG22" s="2428">
        <f>ROUND(AVERAGE(K22:K$36)/100,4)</f>
        <v>2.7799999999999998E-2</v>
      </c>
      <c r="AH22" s="2428">
        <f>ROUND(AVERAGE(L22:L$36)/100,4)</f>
        <v>1.3899999999999999E-2</v>
      </c>
    </row>
    <row r="23" spans="1:34" s="2416" customFormat="1" ht="14.45" customHeight="1">
      <c r="A23" s="2422" t="s">
        <v>1351</v>
      </c>
      <c r="B23" s="2423">
        <f t="shared" si="188"/>
        <v>419.31181600000002</v>
      </c>
      <c r="C23" s="2423">
        <f t="shared" si="189"/>
        <v>313.95436800000004</v>
      </c>
      <c r="D23" s="2423">
        <f t="shared" si="190"/>
        <v>313.95436800000004</v>
      </c>
      <c r="E23" s="2423">
        <f t="shared" si="191"/>
        <v>596.63028431999999</v>
      </c>
      <c r="F23" s="2423">
        <f t="shared" si="192"/>
        <v>274.74220703999998</v>
      </c>
      <c r="G23" s="3420"/>
      <c r="H23" s="2435">
        <v>2</v>
      </c>
      <c r="I23" s="2435">
        <v>3.4</v>
      </c>
      <c r="J23" s="2435">
        <v>2</v>
      </c>
      <c r="K23" s="2435">
        <v>3.82</v>
      </c>
      <c r="L23" s="2436">
        <v>1.68</v>
      </c>
      <c r="M23" s="2409"/>
      <c r="N23" s="2425">
        <f t="shared" si="176"/>
        <v>3.4000000000000002E-2</v>
      </c>
      <c r="O23" s="2410">
        <f t="shared" ref="O23" si="196">J23/100</f>
        <v>0.02</v>
      </c>
      <c r="P23" s="2410">
        <f t="shared" ref="P23" si="197">K23/100</f>
        <v>3.8199999999999998E-2</v>
      </c>
      <c r="Q23" s="2410">
        <f t="shared" ref="Q23" si="198">L23/100</f>
        <v>1.6799999999999999E-2</v>
      </c>
      <c r="R23" s="2426"/>
      <c r="S23" s="2439"/>
      <c r="T23" s="2440"/>
      <c r="U23" s="2440"/>
      <c r="V23" s="2440"/>
      <c r="W23" s="2403"/>
      <c r="X23" s="2427">
        <f>ROUND(SUMPRODUCT(PRODUCT(1+N23:N$35)),4)</f>
        <v>1.3628</v>
      </c>
      <c r="Y23" s="2427">
        <f>ROUND(SUMPRODUCT(PRODUCT(1+O23:O$35)),4)</f>
        <v>1.2205999999999999</v>
      </c>
      <c r="Z23" s="2427">
        <f t="shared" si="0"/>
        <v>1.2205999999999999</v>
      </c>
      <c r="AA23" s="2427">
        <f>ROUND(SUMPRODUCT(PRODUCT(1+P23:P$35)),4)</f>
        <v>1.4118999999999999</v>
      </c>
      <c r="AB23" s="2427">
        <f>ROUND(SUMPRODUCT(PRODUCT(1+Q23:Q$35)),4)</f>
        <v>1.1930000000000001</v>
      </c>
      <c r="AC23" s="2403"/>
      <c r="AD23" s="2428">
        <f>ROUND(AVERAGE(I23:I$36)/100,4)</f>
        <v>2.46E-2</v>
      </c>
      <c r="AE23" s="2428">
        <f>ROUND(AVERAGE(J23:J$36)/100,4)</f>
        <v>1.6E-2</v>
      </c>
      <c r="AF23" s="2428">
        <f t="shared" si="1"/>
        <v>1.6E-2</v>
      </c>
      <c r="AG23" s="2428">
        <f>ROUND(AVERAGE(K23:K$36)/100,4)</f>
        <v>2.75E-2</v>
      </c>
      <c r="AH23" s="2428">
        <f>ROUND(AVERAGE(L23:L$36)/100,4)</f>
        <v>1.37E-2</v>
      </c>
    </row>
    <row r="24" spans="1:34" s="2429" customFormat="1" ht="15" customHeight="1" thickBot="1">
      <c r="A24" s="2422" t="s">
        <v>1128</v>
      </c>
      <c r="B24" s="2423">
        <f>B25*(1+N24)</f>
        <v>405.524</v>
      </c>
      <c r="C24" s="2423">
        <f>C25*(1+O24)</f>
        <v>307.79840000000002</v>
      </c>
      <c r="D24" s="2423">
        <f>C24</f>
        <v>307.79840000000002</v>
      </c>
      <c r="E24" s="2423">
        <f>E25*(1+P24)</f>
        <v>574.67759999999998</v>
      </c>
      <c r="F24" s="2423">
        <f>F25*(1+Q24)</f>
        <v>270.20280000000002</v>
      </c>
      <c r="G24" s="3429"/>
      <c r="H24" s="2424">
        <v>1</v>
      </c>
      <c r="I24" s="2424">
        <v>3.45</v>
      </c>
      <c r="J24" s="2424">
        <v>1.92</v>
      </c>
      <c r="K24" s="2424">
        <v>3.92</v>
      </c>
      <c r="L24" s="2430">
        <v>1.58</v>
      </c>
      <c r="M24" s="2409"/>
      <c r="N24" s="2425">
        <f t="shared" si="176"/>
        <v>3.4500000000000003E-2</v>
      </c>
      <c r="O24" s="2410">
        <f t="shared" ref="O24:Q39" si="199">J24/100</f>
        <v>1.9199999999999998E-2</v>
      </c>
      <c r="P24" s="2410">
        <f t="shared" si="199"/>
        <v>3.9199999999999999E-2</v>
      </c>
      <c r="Q24" s="2410">
        <f t="shared" si="199"/>
        <v>1.5800000000000002E-2</v>
      </c>
      <c r="R24" s="2426"/>
      <c r="S24" s="2425">
        <f>B24/B25-1</f>
        <v>3.4499999999999975E-2</v>
      </c>
      <c r="T24" s="2410">
        <f t="shared" ref="T24:V24" si="200">C24/C25-1</f>
        <v>1.9200000000000106E-2</v>
      </c>
      <c r="U24" s="2410">
        <f t="shared" si="200"/>
        <v>1.9200000000000106E-2</v>
      </c>
      <c r="V24" s="2410">
        <f t="shared" si="200"/>
        <v>3.9199999999999902E-2</v>
      </c>
      <c r="W24" s="2427"/>
      <c r="X24" s="2427">
        <f>ROUND(SUMPRODUCT(PRODUCT(1+N24:N$35)),4)</f>
        <v>1.3180000000000001</v>
      </c>
      <c r="Y24" s="2427">
        <f>ROUND(SUMPRODUCT(PRODUCT(1+O24:O$35)),4)</f>
        <v>1.1966000000000001</v>
      </c>
      <c r="Z24" s="2427">
        <f t="shared" si="0"/>
        <v>1.1966000000000001</v>
      </c>
      <c r="AA24" s="2427">
        <f>ROUND(SUMPRODUCT(PRODUCT(1+P24:P$35)),4)</f>
        <v>1.36</v>
      </c>
      <c r="AB24" s="2427">
        <f>ROUND(SUMPRODUCT(PRODUCT(1+Q24:Q$35)),4)</f>
        <v>1.1733</v>
      </c>
      <c r="AC24" s="2427"/>
      <c r="AD24" s="2428">
        <f>ROUND(AVERAGE(I24:I$36)/100,4)</f>
        <v>2.3900000000000001E-2</v>
      </c>
      <c r="AE24" s="2428">
        <f>ROUND(AVERAGE(J24:J$36)/100,4)</f>
        <v>1.5699999999999999E-2</v>
      </c>
      <c r="AF24" s="2428">
        <f t="shared" si="1"/>
        <v>1.5699999999999999E-2</v>
      </c>
      <c r="AG24" s="2428">
        <f>ROUND(AVERAGE(K24:K$36)/100,4)</f>
        <v>2.6599999999999999E-2</v>
      </c>
      <c r="AH24" s="2428">
        <f>ROUND(AVERAGE(L24:L$36)/100,4)</f>
        <v>1.34E-2</v>
      </c>
    </row>
    <row r="25" spans="1:34">
      <c r="A25" s="2422" t="s">
        <v>154</v>
      </c>
      <c r="B25" s="2437">
        <v>392</v>
      </c>
      <c r="C25" s="2437">
        <v>302</v>
      </c>
      <c r="D25" s="2437">
        <f>C25</f>
        <v>302</v>
      </c>
      <c r="E25" s="2437">
        <v>553</v>
      </c>
      <c r="F25" s="2438">
        <v>266</v>
      </c>
      <c r="G25" s="3425">
        <v>2016</v>
      </c>
      <c r="H25" s="2431">
        <v>4</v>
      </c>
      <c r="I25" s="2431">
        <v>4.5599999999999996</v>
      </c>
      <c r="J25" s="2431">
        <v>2.15</v>
      </c>
      <c r="K25" s="2431">
        <v>5.32</v>
      </c>
      <c r="L25" s="2432">
        <v>1.57</v>
      </c>
      <c r="N25" s="2425">
        <f t="shared" si="176"/>
        <v>4.5599999999999995E-2</v>
      </c>
      <c r="O25" s="2410">
        <f t="shared" si="199"/>
        <v>2.1499999999999998E-2</v>
      </c>
      <c r="P25" s="2410">
        <f t="shared" si="199"/>
        <v>5.3200000000000004E-2</v>
      </c>
      <c r="Q25" s="2410">
        <f t="shared" si="199"/>
        <v>1.5700000000000002E-2</v>
      </c>
      <c r="R25" s="2426"/>
      <c r="S25" s="2439"/>
      <c r="T25" s="2440"/>
      <c r="U25" s="2440"/>
      <c r="V25" s="2440"/>
      <c r="X25" s="2409">
        <f>ROUND(SUMPRODUCT(PRODUCT(1+N25:N$35)),4)</f>
        <v>1.274</v>
      </c>
      <c r="Y25" s="2409">
        <f>ROUND(SUMPRODUCT(PRODUCT(1+O25:O$35)),4)</f>
        <v>1.1740999999999999</v>
      </c>
      <c r="Z25" s="2409">
        <f t="shared" si="0"/>
        <v>1.1740999999999999</v>
      </c>
      <c r="AA25" s="2409">
        <f>ROUND(SUMPRODUCT(PRODUCT(1+P25:P$35)),4)</f>
        <v>1.3087</v>
      </c>
      <c r="AB25" s="2409">
        <f>ROUND(SUMPRODUCT(PRODUCT(1+Q25:Q$35)),4)</f>
        <v>1.1551</v>
      </c>
      <c r="AD25" s="2410">
        <f>ROUND(AVERAGE(I25:I$36)/100,4)</f>
        <v>2.3E-2</v>
      </c>
      <c r="AE25" s="2410">
        <f>ROUND(AVERAGE(J25:J$36)/100,4)</f>
        <v>1.55E-2</v>
      </c>
      <c r="AF25" s="2410">
        <f t="shared" si="1"/>
        <v>1.55E-2</v>
      </c>
      <c r="AG25" s="2410">
        <f>ROUND(AVERAGE(K25:K$36)/100,4)</f>
        <v>2.5600000000000001E-2</v>
      </c>
      <c r="AH25" s="2410">
        <f>ROUND(AVERAGE(L25:L$36)/100,4)</f>
        <v>1.32E-2</v>
      </c>
    </row>
    <row r="26" spans="1:34">
      <c r="A26" s="2422" t="s">
        <v>153</v>
      </c>
      <c r="B26" s="2423">
        <f t="shared" ref="B26:C28" si="201">B25/(1+N25)</f>
        <v>374.90436113236416</v>
      </c>
      <c r="C26" s="2423">
        <f t="shared" si="201"/>
        <v>295.64366128242779</v>
      </c>
      <c r="D26" s="2423">
        <f t="shared" ref="D26:D85" si="202">C26</f>
        <v>295.64366128242779</v>
      </c>
      <c r="E26" s="2423">
        <f t="shared" ref="E26:F28" si="203">E25/(1+P25)</f>
        <v>525.06646410938095</v>
      </c>
      <c r="F26" s="2423">
        <f t="shared" si="203"/>
        <v>261.88835286009646</v>
      </c>
      <c r="G26" s="3420"/>
      <c r="H26" s="2424">
        <v>3</v>
      </c>
      <c r="I26" s="2424">
        <v>4.12</v>
      </c>
      <c r="J26" s="2424">
        <v>2</v>
      </c>
      <c r="K26" s="2424">
        <v>4.79</v>
      </c>
      <c r="L26" s="2430">
        <v>1.97</v>
      </c>
      <c r="N26" s="2425">
        <f t="shared" ref="N26:Q60" si="204">I26/100</f>
        <v>4.1200000000000001E-2</v>
      </c>
      <c r="O26" s="2410">
        <f t="shared" si="199"/>
        <v>0.02</v>
      </c>
      <c r="P26" s="2410">
        <f t="shared" si="199"/>
        <v>4.7899999999999998E-2</v>
      </c>
      <c r="Q26" s="2410">
        <f t="shared" si="199"/>
        <v>1.9699999999999999E-2</v>
      </c>
      <c r="R26" s="2426"/>
      <c r="S26" s="2425"/>
      <c r="T26" s="2410"/>
      <c r="U26" s="2410"/>
      <c r="V26" s="2410"/>
      <c r="X26" s="2409">
        <f>ROUND(SUMPRODUCT(PRODUCT(1+N26:N$35)),4)</f>
        <v>1.2184999999999999</v>
      </c>
      <c r="Y26" s="2409">
        <f>ROUND(SUMPRODUCT(PRODUCT(1+O26:O$35)),4)</f>
        <v>1.1494</v>
      </c>
      <c r="Z26" s="2409">
        <f t="shared" si="0"/>
        <v>1.1494</v>
      </c>
      <c r="AA26" s="2409">
        <f>ROUND(SUMPRODUCT(PRODUCT(1+P26:P$35)),4)</f>
        <v>1.2425999999999999</v>
      </c>
      <c r="AB26" s="2409">
        <f>ROUND(SUMPRODUCT(PRODUCT(1+Q26:Q$35)),4)</f>
        <v>1.1372</v>
      </c>
      <c r="AD26" s="2410">
        <f>ROUND(AVERAGE(I26:I$36)/100,4)</f>
        <v>2.0899999999999998E-2</v>
      </c>
      <c r="AE26" s="2410">
        <f>ROUND(AVERAGE(J26:J$36)/100,4)</f>
        <v>1.49E-2</v>
      </c>
      <c r="AF26" s="2410">
        <f t="shared" si="1"/>
        <v>1.49E-2</v>
      </c>
      <c r="AG26" s="2410">
        <f>ROUND(AVERAGE(K26:K$36)/100,4)</f>
        <v>2.3099999999999999E-2</v>
      </c>
      <c r="AH26" s="2410">
        <f>ROUND(AVERAGE(L26:L$36)/100,4)</f>
        <v>1.2999999999999999E-2</v>
      </c>
    </row>
    <row r="27" spans="1:34">
      <c r="A27" s="2422" t="s">
        <v>143</v>
      </c>
      <c r="B27" s="2423">
        <f t="shared" si="201"/>
        <v>360.06949782209392</v>
      </c>
      <c r="C27" s="2423">
        <f t="shared" si="201"/>
        <v>289.84672674747821</v>
      </c>
      <c r="D27" s="2423">
        <f t="shared" si="202"/>
        <v>289.84672674747821</v>
      </c>
      <c r="E27" s="2423">
        <f t="shared" si="203"/>
        <v>501.06543001181495</v>
      </c>
      <c r="F27" s="2423">
        <f t="shared" si="203"/>
        <v>256.82882500744967</v>
      </c>
      <c r="G27" s="3420"/>
      <c r="H27" s="2435">
        <v>2</v>
      </c>
      <c r="I27" s="2435">
        <v>3.85</v>
      </c>
      <c r="J27" s="2435">
        <v>1.95</v>
      </c>
      <c r="K27" s="2435">
        <v>4.4800000000000004</v>
      </c>
      <c r="L27" s="2436">
        <v>1.41</v>
      </c>
      <c r="N27" s="2425">
        <f t="shared" si="204"/>
        <v>3.85E-2</v>
      </c>
      <c r="O27" s="2410">
        <f t="shared" si="199"/>
        <v>1.95E-2</v>
      </c>
      <c r="P27" s="2410">
        <f t="shared" si="199"/>
        <v>4.4800000000000006E-2</v>
      </c>
      <c r="Q27" s="2410">
        <f t="shared" si="199"/>
        <v>1.41E-2</v>
      </c>
      <c r="R27" s="2426"/>
      <c r="S27" s="2425"/>
      <c r="T27" s="2410"/>
      <c r="U27" s="2410"/>
      <c r="V27" s="2410"/>
      <c r="X27" s="2409">
        <f>ROUND(SUMPRODUCT(PRODUCT(1+N27:N$35)),4)</f>
        <v>1.1702999999999999</v>
      </c>
      <c r="Y27" s="2409">
        <f>ROUND(SUMPRODUCT(PRODUCT(1+O27:O$35)),4)</f>
        <v>1.1269</v>
      </c>
      <c r="Z27" s="2409">
        <f t="shared" si="0"/>
        <v>1.1269</v>
      </c>
      <c r="AA27" s="2409">
        <f>ROUND(SUMPRODUCT(PRODUCT(1+P27:P$35)),4)</f>
        <v>1.1858</v>
      </c>
      <c r="AB27" s="2409">
        <f>ROUND(SUMPRODUCT(PRODUCT(1+Q27:Q$35)),4)</f>
        <v>1.1152</v>
      </c>
      <c r="AD27" s="2410">
        <f>ROUND(AVERAGE(I27:I$36)/100,4)</f>
        <v>1.89E-2</v>
      </c>
      <c r="AE27" s="2410">
        <f>ROUND(AVERAGE(J27:J$36)/100,4)</f>
        <v>1.44E-2</v>
      </c>
      <c r="AF27" s="2410">
        <f t="shared" si="1"/>
        <v>1.44E-2</v>
      </c>
      <c r="AG27" s="2410">
        <f>ROUND(AVERAGE(K27:K$36)/100,4)</f>
        <v>2.06E-2</v>
      </c>
      <c r="AH27" s="2410">
        <f>ROUND(AVERAGE(L27:L$36)/100,4)</f>
        <v>1.23E-2</v>
      </c>
    </row>
    <row r="28" spans="1:34" ht="13.5" thickBot="1">
      <c r="A28" s="2422" t="s">
        <v>152</v>
      </c>
      <c r="B28" s="2423">
        <f t="shared" si="201"/>
        <v>346.720748986128</v>
      </c>
      <c r="C28" s="2423">
        <f t="shared" si="201"/>
        <v>284.30282172386285</v>
      </c>
      <c r="D28" s="2423">
        <f t="shared" si="202"/>
        <v>284.30282172386285</v>
      </c>
      <c r="E28" s="2423">
        <f t="shared" si="203"/>
        <v>479.58023546306947</v>
      </c>
      <c r="F28" s="2423">
        <f t="shared" si="203"/>
        <v>253.25788877571213</v>
      </c>
      <c r="G28" s="3421"/>
      <c r="H28" s="2424">
        <v>1</v>
      </c>
      <c r="I28" s="2424">
        <v>4.09</v>
      </c>
      <c r="J28" s="2424">
        <v>2.93</v>
      </c>
      <c r="K28" s="2424">
        <v>4.54</v>
      </c>
      <c r="L28" s="2430">
        <v>1.48</v>
      </c>
      <c r="N28" s="2425">
        <f t="shared" si="204"/>
        <v>4.0899999999999999E-2</v>
      </c>
      <c r="O28" s="2410">
        <f t="shared" si="199"/>
        <v>2.9300000000000003E-2</v>
      </c>
      <c r="P28" s="2410">
        <f t="shared" si="199"/>
        <v>4.5400000000000003E-2</v>
      </c>
      <c r="Q28" s="2410">
        <f t="shared" si="199"/>
        <v>1.4800000000000001E-2</v>
      </c>
      <c r="R28" s="2426"/>
      <c r="S28" s="2441">
        <f>B28/B29-1</f>
        <v>4.1203450408792808E-2</v>
      </c>
      <c r="T28" s="2442">
        <f>C28/C29-1</f>
        <v>2.6363977342465095E-2</v>
      </c>
      <c r="U28" s="2442">
        <f>E28/E29-1</f>
        <v>4.4837114298626357E-2</v>
      </c>
      <c r="V28" s="2442">
        <f>F28/F29-1</f>
        <v>1.7099954922538574E-2</v>
      </c>
      <c r="X28" s="2409">
        <f>ROUND(SUMPRODUCT(PRODUCT(1+N28:N$35)),4)</f>
        <v>1.1269</v>
      </c>
      <c r="Y28" s="2409">
        <f>ROUND(SUMPRODUCT(PRODUCT(1+O28:O$35)),4)</f>
        <v>1.1052999999999999</v>
      </c>
      <c r="Z28" s="2409">
        <f t="shared" si="0"/>
        <v>1.1052999999999999</v>
      </c>
      <c r="AA28" s="2409">
        <f>ROUND(SUMPRODUCT(PRODUCT(1+P28:P$35)),4)</f>
        <v>1.1349</v>
      </c>
      <c r="AB28" s="2409">
        <f>ROUND(SUMPRODUCT(PRODUCT(1+Q28:Q$35)),4)</f>
        <v>1.0996999999999999</v>
      </c>
      <c r="AD28" s="2410">
        <f>ROUND(AVERAGE(I28:I$36)/100,4)</f>
        <v>1.67E-2</v>
      </c>
      <c r="AE28" s="2410">
        <f>ROUND(AVERAGE(J28:J$36)/100,4)</f>
        <v>1.38E-2</v>
      </c>
      <c r="AF28" s="2410">
        <f t="shared" si="1"/>
        <v>1.38E-2</v>
      </c>
      <c r="AG28" s="2410">
        <f>ROUND(AVERAGE(K28:K$36)/100,4)</f>
        <v>1.7899999999999999E-2</v>
      </c>
      <c r="AH28" s="2410">
        <f>ROUND(AVERAGE(L28:L$36)/100,4)</f>
        <v>1.21E-2</v>
      </c>
    </row>
    <row r="29" spans="1:34" ht="13.5" thickBot="1">
      <c r="A29" s="2422" t="s">
        <v>151</v>
      </c>
      <c r="B29" s="2437">
        <v>333</v>
      </c>
      <c r="C29" s="2437">
        <v>277</v>
      </c>
      <c r="D29" s="2437">
        <f t="shared" si="202"/>
        <v>277</v>
      </c>
      <c r="E29" s="2437">
        <v>459</v>
      </c>
      <c r="F29" s="2438">
        <v>249</v>
      </c>
      <c r="G29" s="3419">
        <v>2015</v>
      </c>
      <c r="H29" s="2443">
        <v>4</v>
      </c>
      <c r="I29" s="2443">
        <v>1.63</v>
      </c>
      <c r="J29" s="2443">
        <v>1.1100000000000001</v>
      </c>
      <c r="K29" s="2443">
        <v>1.77</v>
      </c>
      <c r="L29" s="2444">
        <v>1.89</v>
      </c>
      <c r="N29" s="2445">
        <f t="shared" si="204"/>
        <v>1.6299999999999999E-2</v>
      </c>
      <c r="O29" s="2446">
        <f t="shared" si="199"/>
        <v>1.11E-2</v>
      </c>
      <c r="P29" s="2446">
        <f t="shared" si="199"/>
        <v>1.77E-2</v>
      </c>
      <c r="Q29" s="2446">
        <f t="shared" si="199"/>
        <v>1.89E-2</v>
      </c>
      <c r="R29" s="2426"/>
      <c r="X29" s="2409">
        <f>ROUND(SUMPRODUCT(PRODUCT(1+N29:N$35)),4)</f>
        <v>1.0826</v>
      </c>
      <c r="Y29" s="2409">
        <f>ROUND(SUMPRODUCT(PRODUCT(1+O29:O$35)),4)</f>
        <v>1.0738000000000001</v>
      </c>
      <c r="Z29" s="2409">
        <f t="shared" si="0"/>
        <v>1.0738000000000001</v>
      </c>
      <c r="AA29" s="2409">
        <f>ROUND(SUMPRODUCT(PRODUCT(1+P29:P$35)),4)</f>
        <v>1.0855999999999999</v>
      </c>
      <c r="AB29" s="2409">
        <f>ROUND(SUMPRODUCT(PRODUCT(1+Q29:Q$35)),4)</f>
        <v>1.0837000000000001</v>
      </c>
      <c r="AD29" s="2410">
        <f>ROUND(AVERAGE(I29:I$36)/100,4)</f>
        <v>1.37E-2</v>
      </c>
      <c r="AE29" s="2410">
        <f>ROUND(AVERAGE(J29:J$36)/100,4)</f>
        <v>1.1900000000000001E-2</v>
      </c>
      <c r="AF29" s="2410">
        <f t="shared" si="1"/>
        <v>1.1900000000000001E-2</v>
      </c>
      <c r="AG29" s="2410">
        <f>ROUND(AVERAGE(K29:K$36)/100,4)</f>
        <v>1.4500000000000001E-2</v>
      </c>
      <c r="AH29" s="2410">
        <f>ROUND(AVERAGE(L29:L$36)/100,4)</f>
        <v>1.18E-2</v>
      </c>
    </row>
    <row r="30" spans="1:34">
      <c r="A30" s="2422" t="s">
        <v>150</v>
      </c>
      <c r="B30" s="2423">
        <f t="shared" ref="B30:C32" si="205">B29/(1+N29)</f>
        <v>327.65915576109415</v>
      </c>
      <c r="C30" s="2423">
        <f t="shared" si="205"/>
        <v>273.95905449510434</v>
      </c>
      <c r="D30" s="2423">
        <f t="shared" si="202"/>
        <v>273.95905449510434</v>
      </c>
      <c r="E30" s="2423">
        <f t="shared" ref="E30:F32" si="206">E29/(1+P29)</f>
        <v>451.01699911565294</v>
      </c>
      <c r="F30" s="2423">
        <f t="shared" si="206"/>
        <v>244.38119540681129</v>
      </c>
      <c r="G30" s="3420"/>
      <c r="H30" s="2448">
        <v>3</v>
      </c>
      <c r="I30" s="2448">
        <v>1.65</v>
      </c>
      <c r="J30" s="2448">
        <v>0.92</v>
      </c>
      <c r="K30" s="2448">
        <v>1.88</v>
      </c>
      <c r="L30" s="2449">
        <v>1.26</v>
      </c>
      <c r="N30" s="2425">
        <f t="shared" si="204"/>
        <v>1.6500000000000001E-2</v>
      </c>
      <c r="O30" s="2450">
        <f t="shared" si="199"/>
        <v>9.1999999999999998E-3</v>
      </c>
      <c r="P30" s="2450">
        <f t="shared" si="199"/>
        <v>1.8799999999999997E-2</v>
      </c>
      <c r="Q30" s="2450">
        <f t="shared" si="199"/>
        <v>1.26E-2</v>
      </c>
      <c r="R30" s="2426"/>
      <c r="S30" s="2425"/>
      <c r="T30" s="2410"/>
      <c r="U30" s="2410"/>
      <c r="V30" s="2410"/>
      <c r="X30" s="2409">
        <f>ROUND(SUMPRODUCT(PRODUCT(1+N30:N$35)),4)</f>
        <v>1.0651999999999999</v>
      </c>
      <c r="Y30" s="2409">
        <f>ROUND(SUMPRODUCT(PRODUCT(1+O30:O$35)),4)</f>
        <v>1.0621</v>
      </c>
      <c r="Z30" s="2409">
        <f t="shared" si="0"/>
        <v>1.0621</v>
      </c>
      <c r="AA30" s="2409">
        <f>ROUND(SUMPRODUCT(PRODUCT(1+P30:P$35)),4)</f>
        <v>1.0668</v>
      </c>
      <c r="AB30" s="2409">
        <f>ROUND(SUMPRODUCT(PRODUCT(1+Q30:Q$35)),4)</f>
        <v>1.0636000000000001</v>
      </c>
      <c r="AD30" s="2410">
        <f>ROUND(AVERAGE(I30:I$36)/100,4)</f>
        <v>1.3299999999999999E-2</v>
      </c>
      <c r="AE30" s="2410">
        <f>ROUND(AVERAGE(J30:J$36)/100,4)</f>
        <v>1.2E-2</v>
      </c>
      <c r="AF30" s="2410">
        <f t="shared" si="1"/>
        <v>1.2E-2</v>
      </c>
      <c r="AG30" s="2410">
        <f>ROUND(AVERAGE(K30:K$36)/100,4)</f>
        <v>1.4E-2</v>
      </c>
      <c r="AH30" s="2410">
        <f>ROUND(AVERAGE(L30:L$36)/100,4)</f>
        <v>1.0800000000000001E-2</v>
      </c>
    </row>
    <row r="31" spans="1:34">
      <c r="A31" s="2422" t="s">
        <v>149</v>
      </c>
      <c r="B31" s="2423">
        <f t="shared" si="205"/>
        <v>322.34053690220776</v>
      </c>
      <c r="C31" s="2423">
        <f t="shared" si="205"/>
        <v>271.46160770422546</v>
      </c>
      <c r="D31" s="2423">
        <f t="shared" si="202"/>
        <v>271.46160770422546</v>
      </c>
      <c r="E31" s="2423">
        <f t="shared" si="206"/>
        <v>442.69434542172456</v>
      </c>
      <c r="F31" s="2423">
        <f t="shared" si="206"/>
        <v>241.34030753190925</v>
      </c>
      <c r="G31" s="3420"/>
      <c r="H31" s="2435">
        <v>2</v>
      </c>
      <c r="I31" s="2435">
        <v>0.77</v>
      </c>
      <c r="J31" s="2435">
        <v>0.69</v>
      </c>
      <c r="K31" s="2435">
        <v>0.8</v>
      </c>
      <c r="L31" s="2436">
        <v>0.88</v>
      </c>
      <c r="N31" s="2425">
        <f t="shared" si="204"/>
        <v>7.7000000000000002E-3</v>
      </c>
      <c r="O31" s="2450">
        <f t="shared" si="199"/>
        <v>6.8999999999999999E-3</v>
      </c>
      <c r="P31" s="2450">
        <f t="shared" si="199"/>
        <v>8.0000000000000002E-3</v>
      </c>
      <c r="Q31" s="2450">
        <f t="shared" si="199"/>
        <v>8.8000000000000005E-3</v>
      </c>
      <c r="R31" s="2426"/>
      <c r="S31" s="2425"/>
      <c r="T31" s="2410"/>
      <c r="U31" s="2410"/>
      <c r="V31" s="2410"/>
      <c r="X31" s="2409">
        <f>ROUND(SUMPRODUCT(PRODUCT(1+N31:N$35)),4)</f>
        <v>1.048</v>
      </c>
      <c r="Y31" s="2409">
        <f>ROUND(SUMPRODUCT(PRODUCT(1+O31:O$35)),4)</f>
        <v>1.0524</v>
      </c>
      <c r="Z31" s="2409">
        <f t="shared" si="0"/>
        <v>1.0524</v>
      </c>
      <c r="AA31" s="2409">
        <f>ROUND(SUMPRODUCT(PRODUCT(1+P31:P$35)),4)</f>
        <v>1.0470999999999999</v>
      </c>
      <c r="AB31" s="2409">
        <f>ROUND(SUMPRODUCT(PRODUCT(1+Q31:Q$35)),4)</f>
        <v>1.0504</v>
      </c>
      <c r="AD31" s="2410">
        <f>ROUND(AVERAGE(I31:I$36)/100,4)</f>
        <v>1.2800000000000001E-2</v>
      </c>
      <c r="AE31" s="2410">
        <f>ROUND(AVERAGE(J31:J$36)/100,4)</f>
        <v>1.2500000000000001E-2</v>
      </c>
      <c r="AF31" s="2410">
        <f t="shared" si="1"/>
        <v>1.2500000000000001E-2</v>
      </c>
      <c r="AG31" s="2410">
        <f>ROUND(AVERAGE(K31:K$36)/100,4)</f>
        <v>1.32E-2</v>
      </c>
      <c r="AH31" s="2410">
        <f>ROUND(AVERAGE(L31:L$36)/100,4)</f>
        <v>1.0500000000000001E-2</v>
      </c>
    </row>
    <row r="32" spans="1:34">
      <c r="A32" s="2422" t="s">
        <v>148</v>
      </c>
      <c r="B32" s="2423">
        <f t="shared" si="205"/>
        <v>319.87748030386797</v>
      </c>
      <c r="C32" s="2423">
        <f t="shared" si="205"/>
        <v>269.60135833173649</v>
      </c>
      <c r="D32" s="2423">
        <f t="shared" si="202"/>
        <v>269.60135833173649</v>
      </c>
      <c r="E32" s="2423">
        <f t="shared" si="206"/>
        <v>439.18089823583784</v>
      </c>
      <c r="F32" s="2423">
        <f t="shared" si="206"/>
        <v>239.23503918706311</v>
      </c>
      <c r="G32" s="3421"/>
      <c r="H32" s="2424">
        <v>1</v>
      </c>
      <c r="I32" s="2424">
        <v>0.51</v>
      </c>
      <c r="J32" s="2424">
        <v>0.54</v>
      </c>
      <c r="K32" s="2424">
        <v>0.48</v>
      </c>
      <c r="L32" s="2430">
        <v>0.93</v>
      </c>
      <c r="N32" s="2441">
        <f t="shared" si="204"/>
        <v>5.1000000000000004E-3</v>
      </c>
      <c r="O32" s="2442">
        <f t="shared" si="199"/>
        <v>5.4000000000000003E-3</v>
      </c>
      <c r="P32" s="2442">
        <f t="shared" si="199"/>
        <v>4.7999999999999996E-3</v>
      </c>
      <c r="Q32" s="2442">
        <f t="shared" si="199"/>
        <v>9.300000000000001E-3</v>
      </c>
      <c r="R32" s="2426"/>
      <c r="S32" s="2441">
        <f>B32/B33-1</f>
        <v>5.9040261127922822E-3</v>
      </c>
      <c r="T32" s="2442">
        <f>C32/C33-1</f>
        <v>5.9752176557332781E-3</v>
      </c>
      <c r="U32" s="2442">
        <f>E32/E33-1</f>
        <v>4.9906138119859556E-3</v>
      </c>
      <c r="V32" s="2442">
        <f>F32/F33-1</f>
        <v>9.4305450930933787E-3</v>
      </c>
      <c r="X32" s="2409">
        <f>ROUND(SUMPRODUCT(PRODUCT(1+N32:N$35)),4)</f>
        <v>1.0399</v>
      </c>
      <c r="Y32" s="2409">
        <f>ROUND(SUMPRODUCT(PRODUCT(1+O32:O$35)),4)</f>
        <v>1.0451999999999999</v>
      </c>
      <c r="Z32" s="2409">
        <f t="shared" si="0"/>
        <v>1.0451999999999999</v>
      </c>
      <c r="AA32" s="2409">
        <f>ROUND(SUMPRODUCT(PRODUCT(1+P32:P$35)),4)</f>
        <v>1.0387999999999999</v>
      </c>
      <c r="AB32" s="2409">
        <f>ROUND(SUMPRODUCT(PRODUCT(1+Q32:Q$35)),4)</f>
        <v>1.0411999999999999</v>
      </c>
      <c r="AD32" s="2410">
        <f>ROUND(AVERAGE(I32:I$36)/100,4)</f>
        <v>1.38E-2</v>
      </c>
      <c r="AE32" s="2410">
        <f>ROUND(AVERAGE(J32:J$36)/100,4)</f>
        <v>1.3599999999999999E-2</v>
      </c>
      <c r="AF32" s="2410">
        <f t="shared" si="1"/>
        <v>1.3599999999999999E-2</v>
      </c>
      <c r="AG32" s="2410">
        <f>ROUND(AVERAGE(K32:K$36)/100,4)</f>
        <v>1.4200000000000001E-2</v>
      </c>
      <c r="AH32" s="2410">
        <f>ROUND(AVERAGE(L32:L$36)/100,4)</f>
        <v>1.0800000000000001E-2</v>
      </c>
    </row>
    <row r="33" spans="1:34" ht="13.5" thickBot="1">
      <c r="A33" s="2422" t="s">
        <v>147</v>
      </c>
      <c r="B33" s="2451">
        <v>318</v>
      </c>
      <c r="C33" s="2451">
        <v>268</v>
      </c>
      <c r="D33" s="2451">
        <f t="shared" si="202"/>
        <v>268</v>
      </c>
      <c r="E33" s="2451">
        <v>437</v>
      </c>
      <c r="F33" s="2452">
        <v>237</v>
      </c>
      <c r="G33" s="3419">
        <v>2014</v>
      </c>
      <c r="H33" s="2443">
        <v>4</v>
      </c>
      <c r="I33" s="2443">
        <v>0.21</v>
      </c>
      <c r="J33" s="2443">
        <v>0.41</v>
      </c>
      <c r="K33" s="2443">
        <v>0.12</v>
      </c>
      <c r="L33" s="2444">
        <v>0.89</v>
      </c>
      <c r="N33" s="2425">
        <f t="shared" si="204"/>
        <v>2.0999999999999999E-3</v>
      </c>
      <c r="O33" s="2410">
        <f t="shared" si="199"/>
        <v>4.0999999999999995E-3</v>
      </c>
      <c r="P33" s="2410">
        <f t="shared" si="199"/>
        <v>1.1999999999999999E-3</v>
      </c>
      <c r="Q33" s="2410">
        <f t="shared" si="199"/>
        <v>8.8999999999999999E-3</v>
      </c>
      <c r="R33" s="2426"/>
      <c r="S33" s="2439"/>
      <c r="T33" s="2440"/>
      <c r="U33" s="2440"/>
      <c r="V33" s="2440"/>
      <c r="X33" s="2409">
        <f>ROUND(SUMPRODUCT(PRODUCT(1+N33:N$35)),4)</f>
        <v>1.0347</v>
      </c>
      <c r="Y33" s="2409">
        <f>ROUND(SUMPRODUCT(PRODUCT(1+O33:O$35)),4)</f>
        <v>1.0395000000000001</v>
      </c>
      <c r="Z33" s="2409">
        <f t="shared" si="0"/>
        <v>1.0395000000000001</v>
      </c>
      <c r="AA33" s="2409">
        <f>ROUND(SUMPRODUCT(PRODUCT(1+P33:P$35)),4)</f>
        <v>1.0338000000000001</v>
      </c>
      <c r="AB33" s="2409">
        <f>ROUND(SUMPRODUCT(PRODUCT(1+Q33:Q$35)),4)</f>
        <v>1.0316000000000001</v>
      </c>
      <c r="AD33" s="2410">
        <f>ROUND(AVERAGE(I33:I$36)/100,4)</f>
        <v>1.6E-2</v>
      </c>
      <c r="AE33" s="2410">
        <f>ROUND(AVERAGE(J33:J$36)/100,4)</f>
        <v>1.5599999999999999E-2</v>
      </c>
      <c r="AF33" s="2410">
        <f t="shared" si="1"/>
        <v>1.5599999999999999E-2</v>
      </c>
      <c r="AG33" s="2410">
        <f>ROUND(AVERAGE(K33:K$36)/100,4)</f>
        <v>1.66E-2</v>
      </c>
      <c r="AH33" s="2410">
        <f>ROUND(AVERAGE(L33:L$36)/100,4)</f>
        <v>1.12E-2</v>
      </c>
    </row>
    <row r="34" spans="1:34">
      <c r="A34" s="2422" t="s">
        <v>146</v>
      </c>
      <c r="B34" s="2423">
        <f t="shared" ref="B34:C36" si="207">B33/(1+N33)</f>
        <v>317.33359944117353</v>
      </c>
      <c r="C34" s="2423">
        <f t="shared" si="207"/>
        <v>266.90568668459315</v>
      </c>
      <c r="D34" s="2423">
        <f t="shared" si="202"/>
        <v>266.90568668459315</v>
      </c>
      <c r="E34" s="2423">
        <f t="shared" ref="E34:F36" si="208">E33/(1+P33)</f>
        <v>436.47622852576905</v>
      </c>
      <c r="F34" s="2423">
        <f t="shared" si="208"/>
        <v>234.90930716622066</v>
      </c>
      <c r="G34" s="3420"/>
      <c r="H34" s="2453">
        <v>3</v>
      </c>
      <c r="I34" s="2453">
        <v>0.83</v>
      </c>
      <c r="J34" s="2453">
        <v>1.47</v>
      </c>
      <c r="K34" s="2453">
        <v>0.65</v>
      </c>
      <c r="L34" s="2454">
        <v>0.72</v>
      </c>
      <c r="N34" s="2425">
        <f t="shared" si="204"/>
        <v>8.3000000000000001E-3</v>
      </c>
      <c r="O34" s="2410">
        <f t="shared" si="199"/>
        <v>1.47E-2</v>
      </c>
      <c r="P34" s="2410">
        <f t="shared" si="199"/>
        <v>6.5000000000000006E-3</v>
      </c>
      <c r="Q34" s="2410">
        <f t="shared" si="199"/>
        <v>7.1999999999999998E-3</v>
      </c>
      <c r="R34" s="2426"/>
      <c r="S34" s="2425"/>
      <c r="T34" s="2410"/>
      <c r="U34" s="2410"/>
      <c r="V34" s="2410"/>
      <c r="X34" s="2409">
        <f>ROUND(SUMPRODUCT(PRODUCT(1+N34:N$35)),4)</f>
        <v>1.0325</v>
      </c>
      <c r="Y34" s="2409">
        <f>ROUND(SUMPRODUCT(PRODUCT(1+O34:O$35)),4)</f>
        <v>1.0353000000000001</v>
      </c>
      <c r="Z34" s="2409">
        <f t="shared" ref="Z34:Z35" si="209">Y34</f>
        <v>1.0353000000000001</v>
      </c>
      <c r="AA34" s="2409">
        <f>ROUND(SUMPRODUCT(PRODUCT(1+P34:P$35)),4)</f>
        <v>1.0326</v>
      </c>
      <c r="AB34" s="2409">
        <f>ROUND(SUMPRODUCT(PRODUCT(1+Q34:Q$35)),4)</f>
        <v>1.0225</v>
      </c>
      <c r="AD34" s="2410">
        <f>ROUND(AVERAGE(I34:I$36)/100,4)</f>
        <v>2.07E-2</v>
      </c>
      <c r="AE34" s="2410">
        <f>ROUND(AVERAGE(J34:J$36)/100,4)</f>
        <v>1.95E-2</v>
      </c>
      <c r="AF34" s="2410">
        <f t="shared" si="1"/>
        <v>1.95E-2</v>
      </c>
      <c r="AG34" s="2410">
        <f>ROUND(AVERAGE(K34:K$36)/100,4)</f>
        <v>2.1700000000000001E-2</v>
      </c>
      <c r="AH34" s="2410">
        <f>ROUND(AVERAGE(L34:L$36)/100,4)</f>
        <v>1.2E-2</v>
      </c>
    </row>
    <row r="35" spans="1:34" ht="13.5" thickBot="1">
      <c r="A35" s="2422" t="s">
        <v>145</v>
      </c>
      <c r="B35" s="2423">
        <f t="shared" si="207"/>
        <v>314.72141172386546</v>
      </c>
      <c r="C35" s="2423">
        <f t="shared" si="207"/>
        <v>263.03901319069001</v>
      </c>
      <c r="D35" s="2423">
        <f t="shared" si="202"/>
        <v>263.03901319069001</v>
      </c>
      <c r="E35" s="2423">
        <f t="shared" si="208"/>
        <v>433.65745506782821</v>
      </c>
      <c r="F35" s="2423">
        <f t="shared" si="208"/>
        <v>233.23005080045735</v>
      </c>
      <c r="G35" s="3420"/>
      <c r="H35" s="2443">
        <v>2</v>
      </c>
      <c r="I35" s="2443">
        <v>2.4</v>
      </c>
      <c r="J35" s="2443">
        <v>2.0299999999999998</v>
      </c>
      <c r="K35" s="2443">
        <v>2.59</v>
      </c>
      <c r="L35" s="2444">
        <v>1.52</v>
      </c>
      <c r="N35" s="2425">
        <f t="shared" si="204"/>
        <v>2.4E-2</v>
      </c>
      <c r="O35" s="2410">
        <f t="shared" si="199"/>
        <v>2.0299999999999999E-2</v>
      </c>
      <c r="P35" s="2410">
        <f t="shared" si="199"/>
        <v>2.5899999999999999E-2</v>
      </c>
      <c r="Q35" s="2410">
        <f t="shared" si="199"/>
        <v>1.52E-2</v>
      </c>
      <c r="R35" s="2426"/>
      <c r="S35" s="2425"/>
      <c r="T35" s="2410"/>
      <c r="U35" s="2410"/>
      <c r="V35" s="2410"/>
      <c r="X35" s="2409">
        <f>1+N35</f>
        <v>1.024</v>
      </c>
      <c r="Y35" s="2409">
        <f>1+O35</f>
        <v>1.0203</v>
      </c>
      <c r="Z35" s="2409">
        <f t="shared" si="209"/>
        <v>1.0203</v>
      </c>
      <c r="AA35" s="2409">
        <f>1+P35</f>
        <v>1.0259</v>
      </c>
      <c r="AB35" s="2409">
        <f>1+Q35</f>
        <v>1.0152000000000001</v>
      </c>
      <c r="AD35" s="2410">
        <f>ROUND(AVERAGE(I35:I$36)/100,4)</f>
        <v>2.69E-2</v>
      </c>
      <c r="AE35" s="2410">
        <f>ROUND(AVERAGE(J35:J$36)/100,4)</f>
        <v>2.1899999999999999E-2</v>
      </c>
      <c r="AF35" s="2410">
        <f t="shared" ref="AF35" si="210">AE35</f>
        <v>2.1899999999999999E-2</v>
      </c>
      <c r="AG35" s="2410">
        <f>ROUND(AVERAGE(K35:K$36)/100,4)</f>
        <v>2.9399999999999999E-2</v>
      </c>
      <c r="AH35" s="2410">
        <f>ROUND(AVERAGE(L35:L$36)/100,4)</f>
        <v>1.44E-2</v>
      </c>
    </row>
    <row r="36" spans="1:34" s="2459" customFormat="1" ht="13.5" thickBot="1">
      <c r="A36" s="2455" t="s">
        <v>144</v>
      </c>
      <c r="B36" s="2456">
        <f t="shared" si="207"/>
        <v>307.34512863658733</v>
      </c>
      <c r="C36" s="2456">
        <f t="shared" si="207"/>
        <v>257.80556031626975</v>
      </c>
      <c r="D36" s="2456">
        <f t="shared" si="202"/>
        <v>257.80556031626975</v>
      </c>
      <c r="E36" s="2456">
        <f t="shared" si="208"/>
        <v>422.70928459677179</v>
      </c>
      <c r="F36" s="2456">
        <f t="shared" si="208"/>
        <v>229.73803270336617</v>
      </c>
      <c r="G36" s="3421"/>
      <c r="H36" s="2457">
        <v>1</v>
      </c>
      <c r="I36" s="2457">
        <v>2.97</v>
      </c>
      <c r="J36" s="2457">
        <v>2.34</v>
      </c>
      <c r="K36" s="2457">
        <v>3.28</v>
      </c>
      <c r="L36" s="2458">
        <v>1.36</v>
      </c>
      <c r="N36" s="2460">
        <f t="shared" si="204"/>
        <v>2.9700000000000001E-2</v>
      </c>
      <c r="O36" s="2461">
        <f t="shared" si="199"/>
        <v>2.3399999999999997E-2</v>
      </c>
      <c r="P36" s="2461">
        <f t="shared" si="199"/>
        <v>3.2799999999999996E-2</v>
      </c>
      <c r="Q36" s="2461">
        <f t="shared" si="199"/>
        <v>1.3600000000000001E-2</v>
      </c>
      <c r="R36" s="2462"/>
      <c r="S36" s="2463">
        <f>B36/B37-1</f>
        <v>2.7910129219355539E-2</v>
      </c>
      <c r="T36" s="2464">
        <f>C36/C37-1</f>
        <v>2.3037937762975247E-2</v>
      </c>
      <c r="U36" s="2464">
        <f>E36/E37-1</f>
        <v>3.3519033243940788E-2</v>
      </c>
      <c r="V36" s="2464">
        <f>F36/F37-1</f>
        <v>1.2061818076502862E-2</v>
      </c>
      <c r="W36" s="2465" t="s">
        <v>1129</v>
      </c>
      <c r="X36" s="2466">
        <v>1</v>
      </c>
      <c r="Y36" s="2466">
        <v>1</v>
      </c>
      <c r="Z36" s="2466">
        <v>1</v>
      </c>
      <c r="AA36" s="2466">
        <v>1</v>
      </c>
      <c r="AB36" s="2466">
        <v>1</v>
      </c>
      <c r="AD36" s="2461">
        <f>I36/100</f>
        <v>2.9700000000000001E-2</v>
      </c>
      <c r="AE36" s="2461">
        <f>J36/100</f>
        <v>2.3399999999999997E-2</v>
      </c>
      <c r="AF36" s="2461">
        <f>AE36</f>
        <v>2.3399999999999997E-2</v>
      </c>
      <c r="AG36" s="2461">
        <f>K36/100</f>
        <v>3.2799999999999996E-2</v>
      </c>
      <c r="AH36" s="2461">
        <f>L36/100</f>
        <v>1.3600000000000001E-2</v>
      </c>
    </row>
    <row r="37" spans="1:34" ht="13.5" thickBot="1">
      <c r="A37" s="2422" t="s">
        <v>1130</v>
      </c>
      <c r="B37" s="2437">
        <v>299</v>
      </c>
      <c r="C37" s="2437">
        <v>252</v>
      </c>
      <c r="D37" s="2437">
        <f t="shared" si="202"/>
        <v>252</v>
      </c>
      <c r="E37" s="2437">
        <v>409</v>
      </c>
      <c r="F37" s="2438">
        <v>227</v>
      </c>
      <c r="G37" s="3426">
        <v>2013</v>
      </c>
      <c r="H37" s="2467">
        <v>4</v>
      </c>
      <c r="I37" s="2467">
        <v>1.83</v>
      </c>
      <c r="J37" s="2467">
        <v>1.68</v>
      </c>
      <c r="K37" s="2467">
        <v>1.97</v>
      </c>
      <c r="L37" s="2468">
        <v>0.87</v>
      </c>
      <c r="N37" s="2445">
        <f t="shared" si="204"/>
        <v>1.83E-2</v>
      </c>
      <c r="O37" s="2446">
        <f t="shared" si="199"/>
        <v>1.6799999999999999E-2</v>
      </c>
      <c r="P37" s="2446">
        <f t="shared" si="199"/>
        <v>1.9699999999999999E-2</v>
      </c>
      <c r="Q37" s="2446">
        <f t="shared" si="199"/>
        <v>8.6999999999999994E-3</v>
      </c>
      <c r="R37" s="2426"/>
      <c r="S37" s="2439"/>
      <c r="T37" s="2440"/>
      <c r="U37" s="2440"/>
      <c r="V37" s="2440"/>
      <c r="X37" s="2440"/>
      <c r="Y37" s="2440"/>
      <c r="Z37" s="2440"/>
    </row>
    <row r="38" spans="1:34">
      <c r="A38" s="2422" t="s">
        <v>1131</v>
      </c>
      <c r="B38" s="2423">
        <f t="shared" ref="B38:C40" si="211">B37/(1+N37)</f>
        <v>293.62663262299913</v>
      </c>
      <c r="C38" s="2423">
        <f t="shared" si="211"/>
        <v>247.83634933123525</v>
      </c>
      <c r="D38" s="2423">
        <f t="shared" si="202"/>
        <v>247.83634933123525</v>
      </c>
      <c r="E38" s="2423">
        <f t="shared" ref="E38:F40" si="212">E37/(1+P37)</f>
        <v>401.09836226341076</v>
      </c>
      <c r="F38" s="2423">
        <f t="shared" si="212"/>
        <v>225.04213343908003</v>
      </c>
      <c r="G38" s="3427"/>
      <c r="H38" s="2448">
        <v>3</v>
      </c>
      <c r="I38" s="2448">
        <v>1.86</v>
      </c>
      <c r="J38" s="2448">
        <v>1.72</v>
      </c>
      <c r="K38" s="2448">
        <v>1.98</v>
      </c>
      <c r="L38" s="2449">
        <v>0.88</v>
      </c>
      <c r="N38" s="2425">
        <f t="shared" si="204"/>
        <v>1.8600000000000002E-2</v>
      </c>
      <c r="O38" s="2450">
        <f t="shared" si="199"/>
        <v>1.72E-2</v>
      </c>
      <c r="P38" s="2450">
        <f t="shared" si="199"/>
        <v>1.9799999999999998E-2</v>
      </c>
      <c r="Q38" s="2450">
        <f t="shared" si="199"/>
        <v>8.8000000000000005E-3</v>
      </c>
      <c r="R38" s="2426"/>
      <c r="S38" s="2425"/>
      <c r="T38" s="2410"/>
      <c r="U38" s="2410"/>
      <c r="V38" s="2410"/>
    </row>
    <row r="39" spans="1:34">
      <c r="A39" s="2422" t="s">
        <v>1132</v>
      </c>
      <c r="B39" s="2423">
        <f t="shared" si="211"/>
        <v>288.2649053828776</v>
      </c>
      <c r="C39" s="2423">
        <f t="shared" si="211"/>
        <v>243.64564425013293</v>
      </c>
      <c r="D39" s="2423">
        <f t="shared" si="202"/>
        <v>243.64564425013293</v>
      </c>
      <c r="E39" s="2423">
        <f t="shared" si="212"/>
        <v>393.31080825986544</v>
      </c>
      <c r="F39" s="2423">
        <f t="shared" si="212"/>
        <v>223.07903790551154</v>
      </c>
      <c r="G39" s="3427"/>
      <c r="H39" s="2435">
        <v>2</v>
      </c>
      <c r="I39" s="2435">
        <v>2.04</v>
      </c>
      <c r="J39" s="2435">
        <v>2.33</v>
      </c>
      <c r="K39" s="2435">
        <v>2.0699999999999998</v>
      </c>
      <c r="L39" s="2436">
        <v>0.69</v>
      </c>
      <c r="N39" s="2425">
        <f t="shared" si="204"/>
        <v>2.0400000000000001E-2</v>
      </c>
      <c r="O39" s="2450">
        <f t="shared" si="199"/>
        <v>2.3300000000000001E-2</v>
      </c>
      <c r="P39" s="2450">
        <f t="shared" si="199"/>
        <v>2.07E-2</v>
      </c>
      <c r="Q39" s="2450">
        <f t="shared" si="199"/>
        <v>6.8999999999999999E-3</v>
      </c>
      <c r="R39" s="2426"/>
      <c r="S39" s="2425"/>
      <c r="T39" s="2410"/>
      <c r="U39" s="2410"/>
      <c r="V39" s="2410"/>
      <c r="X39" s="2469"/>
      <c r="Y39" s="2470"/>
    </row>
    <row r="40" spans="1:34">
      <c r="A40" s="2422" t="s">
        <v>1133</v>
      </c>
      <c r="B40" s="2423">
        <f t="shared" si="211"/>
        <v>282.50186729015837</v>
      </c>
      <c r="C40" s="2423">
        <f t="shared" si="211"/>
        <v>238.09796174155468</v>
      </c>
      <c r="D40" s="2423">
        <f t="shared" si="202"/>
        <v>238.09796174155468</v>
      </c>
      <c r="E40" s="2423">
        <f t="shared" si="212"/>
        <v>385.33438646014054</v>
      </c>
      <c r="F40" s="2423">
        <f t="shared" si="212"/>
        <v>221.55034055567739</v>
      </c>
      <c r="G40" s="3428"/>
      <c r="H40" s="2424">
        <v>1</v>
      </c>
      <c r="I40" s="2424">
        <v>1.67</v>
      </c>
      <c r="J40" s="2424">
        <v>1.31</v>
      </c>
      <c r="K40" s="2424">
        <v>1.85</v>
      </c>
      <c r="L40" s="2430">
        <v>0.96</v>
      </c>
      <c r="N40" s="2441">
        <f t="shared" si="204"/>
        <v>1.67E-2</v>
      </c>
      <c r="O40" s="2442">
        <f t="shared" si="204"/>
        <v>1.3100000000000001E-2</v>
      </c>
      <c r="P40" s="2442">
        <f t="shared" si="204"/>
        <v>1.8500000000000003E-2</v>
      </c>
      <c r="Q40" s="2442">
        <f t="shared" si="204"/>
        <v>9.5999999999999992E-3</v>
      </c>
      <c r="R40" s="2426"/>
      <c r="S40" s="2441">
        <f>B40/B41-1</f>
        <v>1.6193767230785472E-2</v>
      </c>
      <c r="T40" s="2442">
        <f>C40/C41-1</f>
        <v>1.7512657015190891E-2</v>
      </c>
      <c r="U40" s="2442">
        <f>E40/E41-1</f>
        <v>1.6713420739157048E-2</v>
      </c>
      <c r="V40" s="2442">
        <f>F40/F41-1</f>
        <v>7.0470025258062563E-3</v>
      </c>
      <c r="X40" s="2471"/>
      <c r="Y40" s="2410"/>
      <c r="Z40" s="2410"/>
    </row>
    <row r="41" spans="1:34" ht="13.5" thickBot="1">
      <c r="A41" s="2422" t="s">
        <v>1134</v>
      </c>
      <c r="B41" s="2472">
        <v>278</v>
      </c>
      <c r="C41" s="2472">
        <v>234</v>
      </c>
      <c r="D41" s="2472">
        <f t="shared" si="202"/>
        <v>234</v>
      </c>
      <c r="E41" s="2472">
        <v>379</v>
      </c>
      <c r="F41" s="2473">
        <v>220</v>
      </c>
      <c r="G41" s="3419">
        <v>2012</v>
      </c>
      <c r="H41" s="2443">
        <v>4</v>
      </c>
      <c r="I41" s="2443">
        <v>0.91</v>
      </c>
      <c r="J41" s="2443">
        <v>0.68</v>
      </c>
      <c r="K41" s="2443">
        <v>0.98</v>
      </c>
      <c r="L41" s="2444">
        <v>0.9</v>
      </c>
      <c r="N41" s="2425">
        <f t="shared" si="204"/>
        <v>9.1000000000000004E-3</v>
      </c>
      <c r="O41" s="2410">
        <f t="shared" si="204"/>
        <v>6.8000000000000005E-3</v>
      </c>
      <c r="P41" s="2410">
        <f t="shared" si="204"/>
        <v>9.7999999999999997E-3</v>
      </c>
      <c r="Q41" s="2410">
        <f t="shared" si="204"/>
        <v>9.0000000000000011E-3</v>
      </c>
      <c r="R41" s="2426"/>
      <c r="S41" s="2439"/>
      <c r="T41" s="2440"/>
      <c r="U41" s="2440"/>
      <c r="V41" s="2440"/>
      <c r="X41" s="2440"/>
      <c r="Y41" s="2440"/>
      <c r="Z41" s="2440"/>
    </row>
    <row r="42" spans="1:34">
      <c r="A42" s="2422" t="s">
        <v>1135</v>
      </c>
      <c r="B42" s="2423">
        <f>B41/(1+N41)</f>
        <v>275.49301357645425</v>
      </c>
      <c r="C42" s="2423">
        <f>C41/(1+O41)</f>
        <v>232.41954707985698</v>
      </c>
      <c r="D42" s="2423">
        <f t="shared" si="202"/>
        <v>232.41954707985698</v>
      </c>
      <c r="E42" s="2423">
        <f t="shared" ref="E42:F44" si="213">E41/(1+P41)</f>
        <v>375.32184591008121</v>
      </c>
      <c r="F42" s="2423">
        <f t="shared" si="213"/>
        <v>218.03766105054513</v>
      </c>
      <c r="G42" s="3420"/>
      <c r="H42" s="2448">
        <v>3</v>
      </c>
      <c r="I42" s="2448">
        <v>0.09</v>
      </c>
      <c r="J42" s="2448">
        <v>0.28999999999999998</v>
      </c>
      <c r="K42" s="2448">
        <v>-0.01</v>
      </c>
      <c r="L42" s="2449">
        <v>0.57999999999999996</v>
      </c>
      <c r="N42" s="2425">
        <f t="shared" si="204"/>
        <v>8.9999999999999998E-4</v>
      </c>
      <c r="O42" s="2410">
        <f t="shared" si="204"/>
        <v>2.8999999999999998E-3</v>
      </c>
      <c r="P42" s="2410">
        <f t="shared" si="204"/>
        <v>-1E-4</v>
      </c>
      <c r="Q42" s="2410">
        <f t="shared" si="204"/>
        <v>5.7999999999999996E-3</v>
      </c>
      <c r="R42" s="2426"/>
      <c r="S42" s="2425"/>
      <c r="T42" s="2410"/>
      <c r="U42" s="2410"/>
      <c r="V42" s="2410"/>
    </row>
    <row r="43" spans="1:34">
      <c r="A43" s="2422" t="s">
        <v>1136</v>
      </c>
      <c r="B43" s="2423">
        <f>B42/(1+N42)</f>
        <v>275.24529281292263</v>
      </c>
      <c r="C43" s="2423">
        <f>C42/(1+O42)</f>
        <v>231.74747938962707</v>
      </c>
      <c r="D43" s="2423">
        <f t="shared" si="202"/>
        <v>231.74747938962707</v>
      </c>
      <c r="E43" s="2423">
        <f t="shared" si="213"/>
        <v>375.35938184826603</v>
      </c>
      <c r="F43" s="2423">
        <f t="shared" si="213"/>
        <v>216.78033510692495</v>
      </c>
      <c r="G43" s="3420"/>
      <c r="H43" s="2435">
        <v>2</v>
      </c>
      <c r="I43" s="2435">
        <v>0.02</v>
      </c>
      <c r="J43" s="2435">
        <v>0.12</v>
      </c>
      <c r="K43" s="2435">
        <v>-0.08</v>
      </c>
      <c r="L43" s="2436">
        <v>1.24</v>
      </c>
      <c r="N43" s="2425">
        <f t="shared" si="204"/>
        <v>2.0000000000000001E-4</v>
      </c>
      <c r="O43" s="2410">
        <f t="shared" si="204"/>
        <v>1.1999999999999999E-3</v>
      </c>
      <c r="P43" s="2410">
        <f t="shared" si="204"/>
        <v>-8.0000000000000004E-4</v>
      </c>
      <c r="Q43" s="2410">
        <f t="shared" si="204"/>
        <v>1.24E-2</v>
      </c>
      <c r="R43" s="2426"/>
      <c r="S43" s="2425"/>
      <c r="T43" s="2410"/>
      <c r="U43" s="2410"/>
      <c r="V43" s="2410"/>
    </row>
    <row r="44" spans="1:34" ht="13.5" thickBot="1">
      <c r="A44" s="2422" t="s">
        <v>1137</v>
      </c>
      <c r="B44" s="2423">
        <f>B43/(1+N43)</f>
        <v>275.19025476197027</v>
      </c>
      <c r="C44" s="2474">
        <v>232</v>
      </c>
      <c r="D44" s="2474">
        <f t="shared" si="202"/>
        <v>232</v>
      </c>
      <c r="E44" s="2423">
        <f t="shared" si="213"/>
        <v>375.65990977608692</v>
      </c>
      <c r="F44" s="2423">
        <f t="shared" si="213"/>
        <v>214.12518283971252</v>
      </c>
      <c r="G44" s="3421"/>
      <c r="H44" s="2424">
        <v>1</v>
      </c>
      <c r="I44" s="2424">
        <v>0.02</v>
      </c>
      <c r="J44" s="2424">
        <v>0.13</v>
      </c>
      <c r="K44" s="2424">
        <v>-0.04</v>
      </c>
      <c r="L44" s="2430">
        <v>0.46</v>
      </c>
      <c r="N44" s="2425">
        <f t="shared" si="204"/>
        <v>2.0000000000000001E-4</v>
      </c>
      <c r="O44" s="2410">
        <f t="shared" si="204"/>
        <v>1.2999999999999999E-3</v>
      </c>
      <c r="P44" s="2410">
        <f t="shared" si="204"/>
        <v>-4.0000000000000002E-4</v>
      </c>
      <c r="Q44" s="2410">
        <f t="shared" si="204"/>
        <v>4.5999999999999999E-3</v>
      </c>
      <c r="R44" s="2426"/>
      <c r="S44" s="2441">
        <f>B44/B45-1</f>
        <v>6.9183549807361189E-4</v>
      </c>
      <c r="T44" s="2442">
        <f>C44/C45-1</f>
        <v>0</v>
      </c>
      <c r="U44" s="2442">
        <f>E44/E45-1</f>
        <v>-9.0449527636460303E-4</v>
      </c>
      <c r="V44" s="2442">
        <f>F44/F45-1</f>
        <v>5.2825485432512753E-3</v>
      </c>
      <c r="X44" s="2410"/>
      <c r="Y44" s="2410"/>
      <c r="Z44" s="2410"/>
    </row>
    <row r="45" spans="1:34" ht="13.5" thickBot="1">
      <c r="A45" s="2422" t="s">
        <v>1138</v>
      </c>
      <c r="B45" s="2437">
        <v>275</v>
      </c>
      <c r="C45" s="2437">
        <v>232</v>
      </c>
      <c r="D45" s="2437">
        <f t="shared" si="202"/>
        <v>232</v>
      </c>
      <c r="E45" s="2437">
        <v>376</v>
      </c>
      <c r="F45" s="2438">
        <v>213</v>
      </c>
      <c r="G45" s="3419">
        <v>2011</v>
      </c>
      <c r="H45" s="2443">
        <v>4</v>
      </c>
      <c r="I45" s="2443">
        <v>-0.2</v>
      </c>
      <c r="J45" s="2443">
        <v>0.04</v>
      </c>
      <c r="K45" s="2443">
        <v>-0.34</v>
      </c>
      <c r="L45" s="2444">
        <v>0.46</v>
      </c>
      <c r="N45" s="2445">
        <f t="shared" si="204"/>
        <v>-2E-3</v>
      </c>
      <c r="O45" s="2446">
        <f t="shared" si="204"/>
        <v>4.0000000000000002E-4</v>
      </c>
      <c r="P45" s="2446">
        <f t="shared" si="204"/>
        <v>-3.4000000000000002E-3</v>
      </c>
      <c r="Q45" s="2446">
        <f t="shared" si="204"/>
        <v>4.5999999999999999E-3</v>
      </c>
      <c r="R45" s="2426"/>
      <c r="S45" s="2439"/>
      <c r="T45" s="2440"/>
      <c r="U45" s="2440"/>
      <c r="V45" s="2440"/>
      <c r="X45" s="2440"/>
      <c r="Y45" s="2440"/>
      <c r="Z45" s="2440"/>
    </row>
    <row r="46" spans="1:34">
      <c r="A46" s="2422" t="s">
        <v>1139</v>
      </c>
      <c r="B46" s="2423">
        <f t="shared" ref="B46:C48" si="214">B45/(1+N45)</f>
        <v>275.55110220440883</v>
      </c>
      <c r="C46" s="2423">
        <f t="shared" si="214"/>
        <v>231.90723710515795</v>
      </c>
      <c r="D46" s="2423">
        <f t="shared" si="202"/>
        <v>231.90723710515795</v>
      </c>
      <c r="E46" s="2423">
        <f t="shared" ref="E46:F48" si="215">E45/(1+P45)</f>
        <v>377.28276138872161</v>
      </c>
      <c r="F46" s="2423">
        <f t="shared" si="215"/>
        <v>212.02468644236512</v>
      </c>
      <c r="G46" s="3420">
        <v>2011</v>
      </c>
      <c r="H46" s="2448">
        <v>3</v>
      </c>
      <c r="I46" s="2448">
        <v>0.13</v>
      </c>
      <c r="J46" s="2448">
        <v>0.75</v>
      </c>
      <c r="K46" s="2448">
        <v>-0.08</v>
      </c>
      <c r="L46" s="2449">
        <v>0.53</v>
      </c>
      <c r="N46" s="2425">
        <f t="shared" si="204"/>
        <v>1.2999999999999999E-3</v>
      </c>
      <c r="O46" s="2450">
        <f t="shared" si="204"/>
        <v>7.4999999999999997E-3</v>
      </c>
      <c r="P46" s="2450">
        <f t="shared" si="204"/>
        <v>-8.0000000000000004E-4</v>
      </c>
      <c r="Q46" s="2450">
        <f t="shared" si="204"/>
        <v>5.3E-3</v>
      </c>
      <c r="R46" s="2426"/>
      <c r="S46" s="2425"/>
      <c r="T46" s="2410"/>
      <c r="U46" s="2410"/>
      <c r="V46" s="2410"/>
    </row>
    <row r="47" spans="1:34">
      <c r="A47" s="2422" t="s">
        <v>1140</v>
      </c>
      <c r="B47" s="2423">
        <f t="shared" si="214"/>
        <v>275.19335084830601</v>
      </c>
      <c r="C47" s="2423">
        <f t="shared" si="214"/>
        <v>230.18088050139744</v>
      </c>
      <c r="D47" s="2423">
        <f t="shared" si="202"/>
        <v>230.18088050139744</v>
      </c>
      <c r="E47" s="2423">
        <f t="shared" si="215"/>
        <v>377.58482925212331</v>
      </c>
      <c r="F47" s="2423">
        <f t="shared" si="215"/>
        <v>210.90687997847917</v>
      </c>
      <c r="G47" s="3420">
        <v>2011</v>
      </c>
      <c r="H47" s="2435">
        <v>2</v>
      </c>
      <c r="I47" s="2435">
        <v>-0.4</v>
      </c>
      <c r="J47" s="2435">
        <v>0.17</v>
      </c>
      <c r="K47" s="2435">
        <v>-0.57999999999999996</v>
      </c>
      <c r="L47" s="2436">
        <v>-0.2</v>
      </c>
      <c r="N47" s="2425">
        <f t="shared" si="204"/>
        <v>-4.0000000000000001E-3</v>
      </c>
      <c r="O47" s="2450">
        <f t="shared" si="204"/>
        <v>1.7000000000000001E-3</v>
      </c>
      <c r="P47" s="2450">
        <f t="shared" si="204"/>
        <v>-5.7999999999999996E-3</v>
      </c>
      <c r="Q47" s="2450">
        <f t="shared" si="204"/>
        <v>-2E-3</v>
      </c>
      <c r="R47" s="2426"/>
      <c r="S47" s="2425"/>
      <c r="T47" s="2410"/>
      <c r="U47" s="2410"/>
      <c r="V47" s="2410"/>
    </row>
    <row r="48" spans="1:34" ht="13.5" thickBot="1">
      <c r="A48" s="2422" t="s">
        <v>1141</v>
      </c>
      <c r="B48" s="2423">
        <f t="shared" si="214"/>
        <v>276.29854502841971</v>
      </c>
      <c r="C48" s="2423">
        <f t="shared" si="214"/>
        <v>229.79023709833027</v>
      </c>
      <c r="D48" s="2423">
        <f t="shared" si="202"/>
        <v>229.79023709833027</v>
      </c>
      <c r="E48" s="2423">
        <f t="shared" si="215"/>
        <v>379.78759731655936</v>
      </c>
      <c r="F48" s="2423">
        <f t="shared" si="215"/>
        <v>211.32953905659235</v>
      </c>
      <c r="G48" s="3421">
        <v>2011</v>
      </c>
      <c r="H48" s="2424">
        <v>1</v>
      </c>
      <c r="I48" s="2424">
        <v>2.65</v>
      </c>
      <c r="J48" s="2424">
        <v>3.76</v>
      </c>
      <c r="K48" s="2424">
        <v>1.89</v>
      </c>
      <c r="L48" s="2430">
        <v>7.95</v>
      </c>
      <c r="N48" s="2441">
        <f t="shared" si="204"/>
        <v>2.6499999999999999E-2</v>
      </c>
      <c r="O48" s="2442">
        <f t="shared" si="204"/>
        <v>3.7599999999999995E-2</v>
      </c>
      <c r="P48" s="2442">
        <f t="shared" si="204"/>
        <v>1.89E-2</v>
      </c>
      <c r="Q48" s="2442">
        <f t="shared" si="204"/>
        <v>7.9500000000000001E-2</v>
      </c>
      <c r="R48" s="2426"/>
      <c r="S48" s="2441">
        <f>B48/B49-1</f>
        <v>2.713213765211786E-2</v>
      </c>
      <c r="T48" s="2442">
        <f>C48/C49-1</f>
        <v>3.9774828499231862E-2</v>
      </c>
      <c r="U48" s="2442">
        <f>E48/E49-1</f>
        <v>1.8197311840641772E-2</v>
      </c>
      <c r="V48" s="2442">
        <f>F48/F49-1</f>
        <v>7.8211933962205826E-2</v>
      </c>
      <c r="X48" s="2410"/>
      <c r="Y48" s="2410"/>
      <c r="Z48" s="2410"/>
    </row>
    <row r="49" spans="1:26" ht="13.5" thickBot="1">
      <c r="A49" s="2422" t="s">
        <v>1142</v>
      </c>
      <c r="B49" s="2437">
        <v>269</v>
      </c>
      <c r="C49" s="2437">
        <v>221</v>
      </c>
      <c r="D49" s="2437">
        <f t="shared" si="202"/>
        <v>221</v>
      </c>
      <c r="E49" s="2437">
        <v>373</v>
      </c>
      <c r="F49" s="2438">
        <v>196</v>
      </c>
      <c r="G49" s="3419">
        <v>2010</v>
      </c>
      <c r="H49" s="2443">
        <v>4</v>
      </c>
      <c r="I49" s="2443">
        <v>5.72</v>
      </c>
      <c r="J49" s="2443">
        <v>6.57</v>
      </c>
      <c r="K49" s="2443">
        <v>5.72</v>
      </c>
      <c r="L49" s="2444">
        <v>2.72</v>
      </c>
      <c r="N49" s="2425">
        <f t="shared" si="204"/>
        <v>5.7200000000000001E-2</v>
      </c>
      <c r="O49" s="2410">
        <f t="shared" si="204"/>
        <v>6.5700000000000008E-2</v>
      </c>
      <c r="P49" s="2410">
        <f t="shared" si="204"/>
        <v>5.7200000000000001E-2</v>
      </c>
      <c r="Q49" s="2410">
        <f t="shared" si="204"/>
        <v>2.7200000000000002E-2</v>
      </c>
      <c r="R49" s="2426"/>
      <c r="S49" s="2439"/>
      <c r="T49" s="2440"/>
      <c r="U49" s="2440"/>
      <c r="V49" s="2440"/>
      <c r="X49" s="2440"/>
      <c r="Y49" s="2440"/>
      <c r="Z49" s="2440"/>
    </row>
    <row r="50" spans="1:26">
      <c r="A50" s="2422" t="s">
        <v>1143</v>
      </c>
      <c r="B50" s="2423">
        <f t="shared" ref="B50:C52" si="216">B49/(1+N49)</f>
        <v>254.44570563753314</v>
      </c>
      <c r="C50" s="2423">
        <f t="shared" si="216"/>
        <v>207.37543398705074</v>
      </c>
      <c r="D50" s="2423">
        <f t="shared" si="202"/>
        <v>207.37543398705074</v>
      </c>
      <c r="E50" s="2423">
        <f t="shared" ref="E50:F52" si="217">E49/(1+P49)</f>
        <v>352.81876655315932</v>
      </c>
      <c r="F50" s="2423">
        <f t="shared" si="217"/>
        <v>190.809968847352</v>
      </c>
      <c r="G50" s="3420">
        <v>2010</v>
      </c>
      <c r="H50" s="2448">
        <v>3</v>
      </c>
      <c r="I50" s="2448">
        <v>4.7300000000000004</v>
      </c>
      <c r="J50" s="2448">
        <v>3.9</v>
      </c>
      <c r="K50" s="2448">
        <v>5.03</v>
      </c>
      <c r="L50" s="2449">
        <v>4.21</v>
      </c>
      <c r="N50" s="2425">
        <f t="shared" si="204"/>
        <v>4.7300000000000002E-2</v>
      </c>
      <c r="O50" s="2410">
        <f t="shared" si="204"/>
        <v>3.9E-2</v>
      </c>
      <c r="P50" s="2410">
        <f t="shared" si="204"/>
        <v>5.0300000000000004E-2</v>
      </c>
      <c r="Q50" s="2410">
        <f t="shared" si="204"/>
        <v>4.2099999999999999E-2</v>
      </c>
      <c r="R50" s="2426"/>
      <c r="S50" s="2425"/>
      <c r="T50" s="2410"/>
      <c r="U50" s="2410"/>
      <c r="V50" s="2410"/>
    </row>
    <row r="51" spans="1:26">
      <c r="A51" s="2422" t="s">
        <v>1144</v>
      </c>
      <c r="B51" s="2423">
        <f t="shared" si="216"/>
        <v>242.95398227588385</v>
      </c>
      <c r="C51" s="2423">
        <f t="shared" si="216"/>
        <v>199.59137053614126</v>
      </c>
      <c r="D51" s="2423">
        <f t="shared" si="202"/>
        <v>199.59137053614126</v>
      </c>
      <c r="E51" s="2423">
        <f t="shared" si="217"/>
        <v>335.92189522342125</v>
      </c>
      <c r="F51" s="2423">
        <f t="shared" si="217"/>
        <v>183.10139991109489</v>
      </c>
      <c r="G51" s="3420">
        <v>2010</v>
      </c>
      <c r="H51" s="2435">
        <v>2</v>
      </c>
      <c r="I51" s="2435">
        <v>4.6900000000000004</v>
      </c>
      <c r="J51" s="2435">
        <v>3.55</v>
      </c>
      <c r="K51" s="2435">
        <v>5.07</v>
      </c>
      <c r="L51" s="2436">
        <v>4.2300000000000004</v>
      </c>
      <c r="N51" s="2425">
        <f t="shared" si="204"/>
        <v>4.6900000000000004E-2</v>
      </c>
      <c r="O51" s="2410">
        <f t="shared" si="204"/>
        <v>3.5499999999999997E-2</v>
      </c>
      <c r="P51" s="2410">
        <f t="shared" si="204"/>
        <v>5.0700000000000002E-2</v>
      </c>
      <c r="Q51" s="2410">
        <f t="shared" si="204"/>
        <v>4.2300000000000004E-2</v>
      </c>
      <c r="R51" s="2426"/>
      <c r="S51" s="2425"/>
      <c r="T51" s="2410"/>
      <c r="U51" s="2410"/>
      <c r="V51" s="2410"/>
    </row>
    <row r="52" spans="1:26" ht="13.5" thickBot="1">
      <c r="A52" s="2422" t="s">
        <v>1145</v>
      </c>
      <c r="B52" s="2423">
        <f t="shared" si="216"/>
        <v>232.06990378821649</v>
      </c>
      <c r="C52" s="2423">
        <f t="shared" si="216"/>
        <v>192.74878854286936</v>
      </c>
      <c r="D52" s="2423">
        <f t="shared" si="202"/>
        <v>192.74878854286936</v>
      </c>
      <c r="E52" s="2423">
        <f t="shared" si="217"/>
        <v>319.71247284992984</v>
      </c>
      <c r="F52" s="2423">
        <f t="shared" si="217"/>
        <v>175.67053622862409</v>
      </c>
      <c r="G52" s="3421">
        <v>2010</v>
      </c>
      <c r="H52" s="2424">
        <v>1</v>
      </c>
      <c r="I52" s="2424">
        <v>5.4</v>
      </c>
      <c r="J52" s="2424">
        <v>3.2</v>
      </c>
      <c r="K52" s="2424">
        <v>6.16</v>
      </c>
      <c r="L52" s="2430">
        <v>4.51</v>
      </c>
      <c r="N52" s="2425">
        <f t="shared" si="204"/>
        <v>5.4000000000000006E-2</v>
      </c>
      <c r="O52" s="2410">
        <f t="shared" si="204"/>
        <v>3.2000000000000001E-2</v>
      </c>
      <c r="P52" s="2410">
        <f t="shared" si="204"/>
        <v>6.1600000000000002E-2</v>
      </c>
      <c r="Q52" s="2410">
        <f t="shared" si="204"/>
        <v>4.5100000000000001E-2</v>
      </c>
      <c r="R52" s="2426"/>
      <c r="S52" s="2441">
        <f>B52/B53-1</f>
        <v>5.4863199037347599E-2</v>
      </c>
      <c r="T52" s="2442">
        <f>C52/C53-1</f>
        <v>3.0742184721226584E-2</v>
      </c>
      <c r="U52" s="2442">
        <f>E52/E53-1</f>
        <v>6.2167683886810154E-2</v>
      </c>
      <c r="V52" s="2442">
        <f>F52/F53-1</f>
        <v>4.5657953741810031E-2</v>
      </c>
      <c r="X52" s="2410"/>
      <c r="Y52" s="2410"/>
      <c r="Z52" s="2410"/>
    </row>
    <row r="53" spans="1:26" ht="13.5" thickBot="1">
      <c r="A53" s="2422" t="s">
        <v>1146</v>
      </c>
      <c r="B53" s="2437">
        <v>220</v>
      </c>
      <c r="C53" s="2437">
        <v>187</v>
      </c>
      <c r="D53" s="2437">
        <f t="shared" si="202"/>
        <v>187</v>
      </c>
      <c r="E53" s="2437">
        <v>301</v>
      </c>
      <c r="F53" s="2438">
        <v>168</v>
      </c>
      <c r="G53" s="3419">
        <v>2009</v>
      </c>
      <c r="H53" s="2443">
        <v>4</v>
      </c>
      <c r="I53" s="2443">
        <v>2.2999999999999998</v>
      </c>
      <c r="J53" s="2443">
        <v>1.04</v>
      </c>
      <c r="K53" s="2443">
        <v>2.84</v>
      </c>
      <c r="L53" s="2444">
        <v>0.67</v>
      </c>
      <c r="N53" s="2445">
        <f t="shared" si="204"/>
        <v>2.3E-2</v>
      </c>
      <c r="O53" s="2446">
        <f t="shared" si="204"/>
        <v>1.04E-2</v>
      </c>
      <c r="P53" s="2446">
        <f t="shared" si="204"/>
        <v>2.8399999999999998E-2</v>
      </c>
      <c r="Q53" s="2446">
        <f t="shared" si="204"/>
        <v>6.7000000000000002E-3</v>
      </c>
      <c r="R53" s="2426"/>
      <c r="S53" s="2439"/>
      <c r="T53" s="2440"/>
      <c r="U53" s="2440"/>
      <c r="V53" s="2440"/>
      <c r="X53" s="2440"/>
      <c r="Y53" s="2440"/>
      <c r="Z53" s="2440"/>
    </row>
    <row r="54" spans="1:26">
      <c r="A54" s="2422" t="s">
        <v>1147</v>
      </c>
      <c r="B54" s="2423">
        <f t="shared" ref="B54:C56" si="218">B53/(1+N53)</f>
        <v>215.05376344086022</v>
      </c>
      <c r="C54" s="2423">
        <f t="shared" si="218"/>
        <v>185.0752177355503</v>
      </c>
      <c r="D54" s="2423">
        <f t="shared" si="202"/>
        <v>185.0752177355503</v>
      </c>
      <c r="E54" s="2423">
        <f t="shared" ref="E54:F56" si="219">E53/(1+P53)</f>
        <v>292.68767016725008</v>
      </c>
      <c r="F54" s="2423">
        <f t="shared" si="219"/>
        <v>166.88189132810174</v>
      </c>
      <c r="G54" s="3420">
        <v>2009</v>
      </c>
      <c r="H54" s="2448">
        <v>3</v>
      </c>
      <c r="I54" s="2448">
        <v>2.1</v>
      </c>
      <c r="J54" s="2448">
        <v>1.86</v>
      </c>
      <c r="K54" s="2448">
        <v>2.29</v>
      </c>
      <c r="L54" s="2449">
        <v>0.85</v>
      </c>
      <c r="N54" s="2425">
        <f t="shared" si="204"/>
        <v>2.1000000000000001E-2</v>
      </c>
      <c r="O54" s="2450">
        <f t="shared" si="204"/>
        <v>1.8600000000000002E-2</v>
      </c>
      <c r="P54" s="2450">
        <f t="shared" si="204"/>
        <v>2.29E-2</v>
      </c>
      <c r="Q54" s="2450">
        <f t="shared" si="204"/>
        <v>8.5000000000000006E-3</v>
      </c>
      <c r="R54" s="2426"/>
      <c r="S54" s="2425"/>
      <c r="T54" s="2410"/>
      <c r="U54" s="2410"/>
      <c r="V54" s="2410"/>
    </row>
    <row r="55" spans="1:26">
      <c r="A55" s="2422" t="s">
        <v>1148</v>
      </c>
      <c r="B55" s="2423">
        <f t="shared" si="218"/>
        <v>210.630522469011</v>
      </c>
      <c r="C55" s="2423">
        <f t="shared" si="218"/>
        <v>181.69567812247232</v>
      </c>
      <c r="D55" s="2423">
        <f t="shared" si="202"/>
        <v>181.69567812247232</v>
      </c>
      <c r="E55" s="2423">
        <f t="shared" si="219"/>
        <v>286.13517466736738</v>
      </c>
      <c r="F55" s="2423">
        <f t="shared" si="219"/>
        <v>165.47535084591149</v>
      </c>
      <c r="G55" s="3420">
        <v>2009</v>
      </c>
      <c r="H55" s="2435">
        <v>2</v>
      </c>
      <c r="I55" s="2435">
        <v>0.86</v>
      </c>
      <c r="J55" s="2435">
        <v>-1.1299999999999999</v>
      </c>
      <c r="K55" s="2435">
        <v>1.79</v>
      </c>
      <c r="L55" s="2436">
        <v>-2.0699999999999998</v>
      </c>
      <c r="N55" s="2425">
        <f t="shared" si="204"/>
        <v>8.6E-3</v>
      </c>
      <c r="O55" s="2450">
        <f t="shared" si="204"/>
        <v>-1.1299999999999999E-2</v>
      </c>
      <c r="P55" s="2450">
        <f t="shared" si="204"/>
        <v>1.7899999999999999E-2</v>
      </c>
      <c r="Q55" s="2450">
        <f t="shared" si="204"/>
        <v>-2.07E-2</v>
      </c>
      <c r="R55" s="2426"/>
      <c r="S55" s="2425"/>
      <c r="T55" s="2410"/>
      <c r="U55" s="2410"/>
      <c r="V55" s="2410"/>
    </row>
    <row r="56" spans="1:26">
      <c r="A56" s="2422" t="s">
        <v>1149</v>
      </c>
      <c r="B56" s="2423">
        <f t="shared" si="218"/>
        <v>208.83454537875372</v>
      </c>
      <c r="C56" s="2423">
        <f t="shared" si="218"/>
        <v>183.77230517090351</v>
      </c>
      <c r="D56" s="2423">
        <f t="shared" si="202"/>
        <v>183.77230517090351</v>
      </c>
      <c r="E56" s="2423">
        <f t="shared" si="219"/>
        <v>281.10342338870947</v>
      </c>
      <c r="F56" s="2423">
        <f t="shared" si="219"/>
        <v>168.97309388942256</v>
      </c>
      <c r="G56" s="3421">
        <v>2009</v>
      </c>
      <c r="H56" s="2424">
        <v>1</v>
      </c>
      <c r="I56" s="2424">
        <v>-2.64</v>
      </c>
      <c r="J56" s="2424">
        <v>-2.5299999999999998</v>
      </c>
      <c r="K56" s="2424">
        <v>-3.02</v>
      </c>
      <c r="L56" s="2430">
        <v>1.52</v>
      </c>
      <c r="N56" s="2441">
        <f t="shared" si="204"/>
        <v>-2.64E-2</v>
      </c>
      <c r="O56" s="2442">
        <f t="shared" si="204"/>
        <v>-2.53E-2</v>
      </c>
      <c r="P56" s="2442">
        <f t="shared" si="204"/>
        <v>-3.0200000000000001E-2</v>
      </c>
      <c r="Q56" s="2442">
        <f t="shared" si="204"/>
        <v>1.52E-2</v>
      </c>
      <c r="R56" s="2426"/>
      <c r="S56" s="2441">
        <f>B56/B57-1</f>
        <v>-2.4137638417038754E-2</v>
      </c>
      <c r="T56" s="2442">
        <f>C56/C57-1</f>
        <v>-2.248773845264096E-2</v>
      </c>
      <c r="U56" s="2442">
        <f>E56/E57-1</f>
        <v>-2.7323794502735366E-2</v>
      </c>
      <c r="V56" s="2442">
        <f>F56/F57-1</f>
        <v>1.7910204153148035E-2</v>
      </c>
      <c r="X56" s="2410"/>
      <c r="Y56" s="2410"/>
      <c r="Z56" s="2410"/>
    </row>
    <row r="57" spans="1:26" ht="13.5" thickBot="1">
      <c r="A57" s="2422" t="s">
        <v>1150</v>
      </c>
      <c r="B57" s="2472">
        <v>214</v>
      </c>
      <c r="C57" s="2472">
        <v>188</v>
      </c>
      <c r="D57" s="2472">
        <f t="shared" si="202"/>
        <v>188</v>
      </c>
      <c r="E57" s="2472">
        <v>289</v>
      </c>
      <c r="F57" s="2473">
        <v>166</v>
      </c>
      <c r="G57" s="3419">
        <v>2008</v>
      </c>
      <c r="H57" s="2443">
        <v>4</v>
      </c>
      <c r="I57" s="2443">
        <v>1.73</v>
      </c>
      <c r="J57" s="2443">
        <v>0.03</v>
      </c>
      <c r="K57" s="2443">
        <v>2.59</v>
      </c>
      <c r="L57" s="2444">
        <v>-1.66</v>
      </c>
      <c r="N57" s="2425">
        <f t="shared" si="204"/>
        <v>1.7299999999999999E-2</v>
      </c>
      <c r="O57" s="2410">
        <f t="shared" si="204"/>
        <v>2.9999999999999997E-4</v>
      </c>
      <c r="P57" s="2410">
        <f t="shared" si="204"/>
        <v>2.5899999999999999E-2</v>
      </c>
      <c r="Q57" s="2410">
        <f t="shared" si="204"/>
        <v>-1.66E-2</v>
      </c>
      <c r="R57" s="2426"/>
      <c r="S57" s="2439"/>
      <c r="T57" s="2440"/>
      <c r="U57" s="2440"/>
      <c r="V57" s="2440"/>
      <c r="X57" s="2440"/>
      <c r="Y57" s="2440"/>
      <c r="Z57" s="2440"/>
    </row>
    <row r="58" spans="1:26">
      <c r="A58" s="2422" t="s">
        <v>1151</v>
      </c>
      <c r="B58" s="2423">
        <f t="shared" ref="B58:C60" si="220">B57/(1+N57)</f>
        <v>210.36075887152265</v>
      </c>
      <c r="C58" s="2423">
        <f t="shared" si="220"/>
        <v>187.94361691492554</v>
      </c>
      <c r="D58" s="2423">
        <f t="shared" si="202"/>
        <v>187.94361691492554</v>
      </c>
      <c r="E58" s="2423">
        <f t="shared" ref="E58:F60" si="221">E57/(1+P57)</f>
        <v>281.70386977288234</v>
      </c>
      <c r="F58" s="2423">
        <f t="shared" si="221"/>
        <v>168.80211511083994</v>
      </c>
      <c r="G58" s="3420">
        <v>2008</v>
      </c>
      <c r="H58" s="2448">
        <v>3</v>
      </c>
      <c r="I58" s="2448">
        <v>1.96</v>
      </c>
      <c r="J58" s="2448">
        <v>2.36</v>
      </c>
      <c r="K58" s="2448">
        <v>1.82</v>
      </c>
      <c r="L58" s="2449">
        <v>2.2200000000000002</v>
      </c>
      <c r="N58" s="2425">
        <f t="shared" si="204"/>
        <v>1.9599999999999999E-2</v>
      </c>
      <c r="O58" s="2410">
        <f t="shared" si="204"/>
        <v>2.3599999999999999E-2</v>
      </c>
      <c r="P58" s="2410">
        <f t="shared" si="204"/>
        <v>1.8200000000000001E-2</v>
      </c>
      <c r="Q58" s="2410">
        <f t="shared" si="204"/>
        <v>2.2200000000000001E-2</v>
      </c>
      <c r="R58" s="2426"/>
      <c r="S58" s="2425"/>
      <c r="T58" s="2410"/>
      <c r="U58" s="2410"/>
      <c r="V58" s="2410"/>
    </row>
    <row r="59" spans="1:26">
      <c r="A59" s="2422" t="s">
        <v>1152</v>
      </c>
      <c r="B59" s="2423">
        <f t="shared" si="220"/>
        <v>206.31694671589116</v>
      </c>
      <c r="C59" s="2423">
        <f t="shared" si="220"/>
        <v>183.61041121036101</v>
      </c>
      <c r="D59" s="2423">
        <f t="shared" si="202"/>
        <v>183.61041121036101</v>
      </c>
      <c r="E59" s="2423">
        <f t="shared" si="221"/>
        <v>276.66850301795557</v>
      </c>
      <c r="F59" s="2423">
        <f t="shared" si="221"/>
        <v>165.1360938278614</v>
      </c>
      <c r="G59" s="3420">
        <v>2008</v>
      </c>
      <c r="H59" s="2435">
        <v>2</v>
      </c>
      <c r="I59" s="2435">
        <v>4.93</v>
      </c>
      <c r="J59" s="2435">
        <v>7.38</v>
      </c>
      <c r="K59" s="2435">
        <v>3.98</v>
      </c>
      <c r="L59" s="2436">
        <v>6.86</v>
      </c>
      <c r="N59" s="2425">
        <f t="shared" si="204"/>
        <v>4.9299999999999997E-2</v>
      </c>
      <c r="O59" s="2410">
        <f t="shared" si="204"/>
        <v>7.3800000000000004E-2</v>
      </c>
      <c r="P59" s="2410">
        <f t="shared" si="204"/>
        <v>3.9800000000000002E-2</v>
      </c>
      <c r="Q59" s="2410">
        <f t="shared" si="204"/>
        <v>6.8600000000000008E-2</v>
      </c>
      <c r="R59" s="2426"/>
      <c r="S59" s="2425"/>
      <c r="T59" s="2410"/>
      <c r="U59" s="2410"/>
      <c r="V59" s="2410"/>
    </row>
    <row r="60" spans="1:26" s="2478" customFormat="1" ht="13.5" thickBot="1">
      <c r="A60" s="2422" t="s">
        <v>1153</v>
      </c>
      <c r="B60" s="2475">
        <f t="shared" si="220"/>
        <v>196.62341248059772</v>
      </c>
      <c r="C60" s="2475">
        <f t="shared" si="220"/>
        <v>170.99125648199012</v>
      </c>
      <c r="D60" s="2475">
        <f t="shared" si="202"/>
        <v>170.99125648199012</v>
      </c>
      <c r="E60" s="2475">
        <f t="shared" si="221"/>
        <v>266.07857570490052</v>
      </c>
      <c r="F60" s="2475">
        <f t="shared" si="221"/>
        <v>154.53499328828505</v>
      </c>
      <c r="G60" s="3421">
        <v>2008</v>
      </c>
      <c r="H60" s="2476">
        <v>1</v>
      </c>
      <c r="I60" s="2476">
        <v>4.1399999999999997</v>
      </c>
      <c r="J60" s="2476">
        <v>3.45</v>
      </c>
      <c r="K60" s="2476">
        <v>4.95</v>
      </c>
      <c r="L60" s="2477">
        <v>4.82</v>
      </c>
      <c r="N60" s="2479">
        <f t="shared" si="204"/>
        <v>4.1399999999999999E-2</v>
      </c>
      <c r="O60" s="2480">
        <f t="shared" si="204"/>
        <v>3.4500000000000003E-2</v>
      </c>
      <c r="P60" s="2480">
        <f t="shared" si="204"/>
        <v>4.9500000000000002E-2</v>
      </c>
      <c r="Q60" s="2480">
        <f t="shared" si="204"/>
        <v>4.82E-2</v>
      </c>
      <c r="R60" s="2481"/>
      <c r="S60" s="2479">
        <f>B60/B61-1</f>
        <v>4.5869215322328349E-2</v>
      </c>
      <c r="T60" s="2480">
        <f>C60/C61-1</f>
        <v>3.6310645345394743E-2</v>
      </c>
      <c r="U60" s="2480">
        <f>E60/E61-1</f>
        <v>4.7553447657088688E-2</v>
      </c>
      <c r="V60" s="2480">
        <f>F60/F61-1</f>
        <v>4.4155360055980086E-2</v>
      </c>
      <c r="X60" s="2480"/>
      <c r="Y60" s="2480"/>
      <c r="Z60" s="2480"/>
    </row>
    <row r="61" spans="1:26" ht="13.5" thickBot="1">
      <c r="A61" s="2422" t="s">
        <v>1154</v>
      </c>
      <c r="B61" s="2437">
        <v>188</v>
      </c>
      <c r="C61" s="2437">
        <v>165</v>
      </c>
      <c r="D61" s="2437">
        <f t="shared" si="202"/>
        <v>165</v>
      </c>
      <c r="E61" s="2437">
        <v>254</v>
      </c>
      <c r="F61" s="2438">
        <v>148</v>
      </c>
      <c r="G61" s="3419">
        <v>2007</v>
      </c>
      <c r="H61" s="2482">
        <v>4</v>
      </c>
      <c r="I61" s="2482">
        <v>5.51</v>
      </c>
      <c r="J61" s="2482">
        <v>4.8899999999999997</v>
      </c>
      <c r="K61" s="2482">
        <v>6.43</v>
      </c>
      <c r="L61" s="2483">
        <v>5.36</v>
      </c>
      <c r="N61" s="2484">
        <f t="shared" ref="N61:O64" si="222">B61/B62-1</f>
        <v>4.1339718365245526E-2</v>
      </c>
      <c r="O61" s="2485">
        <f t="shared" si="222"/>
        <v>4.0324492593776018E-2</v>
      </c>
      <c r="P61" s="2485">
        <f t="shared" ref="P61:Q64" si="223">E61/E62-1</f>
        <v>6.1625555347990968E-2</v>
      </c>
      <c r="Q61" s="2485">
        <f t="shared" si="223"/>
        <v>4.6757569250590603E-2</v>
      </c>
      <c r="R61" s="2426"/>
      <c r="S61" s="2439"/>
      <c r="T61" s="2440"/>
      <c r="U61" s="2440"/>
      <c r="V61" s="2440"/>
      <c r="X61" s="2440"/>
      <c r="Y61" s="2440"/>
      <c r="Z61" s="2440"/>
    </row>
    <row r="62" spans="1:26">
      <c r="A62" s="2422" t="s">
        <v>1155</v>
      </c>
      <c r="B62" s="2423">
        <f t="shared" ref="B62:C64" si="224">B63+(B$61-B$65)*I62/SUM(I$61:I$64)</f>
        <v>180.5366651097618</v>
      </c>
      <c r="C62" s="2423">
        <f t="shared" si="224"/>
        <v>158.60435967302453</v>
      </c>
      <c r="D62" s="2423">
        <f t="shared" si="202"/>
        <v>158.60435967302453</v>
      </c>
      <c r="E62" s="2423">
        <f t="shared" ref="E62:F64" si="225">E63+(E$61-E$65)*K62/SUM(K$61:K$64)</f>
        <v>239.25573260785075</v>
      </c>
      <c r="F62" s="2423">
        <f t="shared" si="225"/>
        <v>141.38899430740037</v>
      </c>
      <c r="G62" s="3420">
        <v>2007</v>
      </c>
      <c r="H62" s="2448">
        <v>3</v>
      </c>
      <c r="I62" s="2448">
        <v>8.65</v>
      </c>
      <c r="J62" s="2448">
        <v>8.06</v>
      </c>
      <c r="K62" s="2448">
        <v>9.94</v>
      </c>
      <c r="L62" s="2449">
        <v>5.8</v>
      </c>
      <c r="N62" s="2484">
        <f t="shared" si="222"/>
        <v>6.940217571740015E-2</v>
      </c>
      <c r="O62" s="2485">
        <f t="shared" si="222"/>
        <v>7.1197482471153428E-2</v>
      </c>
      <c r="P62" s="2485">
        <f t="shared" si="223"/>
        <v>0.10529679922579582</v>
      </c>
      <c r="Q62" s="2485">
        <f t="shared" si="223"/>
        <v>5.3292245059512133E-2</v>
      </c>
      <c r="R62" s="2426"/>
      <c r="S62" s="2425"/>
      <c r="T62" s="2410"/>
      <c r="U62" s="2410"/>
      <c r="V62" s="2410"/>
      <c r="X62" s="2486"/>
      <c r="Y62" s="2486"/>
      <c r="Z62" s="2486"/>
    </row>
    <row r="63" spans="1:26">
      <c r="A63" s="2422" t="s">
        <v>1156</v>
      </c>
      <c r="B63" s="2423">
        <f t="shared" si="224"/>
        <v>168.82017748715555</v>
      </c>
      <c r="C63" s="2423">
        <f t="shared" si="224"/>
        <v>148.06267029972753</v>
      </c>
      <c r="D63" s="2423">
        <f t="shared" si="202"/>
        <v>148.06267029972753</v>
      </c>
      <c r="E63" s="2423">
        <f t="shared" si="225"/>
        <v>216.46288379323747</v>
      </c>
      <c r="F63" s="2423">
        <f t="shared" si="225"/>
        <v>134.23529411764704</v>
      </c>
      <c r="G63" s="3420">
        <v>2007</v>
      </c>
      <c r="H63" s="2435">
        <v>2</v>
      </c>
      <c r="I63" s="2435">
        <v>3.67</v>
      </c>
      <c r="J63" s="2435">
        <v>2.3199999999999998</v>
      </c>
      <c r="K63" s="2435">
        <v>5.0199999999999996</v>
      </c>
      <c r="L63" s="2436">
        <v>6.71</v>
      </c>
      <c r="N63" s="2484">
        <f t="shared" si="222"/>
        <v>3.0339138143848032E-2</v>
      </c>
      <c r="O63" s="2485">
        <f t="shared" si="222"/>
        <v>2.0922341588790472E-2</v>
      </c>
      <c r="P63" s="2485">
        <f t="shared" si="223"/>
        <v>5.6164796592717003E-2</v>
      </c>
      <c r="Q63" s="2485">
        <f t="shared" si="223"/>
        <v>6.5704536723887319E-2</v>
      </c>
      <c r="R63" s="2426"/>
      <c r="S63" s="2425"/>
      <c r="T63" s="2410"/>
      <c r="U63" s="2410"/>
      <c r="V63" s="2410"/>
      <c r="X63" s="2486"/>
      <c r="Y63" s="2486"/>
      <c r="Z63" s="2486"/>
    </row>
    <row r="64" spans="1:26">
      <c r="A64" s="2422" t="s">
        <v>1157</v>
      </c>
      <c r="B64" s="2423">
        <f t="shared" si="224"/>
        <v>163.84913591779542</v>
      </c>
      <c r="C64" s="2423">
        <f t="shared" si="224"/>
        <v>145.0283378746594</v>
      </c>
      <c r="D64" s="2423">
        <f t="shared" si="202"/>
        <v>145.0283378746594</v>
      </c>
      <c r="E64" s="2423">
        <f t="shared" si="225"/>
        <v>204.95180722891567</v>
      </c>
      <c r="F64" s="2423">
        <f t="shared" si="225"/>
        <v>125.95920303605313</v>
      </c>
      <c r="G64" s="3421">
        <v>2007</v>
      </c>
      <c r="H64" s="2424">
        <v>1</v>
      </c>
      <c r="I64" s="2424">
        <v>3.58</v>
      </c>
      <c r="J64" s="2424">
        <v>3.08</v>
      </c>
      <c r="K64" s="2424">
        <v>4.34</v>
      </c>
      <c r="L64" s="2430">
        <v>3.21</v>
      </c>
      <c r="N64" s="2487">
        <f t="shared" si="222"/>
        <v>3.0497710174814063E-2</v>
      </c>
      <c r="O64" s="2488">
        <f t="shared" si="222"/>
        <v>2.8569772160704998E-2</v>
      </c>
      <c r="P64" s="2488">
        <f t="shared" si="223"/>
        <v>5.1034908866234296E-2</v>
      </c>
      <c r="Q64" s="2488">
        <f t="shared" si="223"/>
        <v>3.245248390207478E-2</v>
      </c>
      <c r="R64" s="2426"/>
      <c r="S64" s="2441">
        <f>B64/B65-1</f>
        <v>3.0497710174814063E-2</v>
      </c>
      <c r="T64" s="2442">
        <f>C64/C65-1</f>
        <v>2.8569772160704998E-2</v>
      </c>
      <c r="U64" s="2442">
        <f>E64/E65-1</f>
        <v>5.1034908866234296E-2</v>
      </c>
      <c r="V64" s="2442">
        <f>F64/F65-1</f>
        <v>3.245248390207478E-2</v>
      </c>
      <c r="X64" s="2486"/>
      <c r="Y64" s="2486"/>
      <c r="Z64" s="2486"/>
    </row>
    <row r="65" spans="1:26" ht="13.5" thickBot="1">
      <c r="A65" s="2422" t="s">
        <v>1158</v>
      </c>
      <c r="B65" s="2451">
        <v>159</v>
      </c>
      <c r="C65" s="2451">
        <v>141</v>
      </c>
      <c r="D65" s="2451">
        <f t="shared" si="202"/>
        <v>141</v>
      </c>
      <c r="E65" s="2451">
        <v>195</v>
      </c>
      <c r="F65" s="2452">
        <v>122</v>
      </c>
      <c r="G65" s="3419">
        <v>2006</v>
      </c>
      <c r="H65" s="2443">
        <v>4</v>
      </c>
      <c r="I65" s="2443">
        <v>3.79</v>
      </c>
      <c r="J65" s="2443">
        <v>2.21</v>
      </c>
      <c r="K65" s="2443">
        <v>5.65</v>
      </c>
      <c r="L65" s="2444">
        <v>5.41</v>
      </c>
      <c r="N65" s="2484">
        <f t="shared" ref="N65:O68" si="226">I65/SUM(I$65:I$68)*(B$65/B$69-1)</f>
        <v>7.245466462748526E-2</v>
      </c>
      <c r="O65" s="2485">
        <f t="shared" si="226"/>
        <v>2.3237230038062766E-2</v>
      </c>
      <c r="P65" s="2485">
        <f t="shared" ref="P65:Q68" si="227">K65/SUM(K$65:K$68)*(E$65/E$69-1)</f>
        <v>0.16146893866323722</v>
      </c>
      <c r="Q65" s="2485">
        <f t="shared" si="227"/>
        <v>5.0755230321793784E-2</v>
      </c>
      <c r="R65" s="2426"/>
      <c r="S65" s="2439"/>
      <c r="T65" s="2440"/>
      <c r="U65" s="2440"/>
      <c r="V65" s="2440"/>
      <c r="X65" s="2486"/>
      <c r="Y65" s="2486"/>
      <c r="Z65" s="2486"/>
    </row>
    <row r="66" spans="1:26">
      <c r="A66" s="2422" t="s">
        <v>1159</v>
      </c>
      <c r="B66" s="2423">
        <f t="shared" ref="B66:C68" si="228">B67+(B$65-B$69)*I66/SUM(I$65:I$68)</f>
        <v>149.00125628140702</v>
      </c>
      <c r="C66" s="2423">
        <f t="shared" si="228"/>
        <v>137.95592286501378</v>
      </c>
      <c r="D66" s="2423">
        <f t="shared" si="202"/>
        <v>137.95592286501378</v>
      </c>
      <c r="E66" s="2423">
        <f t="shared" ref="E66:F68" si="229">E67+(E$65-E$69)*K66/SUM(K$65:K$68)</f>
        <v>169.97231450719823</v>
      </c>
      <c r="F66" s="2423">
        <f t="shared" si="229"/>
        <v>116.21390374331551</v>
      </c>
      <c r="G66" s="3420">
        <v>2006</v>
      </c>
      <c r="H66" s="2448">
        <v>3</v>
      </c>
      <c r="I66" s="2448">
        <v>0.92</v>
      </c>
      <c r="J66" s="2448">
        <v>1.08</v>
      </c>
      <c r="K66" s="2448">
        <v>0.73</v>
      </c>
      <c r="L66" s="2449">
        <v>1.08</v>
      </c>
      <c r="N66" s="2484">
        <f t="shared" si="226"/>
        <v>1.7587939698492462E-2</v>
      </c>
      <c r="O66" s="2485">
        <f t="shared" si="226"/>
        <v>1.1355750425840628E-2</v>
      </c>
      <c r="P66" s="2485">
        <f t="shared" si="227"/>
        <v>2.0862358446754544E-2</v>
      </c>
      <c r="Q66" s="2485">
        <f t="shared" si="227"/>
        <v>1.0132282578103011E-2</v>
      </c>
      <c r="R66" s="2426"/>
      <c r="S66" s="2425"/>
      <c r="T66" s="2410"/>
      <c r="U66" s="2410"/>
      <c r="V66" s="2410"/>
      <c r="X66" s="2486"/>
      <c r="Y66" s="2486"/>
      <c r="Z66" s="2486"/>
    </row>
    <row r="67" spans="1:26">
      <c r="A67" s="2422" t="s">
        <v>1160</v>
      </c>
      <c r="B67" s="2423">
        <f t="shared" si="228"/>
        <v>146.57412060301507</v>
      </c>
      <c r="C67" s="2423">
        <f t="shared" si="228"/>
        <v>136.46831955922866</v>
      </c>
      <c r="D67" s="2423">
        <f t="shared" si="202"/>
        <v>136.46831955922866</v>
      </c>
      <c r="E67" s="2423">
        <f t="shared" si="229"/>
        <v>166.73864894795128</v>
      </c>
      <c r="F67" s="2423">
        <f t="shared" si="229"/>
        <v>115.05882352941177</v>
      </c>
      <c r="G67" s="3420">
        <v>2006</v>
      </c>
      <c r="H67" s="2435">
        <v>2</v>
      </c>
      <c r="I67" s="2435">
        <v>0.96</v>
      </c>
      <c r="J67" s="2435">
        <v>0.25</v>
      </c>
      <c r="K67" s="2435">
        <v>1.9</v>
      </c>
      <c r="L67" s="2436">
        <v>0.95</v>
      </c>
      <c r="N67" s="2484">
        <f t="shared" si="226"/>
        <v>1.8352632728861701E-2</v>
      </c>
      <c r="O67" s="2485">
        <f t="shared" si="226"/>
        <v>2.6286459319075526E-3</v>
      </c>
      <c r="P67" s="2485">
        <f t="shared" si="227"/>
        <v>5.4299289107991269E-2</v>
      </c>
      <c r="Q67" s="2485">
        <f t="shared" si="227"/>
        <v>8.9126559714794995E-3</v>
      </c>
      <c r="R67" s="2426"/>
      <c r="S67" s="2425"/>
      <c r="T67" s="2410"/>
      <c r="U67" s="2410"/>
      <c r="V67" s="2410"/>
      <c r="X67" s="2486"/>
      <c r="Y67" s="2486"/>
      <c r="Z67" s="2486"/>
    </row>
    <row r="68" spans="1:26">
      <c r="A68" s="2422" t="s">
        <v>1161</v>
      </c>
      <c r="B68" s="2423">
        <f t="shared" si="228"/>
        <v>144.04145728643215</v>
      </c>
      <c r="C68" s="2423">
        <f t="shared" si="228"/>
        <v>136.12396694214877</v>
      </c>
      <c r="D68" s="2423">
        <f t="shared" si="202"/>
        <v>136.12396694214877</v>
      </c>
      <c r="E68" s="2423">
        <f t="shared" si="229"/>
        <v>158.32225913621264</v>
      </c>
      <c r="F68" s="2423">
        <f t="shared" si="229"/>
        <v>114.04278074866311</v>
      </c>
      <c r="G68" s="3421">
        <v>2006</v>
      </c>
      <c r="H68" s="2424">
        <v>1</v>
      </c>
      <c r="I68" s="2424">
        <v>2.29</v>
      </c>
      <c r="J68" s="2424">
        <v>3.72</v>
      </c>
      <c r="K68" s="2424">
        <v>0.75</v>
      </c>
      <c r="L68" s="2430">
        <v>0.04</v>
      </c>
      <c r="N68" s="2487">
        <f t="shared" si="226"/>
        <v>4.3778675988638847E-2</v>
      </c>
      <c r="O68" s="2488">
        <f t="shared" si="226"/>
        <v>3.9114251466784385E-2</v>
      </c>
      <c r="P68" s="2488">
        <f t="shared" si="227"/>
        <v>2.1433929911049188E-2</v>
      </c>
      <c r="Q68" s="2488">
        <f t="shared" si="227"/>
        <v>3.7526972511492629E-4</v>
      </c>
      <c r="R68" s="2426"/>
      <c r="S68" s="2441">
        <f>B68/B69-1</f>
        <v>4.3778675988638716E-2</v>
      </c>
      <c r="T68" s="2442">
        <f>C68/C69-1</f>
        <v>3.91142514667846E-2</v>
      </c>
      <c r="U68" s="2442">
        <f>E68/E69-1</f>
        <v>2.143392991104931E-2</v>
      </c>
      <c r="V68" s="2442">
        <f>F68/F69-1</f>
        <v>3.7526972511492396E-4</v>
      </c>
      <c r="X68" s="2486"/>
      <c r="Y68" s="2486"/>
      <c r="Z68" s="2486"/>
    </row>
    <row r="69" spans="1:26" ht="13.5" thickBot="1">
      <c r="A69" s="2422" t="s">
        <v>1162</v>
      </c>
      <c r="B69" s="2451">
        <v>138</v>
      </c>
      <c r="C69" s="2451">
        <v>131</v>
      </c>
      <c r="D69" s="2451">
        <f t="shared" si="202"/>
        <v>131</v>
      </c>
      <c r="E69" s="2451">
        <v>155</v>
      </c>
      <c r="F69" s="2452">
        <v>114</v>
      </c>
      <c r="G69" s="3419">
        <v>2005</v>
      </c>
      <c r="H69" s="2443">
        <v>4</v>
      </c>
      <c r="I69" s="2443">
        <v>3.29</v>
      </c>
      <c r="J69" s="2443">
        <v>1.44</v>
      </c>
      <c r="K69" s="2443">
        <v>0.66</v>
      </c>
      <c r="L69" s="2444">
        <v>7.78</v>
      </c>
      <c r="N69" s="2484">
        <f t="shared" ref="N69:O72" si="230">I69/SUM(I$69:I$72)*(B$69/B$73-1)</f>
        <v>9.9404603216919935E-2</v>
      </c>
      <c r="O69" s="2485">
        <f t="shared" si="230"/>
        <v>4.7636550760861554E-2</v>
      </c>
      <c r="P69" s="2485">
        <f t="shared" ref="P69:Q72" si="231">K69/SUM(K$69:K$72)*(E$69/E$73-1)</f>
        <v>8.3756345177664976E-2</v>
      </c>
      <c r="Q69" s="2485">
        <f t="shared" si="231"/>
        <v>5.2148766661559584E-2</v>
      </c>
      <c r="R69" s="2426"/>
      <c r="S69" s="2439"/>
      <c r="T69" s="2440"/>
      <c r="U69" s="2440"/>
      <c r="V69" s="2440"/>
      <c r="X69" s="2486"/>
      <c r="Y69" s="2486"/>
      <c r="Z69" s="2486"/>
    </row>
    <row r="70" spans="1:26">
      <c r="A70" s="2422" t="s">
        <v>1163</v>
      </c>
      <c r="B70" s="2423">
        <f t="shared" ref="B70:C72" si="232">B71+(B$69-B$73)*I70/SUM(I$69:I$72)</f>
        <v>125.9720430107527</v>
      </c>
      <c r="C70" s="2423">
        <f t="shared" si="232"/>
        <v>125.1883408071749</v>
      </c>
      <c r="D70" s="2423">
        <f t="shared" si="202"/>
        <v>125.1883408071749</v>
      </c>
      <c r="E70" s="2423">
        <f t="shared" ref="E70:F72" si="233">E71+(E$69-E$73)*K70/SUM(K$69:K$72)</f>
        <v>144.61421319796952</v>
      </c>
      <c r="F70" s="2423">
        <f t="shared" si="233"/>
        <v>108.42008196721311</v>
      </c>
      <c r="G70" s="3420">
        <v>2005</v>
      </c>
      <c r="H70" s="2448">
        <v>3</v>
      </c>
      <c r="I70" s="2448">
        <v>0.46</v>
      </c>
      <c r="J70" s="2448">
        <v>0.32</v>
      </c>
      <c r="K70" s="2448">
        <v>0.42</v>
      </c>
      <c r="L70" s="2449">
        <v>0.64</v>
      </c>
      <c r="N70" s="2484">
        <f t="shared" si="230"/>
        <v>1.3898515951301874E-2</v>
      </c>
      <c r="O70" s="2485">
        <f t="shared" si="230"/>
        <v>1.0585900169080346E-2</v>
      </c>
      <c r="P70" s="2485">
        <f t="shared" si="231"/>
        <v>5.3299492385786795E-2</v>
      </c>
      <c r="Q70" s="2485">
        <f t="shared" si="231"/>
        <v>4.2898728359123568E-3</v>
      </c>
      <c r="R70" s="2426"/>
      <c r="S70" s="2425"/>
      <c r="T70" s="2410"/>
      <c r="U70" s="2410"/>
      <c r="V70" s="2410"/>
      <c r="X70" s="2486"/>
      <c r="Y70" s="2486"/>
      <c r="Z70" s="2486"/>
    </row>
    <row r="71" spans="1:26">
      <c r="A71" s="2422" t="s">
        <v>1164</v>
      </c>
      <c r="B71" s="2423">
        <f t="shared" si="232"/>
        <v>124.29032258064517</v>
      </c>
      <c r="C71" s="2423">
        <f t="shared" si="232"/>
        <v>123.8968609865471</v>
      </c>
      <c r="D71" s="2423">
        <f t="shared" si="202"/>
        <v>123.8968609865471</v>
      </c>
      <c r="E71" s="2423">
        <f t="shared" si="233"/>
        <v>138.00507614213197</v>
      </c>
      <c r="F71" s="2423">
        <f t="shared" si="233"/>
        <v>107.96106557377048</v>
      </c>
      <c r="G71" s="3420">
        <v>2005</v>
      </c>
      <c r="H71" s="2435">
        <v>2</v>
      </c>
      <c r="I71" s="2435">
        <v>0.47</v>
      </c>
      <c r="J71" s="2435">
        <v>0.1</v>
      </c>
      <c r="K71" s="2435">
        <v>0.52</v>
      </c>
      <c r="L71" s="2436">
        <v>0.79</v>
      </c>
      <c r="N71" s="2484">
        <f t="shared" si="230"/>
        <v>1.420065760241713E-2</v>
      </c>
      <c r="O71" s="2485">
        <f t="shared" si="230"/>
        <v>3.3080938028376083E-3</v>
      </c>
      <c r="P71" s="2485">
        <f t="shared" si="231"/>
        <v>6.598984771573603E-2</v>
      </c>
      <c r="Q71" s="2485">
        <f t="shared" si="231"/>
        <v>5.2953117818293153E-3</v>
      </c>
      <c r="R71" s="2426"/>
      <c r="S71" s="2425"/>
      <c r="T71" s="2410"/>
      <c r="U71" s="2410"/>
      <c r="V71" s="2410"/>
      <c r="X71" s="2486"/>
      <c r="Y71" s="2486"/>
      <c r="Z71" s="2486"/>
    </row>
    <row r="72" spans="1:26">
      <c r="A72" s="2422" t="s">
        <v>1165</v>
      </c>
      <c r="B72" s="2423">
        <f t="shared" si="232"/>
        <v>122.57204301075269</v>
      </c>
      <c r="C72" s="2423">
        <f t="shared" si="232"/>
        <v>123.4932735426009</v>
      </c>
      <c r="D72" s="2423">
        <f t="shared" si="202"/>
        <v>123.4932735426009</v>
      </c>
      <c r="E72" s="2423">
        <f t="shared" si="233"/>
        <v>129.82233502538071</v>
      </c>
      <c r="F72" s="2423">
        <f t="shared" si="233"/>
        <v>107.39446721311475</v>
      </c>
      <c r="G72" s="3421">
        <v>2005</v>
      </c>
      <c r="H72" s="2424">
        <v>1</v>
      </c>
      <c r="I72" s="2424">
        <v>0.43</v>
      </c>
      <c r="J72" s="2424">
        <v>0.37</v>
      </c>
      <c r="K72" s="2424">
        <v>0.37</v>
      </c>
      <c r="L72" s="2430">
        <v>0.55000000000000004</v>
      </c>
      <c r="N72" s="2487">
        <f t="shared" si="230"/>
        <v>1.2992090997956099E-2</v>
      </c>
      <c r="O72" s="2488">
        <f t="shared" si="230"/>
        <v>1.2239947070499151E-2</v>
      </c>
      <c r="P72" s="2488">
        <f t="shared" si="231"/>
        <v>4.6954314720812178E-2</v>
      </c>
      <c r="Q72" s="2488">
        <f t="shared" si="231"/>
        <v>3.6866094683621815E-3</v>
      </c>
      <c r="R72" s="2426"/>
      <c r="S72" s="2441">
        <f>B72/B73-1</f>
        <v>1.2992090997956174E-2</v>
      </c>
      <c r="T72" s="2442">
        <f>C72/C73-1</f>
        <v>1.2239947070499246E-2</v>
      </c>
      <c r="U72" s="2442">
        <f>E72/E73-1</f>
        <v>4.695431472081224E-2</v>
      </c>
      <c r="V72" s="2442">
        <f>F72/F73-1</f>
        <v>3.6866094683620787E-3</v>
      </c>
      <c r="X72" s="2486"/>
      <c r="Y72" s="2486"/>
      <c r="Z72" s="2486"/>
    </row>
    <row r="73" spans="1:26" ht="13.5" thickBot="1">
      <c r="A73" s="2422" t="s">
        <v>1166</v>
      </c>
      <c r="B73" s="2472">
        <v>121</v>
      </c>
      <c r="C73" s="2472">
        <v>122</v>
      </c>
      <c r="D73" s="2472">
        <f t="shared" si="202"/>
        <v>122</v>
      </c>
      <c r="E73" s="2472">
        <v>124</v>
      </c>
      <c r="F73" s="2473">
        <v>107</v>
      </c>
      <c r="G73" s="3419">
        <v>2004</v>
      </c>
      <c r="H73" s="2443">
        <v>4</v>
      </c>
      <c r="I73" s="2443">
        <v>0.33</v>
      </c>
      <c r="J73" s="2443">
        <v>0.5</v>
      </c>
      <c r="K73" s="2443">
        <v>0.5</v>
      </c>
      <c r="L73" s="2444">
        <v>0</v>
      </c>
      <c r="N73" s="2484">
        <f t="shared" ref="N73:O76" si="234">I73/SUM(I$73:I$76)*(B$73/B$77-1)</f>
        <v>1.3391770148526898E-2</v>
      </c>
      <c r="O73" s="2485">
        <f t="shared" si="234"/>
        <v>1.063264221158958E-2</v>
      </c>
      <c r="P73" s="2485">
        <f t="shared" ref="P73:Q76" si="235">K73/SUM(K$73:K$76)*(E$73/E$77-1)</f>
        <v>2.2244466688911134E-2</v>
      </c>
      <c r="Q73" s="2485">
        <f t="shared" si="235"/>
        <v>0</v>
      </c>
      <c r="R73" s="2426"/>
      <c r="S73" s="2439"/>
      <c r="T73" s="2440"/>
      <c r="U73" s="2440"/>
      <c r="V73" s="2440"/>
      <c r="X73" s="2486"/>
      <c r="Y73" s="2486"/>
      <c r="Z73" s="2486"/>
    </row>
    <row r="74" spans="1:26">
      <c r="A74" s="2422" t="s">
        <v>1167</v>
      </c>
      <c r="B74" s="2423">
        <f t="shared" ref="B74:C76" si="236">B75+(B$73-B$77)*I74/SUM(I$73:I$76)</f>
        <v>119.51351351351352</v>
      </c>
      <c r="C74" s="2423">
        <f t="shared" si="236"/>
        <v>120.7878787878788</v>
      </c>
      <c r="D74" s="2423">
        <f t="shared" si="202"/>
        <v>120.7878787878788</v>
      </c>
      <c r="E74" s="2423">
        <f t="shared" ref="E74:F76" si="237">E75+(E$73-E$77)*K74/SUM(K$73:K$76)</f>
        <v>121.5975975975976</v>
      </c>
      <c r="F74" s="2423">
        <f t="shared" si="237"/>
        <v>107</v>
      </c>
      <c r="G74" s="3420">
        <v>2004</v>
      </c>
      <c r="H74" s="2448">
        <v>3</v>
      </c>
      <c r="I74" s="2448">
        <v>0.56000000000000005</v>
      </c>
      <c r="J74" s="2448">
        <v>0.8</v>
      </c>
      <c r="K74" s="2448">
        <v>0.83</v>
      </c>
      <c r="L74" s="2449">
        <v>0.06</v>
      </c>
      <c r="N74" s="2484">
        <f t="shared" si="234"/>
        <v>2.2725428130833527E-2</v>
      </c>
      <c r="O74" s="2485">
        <f t="shared" si="234"/>
        <v>1.7012227538543329E-2</v>
      </c>
      <c r="P74" s="2485">
        <f t="shared" si="235"/>
        <v>3.6925814703592477E-2</v>
      </c>
      <c r="Q74" s="2485">
        <f t="shared" si="235"/>
        <v>2.8846153846153744E-2</v>
      </c>
      <c r="R74" s="2426"/>
      <c r="S74" s="2425"/>
      <c r="T74" s="2410"/>
      <c r="U74" s="2410"/>
      <c r="V74" s="2410"/>
      <c r="X74" s="2486"/>
      <c r="Y74" s="2486"/>
      <c r="Z74" s="2486"/>
    </row>
    <row r="75" spans="1:26">
      <c r="A75" s="2422" t="s">
        <v>1168</v>
      </c>
      <c r="B75" s="2423">
        <f t="shared" si="236"/>
        <v>116.99099099099099</v>
      </c>
      <c r="C75" s="2423">
        <f t="shared" si="236"/>
        <v>118.84848484848486</v>
      </c>
      <c r="D75" s="2423">
        <f t="shared" si="202"/>
        <v>118.84848484848486</v>
      </c>
      <c r="E75" s="2423">
        <f t="shared" si="237"/>
        <v>117.60960960960961</v>
      </c>
      <c r="F75" s="2423">
        <f t="shared" si="237"/>
        <v>104</v>
      </c>
      <c r="G75" s="3420">
        <v>2004</v>
      </c>
      <c r="H75" s="2435">
        <v>2</v>
      </c>
      <c r="I75" s="2435">
        <v>1</v>
      </c>
      <c r="J75" s="2435">
        <v>1.5</v>
      </c>
      <c r="K75" s="2435">
        <v>1.5</v>
      </c>
      <c r="L75" s="2436">
        <v>0</v>
      </c>
      <c r="N75" s="2484">
        <f t="shared" si="234"/>
        <v>4.0581121662202721E-2</v>
      </c>
      <c r="O75" s="2485">
        <f t="shared" si="234"/>
        <v>3.1897926634768738E-2</v>
      </c>
      <c r="P75" s="2485">
        <f t="shared" si="235"/>
        <v>6.6733400066733395E-2</v>
      </c>
      <c r="Q75" s="2485">
        <f t="shared" si="235"/>
        <v>0</v>
      </c>
      <c r="R75" s="2426"/>
      <c r="S75" s="2425"/>
      <c r="T75" s="2410"/>
      <c r="U75" s="2410"/>
      <c r="V75" s="2410"/>
      <c r="X75" s="2486"/>
      <c r="Y75" s="2486"/>
      <c r="Z75" s="2486"/>
    </row>
    <row r="76" spans="1:26" s="2478" customFormat="1" ht="13.5" thickBot="1">
      <c r="A76" s="2422" t="s">
        <v>1169</v>
      </c>
      <c r="B76" s="2475">
        <f t="shared" si="236"/>
        <v>112.48648648648648</v>
      </c>
      <c r="C76" s="2475">
        <f t="shared" si="236"/>
        <v>115.21212121212122</v>
      </c>
      <c r="D76" s="2475">
        <f t="shared" si="202"/>
        <v>115.21212121212122</v>
      </c>
      <c r="E76" s="2475">
        <f t="shared" si="237"/>
        <v>110.4024024024024</v>
      </c>
      <c r="F76" s="2475">
        <f t="shared" si="237"/>
        <v>104</v>
      </c>
      <c r="G76" s="3421">
        <v>2004</v>
      </c>
      <c r="H76" s="2476">
        <v>1</v>
      </c>
      <c r="I76" s="2476">
        <v>0.33</v>
      </c>
      <c r="J76" s="2476">
        <v>0.5</v>
      </c>
      <c r="K76" s="2476">
        <v>0.5</v>
      </c>
      <c r="L76" s="2477">
        <v>0</v>
      </c>
      <c r="N76" s="2489">
        <f t="shared" si="234"/>
        <v>1.3391770148526898E-2</v>
      </c>
      <c r="O76" s="2490">
        <f t="shared" si="234"/>
        <v>1.063264221158958E-2</v>
      </c>
      <c r="P76" s="2490">
        <f t="shared" si="235"/>
        <v>2.2244466688911134E-2</v>
      </c>
      <c r="Q76" s="2490">
        <f t="shared" si="235"/>
        <v>0</v>
      </c>
      <c r="R76" s="2481"/>
      <c r="S76" s="2479">
        <f>B76/B77-1</f>
        <v>1.3391770148526883E-2</v>
      </c>
      <c r="T76" s="2480">
        <f>C76/C77-1</f>
        <v>1.063264221158966E-2</v>
      </c>
      <c r="U76" s="2480">
        <f>E76/E77-1</f>
        <v>2.2244466688911224E-2</v>
      </c>
      <c r="V76" s="2480">
        <f>F76/F77-1</f>
        <v>0</v>
      </c>
      <c r="X76" s="2491"/>
      <c r="Y76" s="2491"/>
      <c r="Z76" s="2491"/>
    </row>
    <row r="77" spans="1:26" ht="13.5" thickBot="1">
      <c r="A77" s="2422" t="s">
        <v>1170</v>
      </c>
      <c r="B77" s="2492">
        <v>111</v>
      </c>
      <c r="C77" s="2492">
        <v>114</v>
      </c>
      <c r="D77" s="2492">
        <f t="shared" si="202"/>
        <v>114</v>
      </c>
      <c r="E77" s="2492">
        <v>108</v>
      </c>
      <c r="F77" s="2493">
        <v>104</v>
      </c>
      <c r="G77" s="3419">
        <v>2003</v>
      </c>
      <c r="H77" s="2482">
        <v>4</v>
      </c>
      <c r="I77" s="2494"/>
      <c r="J77" s="2494"/>
      <c r="K77" s="2494"/>
      <c r="L77" s="2494"/>
      <c r="N77" s="2495"/>
      <c r="O77" s="2494"/>
      <c r="P77" s="2494"/>
      <c r="Q77" s="2494"/>
      <c r="S77" s="2495"/>
      <c r="T77" s="2494"/>
      <c r="U77" s="2494"/>
      <c r="V77" s="2494"/>
      <c r="X77" s="2486"/>
      <c r="Y77" s="2486"/>
      <c r="Z77" s="2486"/>
    </row>
    <row r="78" spans="1:26">
      <c r="A78" s="2422" t="s">
        <v>1171</v>
      </c>
      <c r="B78" s="2496">
        <f t="shared" ref="B78:C80" si="238">B79+(B$77-B$81)/4</f>
        <v>109.75</v>
      </c>
      <c r="C78" s="2496">
        <f t="shared" si="238"/>
        <v>112.25</v>
      </c>
      <c r="D78" s="2496">
        <f t="shared" si="202"/>
        <v>112.25</v>
      </c>
      <c r="E78" s="2496">
        <f t="shared" ref="E78:F80" si="239">E79+(E$77-E$81)/4</f>
        <v>107.25</v>
      </c>
      <c r="F78" s="2496">
        <f t="shared" si="239"/>
        <v>103.5</v>
      </c>
      <c r="G78" s="3420">
        <v>2003</v>
      </c>
      <c r="H78" s="2448">
        <v>3</v>
      </c>
      <c r="I78" s="2494"/>
      <c r="J78" s="2494"/>
      <c r="K78" s="2494"/>
      <c r="L78" s="2494"/>
      <c r="X78" s="2486"/>
      <c r="Y78" s="2486"/>
      <c r="Z78" s="2486"/>
    </row>
    <row r="79" spans="1:26">
      <c r="A79" s="2422" t="s">
        <v>1172</v>
      </c>
      <c r="B79" s="2496">
        <f t="shared" si="238"/>
        <v>108.5</v>
      </c>
      <c r="C79" s="2496">
        <f t="shared" si="238"/>
        <v>110.5</v>
      </c>
      <c r="D79" s="2496">
        <f t="shared" si="202"/>
        <v>110.5</v>
      </c>
      <c r="E79" s="2496">
        <f t="shared" si="239"/>
        <v>106.5</v>
      </c>
      <c r="F79" s="2496">
        <f t="shared" si="239"/>
        <v>103</v>
      </c>
      <c r="G79" s="3420">
        <v>2003</v>
      </c>
      <c r="H79" s="2435">
        <v>2</v>
      </c>
      <c r="I79" s="2494"/>
      <c r="J79" s="2494"/>
      <c r="K79" s="2494"/>
      <c r="L79" s="2494"/>
      <c r="X79" s="2486"/>
      <c r="Y79" s="2486"/>
      <c r="Z79" s="2486"/>
    </row>
    <row r="80" spans="1:26" ht="13.5" thickBot="1">
      <c r="A80" s="2422" t="s">
        <v>1173</v>
      </c>
      <c r="B80" s="2496">
        <f t="shared" si="238"/>
        <v>107.25</v>
      </c>
      <c r="C80" s="2496">
        <f t="shared" si="238"/>
        <v>108.75</v>
      </c>
      <c r="D80" s="2496">
        <f t="shared" si="202"/>
        <v>108.75</v>
      </c>
      <c r="E80" s="2496">
        <f t="shared" si="239"/>
        <v>105.75</v>
      </c>
      <c r="F80" s="2496">
        <f t="shared" si="239"/>
        <v>102.5</v>
      </c>
      <c r="G80" s="3421">
        <v>2003</v>
      </c>
      <c r="H80" s="2497">
        <v>1</v>
      </c>
      <c r="I80" s="2494"/>
      <c r="J80" s="2494"/>
      <c r="K80" s="2494"/>
      <c r="L80" s="2494"/>
      <c r="S80" s="2425"/>
      <c r="T80" s="2410"/>
      <c r="U80" s="2410"/>
      <c r="X80" s="2486"/>
      <c r="Y80" s="2486"/>
      <c r="Z80" s="2486"/>
    </row>
    <row r="81" spans="1:26" ht="13.5" thickBot="1">
      <c r="A81" s="2422" t="s">
        <v>1174</v>
      </c>
      <c r="B81" s="2498">
        <v>106</v>
      </c>
      <c r="C81" s="2498">
        <v>107</v>
      </c>
      <c r="D81" s="2498">
        <f t="shared" si="202"/>
        <v>107</v>
      </c>
      <c r="E81" s="2498">
        <v>105</v>
      </c>
      <c r="F81" s="2499">
        <v>102</v>
      </c>
      <c r="G81" s="3419">
        <v>2002</v>
      </c>
      <c r="H81" s="2443">
        <v>4</v>
      </c>
      <c r="I81" s="2494"/>
      <c r="J81" s="2494"/>
      <c r="K81" s="2494"/>
      <c r="L81" s="2494"/>
      <c r="N81" s="2495"/>
      <c r="O81" s="2494"/>
      <c r="P81" s="2494"/>
      <c r="Q81" s="2494"/>
      <c r="S81" s="2495"/>
      <c r="T81" s="2494"/>
      <c r="U81" s="2494"/>
      <c r="V81" s="2494"/>
      <c r="X81" s="2486"/>
      <c r="Y81" s="2486"/>
      <c r="Z81" s="2486"/>
    </row>
    <row r="82" spans="1:26">
      <c r="A82" s="2422" t="s">
        <v>1175</v>
      </c>
      <c r="B82" s="2496">
        <f t="shared" ref="B82:C84" si="240">B83+(B$81-B$85)/4</f>
        <v>105</v>
      </c>
      <c r="C82" s="2496">
        <f t="shared" si="240"/>
        <v>106</v>
      </c>
      <c r="D82" s="2496">
        <f t="shared" si="202"/>
        <v>106</v>
      </c>
      <c r="E82" s="2496">
        <f t="shared" ref="E82:F84" si="241">E83+(E$81-E$85)/4</f>
        <v>104.5</v>
      </c>
      <c r="F82" s="2496">
        <f t="shared" si="241"/>
        <v>101.5</v>
      </c>
      <c r="G82" s="3420">
        <v>2002</v>
      </c>
      <c r="H82" s="2448">
        <v>3</v>
      </c>
      <c r="I82" s="2494"/>
      <c r="J82" s="2494"/>
      <c r="K82" s="2494"/>
      <c r="L82" s="2494"/>
      <c r="X82" s="2486"/>
      <c r="Y82" s="2486"/>
      <c r="Z82" s="2486"/>
    </row>
    <row r="83" spans="1:26">
      <c r="A83" s="2422" t="s">
        <v>1176</v>
      </c>
      <c r="B83" s="2496">
        <f t="shared" si="240"/>
        <v>104</v>
      </c>
      <c r="C83" s="2496">
        <f t="shared" si="240"/>
        <v>105</v>
      </c>
      <c r="D83" s="2496">
        <f t="shared" si="202"/>
        <v>105</v>
      </c>
      <c r="E83" s="2496">
        <f t="shared" si="241"/>
        <v>104</v>
      </c>
      <c r="F83" s="2496">
        <f t="shared" si="241"/>
        <v>101</v>
      </c>
      <c r="G83" s="3420">
        <v>2002</v>
      </c>
      <c r="H83" s="2435">
        <v>2</v>
      </c>
      <c r="I83" s="2494"/>
      <c r="J83" s="2494"/>
      <c r="K83" s="2494"/>
      <c r="L83" s="2494"/>
      <c r="X83" s="2486"/>
      <c r="Y83" s="2486"/>
      <c r="Z83" s="2486"/>
    </row>
    <row r="84" spans="1:26" s="2459" customFormat="1" ht="13.5" thickBot="1">
      <c r="A84" s="2455" t="s">
        <v>1177</v>
      </c>
      <c r="B84" s="2462">
        <f t="shared" si="240"/>
        <v>103</v>
      </c>
      <c r="C84" s="2462">
        <f t="shared" si="240"/>
        <v>104</v>
      </c>
      <c r="D84" s="2462">
        <f t="shared" si="202"/>
        <v>104</v>
      </c>
      <c r="E84" s="2462">
        <f t="shared" si="241"/>
        <v>103.5</v>
      </c>
      <c r="F84" s="2462">
        <f t="shared" si="241"/>
        <v>100.5</v>
      </c>
      <c r="G84" s="3421">
        <v>2002</v>
      </c>
      <c r="H84" s="2500">
        <v>1</v>
      </c>
      <c r="I84" s="2501"/>
      <c r="J84" s="2501"/>
      <c r="K84" s="2501"/>
      <c r="L84" s="2501"/>
      <c r="N84" s="2502"/>
      <c r="S84" s="2502"/>
      <c r="X84" s="2503"/>
      <c r="Y84" s="2503"/>
      <c r="Z84" s="2503"/>
    </row>
    <row r="85" spans="1:26" ht="13.5" thickBot="1">
      <c r="B85" s="2504">
        <v>102</v>
      </c>
      <c r="C85" s="2505">
        <v>103</v>
      </c>
      <c r="D85" s="2505">
        <f t="shared" si="202"/>
        <v>103</v>
      </c>
      <c r="E85" s="2505">
        <v>103</v>
      </c>
      <c r="F85" s="2506">
        <v>100</v>
      </c>
      <c r="I85" s="2494"/>
      <c r="J85" s="2494"/>
      <c r="K85" s="2494"/>
      <c r="L85" s="2494"/>
      <c r="N85" s="2495"/>
      <c r="O85" s="2494"/>
      <c r="P85" s="2494"/>
      <c r="Q85" s="2494"/>
      <c r="S85" s="2495"/>
      <c r="T85" s="2494"/>
      <c r="U85" s="2494"/>
      <c r="V85" s="2494"/>
      <c r="X85" s="2440"/>
      <c r="Y85" s="2440"/>
      <c r="Z85" s="2440"/>
    </row>
    <row r="87" spans="1:26" s="2508" customFormat="1">
      <c r="A87" s="2507" t="s">
        <v>1178</v>
      </c>
      <c r="G87" s="2509"/>
      <c r="N87" s="2509"/>
      <c r="S87" s="2509"/>
    </row>
    <row r="88" spans="1:26" s="2508" customFormat="1">
      <c r="A88" s="2508" t="s">
        <v>1179</v>
      </c>
      <c r="G88" s="2509"/>
      <c r="N88" s="2509"/>
      <c r="S88" s="2509"/>
    </row>
    <row r="89" spans="1:26" s="2508" customFormat="1">
      <c r="A89" s="2508" t="s">
        <v>1180</v>
      </c>
      <c r="G89" s="2509"/>
      <c r="I89" s="2510"/>
      <c r="J89" s="2510"/>
      <c r="K89" s="2510"/>
      <c r="L89" s="2510"/>
      <c r="N89" s="2511"/>
      <c r="O89" s="2510"/>
      <c r="P89" s="2510"/>
      <c r="Q89" s="2510"/>
      <c r="S89" s="2511"/>
      <c r="T89" s="2510"/>
      <c r="U89" s="2510"/>
      <c r="V89" s="2510"/>
    </row>
    <row r="90" spans="1:26" s="2508" customFormat="1">
      <c r="A90" s="2508" t="s">
        <v>1181</v>
      </c>
      <c r="G90" s="2509"/>
      <c r="N90" s="2509"/>
      <c r="S90" s="2509"/>
    </row>
    <row r="97" spans="7:22" ht="13.5" thickBot="1"/>
    <row r="98" spans="7:22">
      <c r="G98" s="2409"/>
      <c r="S98" s="2512" t="s">
        <v>1182</v>
      </c>
      <c r="T98" s="2513" t="s">
        <v>1183</v>
      </c>
      <c r="U98" s="2513" t="s">
        <v>1184</v>
      </c>
      <c r="V98" s="2513" t="s">
        <v>1185</v>
      </c>
    </row>
    <row r="99" spans="7:22">
      <c r="G99" s="2409"/>
      <c r="N99" s="2439"/>
      <c r="O99" s="2440"/>
      <c r="P99" s="2440"/>
      <c r="Q99" s="2440"/>
      <c r="S99" s="2514">
        <v>2006</v>
      </c>
      <c r="T99" s="2515">
        <v>15.1</v>
      </c>
      <c r="U99" s="2515">
        <v>7.43</v>
      </c>
      <c r="V99" s="2515">
        <v>26.26</v>
      </c>
    </row>
    <row r="100" spans="7:22">
      <c r="G100" s="2409"/>
      <c r="N100" s="2439"/>
      <c r="O100" s="2440"/>
      <c r="P100" s="2440"/>
      <c r="Q100" s="2440"/>
      <c r="S100" s="2516">
        <v>2005</v>
      </c>
      <c r="T100" s="2517">
        <v>13.9</v>
      </c>
      <c r="U100" s="2517">
        <v>7.49</v>
      </c>
      <c r="V100" s="2517">
        <v>24.92</v>
      </c>
    </row>
    <row r="101" spans="7:22">
      <c r="G101" s="2409"/>
      <c r="N101" s="2439"/>
      <c r="O101" s="2440"/>
      <c r="P101" s="2440"/>
      <c r="Q101" s="2440"/>
      <c r="S101" s="2514">
        <v>2004</v>
      </c>
      <c r="T101" s="2515">
        <v>9.48</v>
      </c>
      <c r="U101" s="2515">
        <v>7.2</v>
      </c>
      <c r="V101" s="2515">
        <v>14.68</v>
      </c>
    </row>
    <row r="102" spans="7:22">
      <c r="G102" s="2409"/>
      <c r="N102" s="2439"/>
      <c r="O102" s="2440"/>
      <c r="P102" s="2440"/>
      <c r="Q102" s="2440"/>
      <c r="S102" s="2516">
        <v>2003</v>
      </c>
      <c r="T102" s="2517">
        <v>4.5</v>
      </c>
      <c r="U102" s="2517">
        <v>6.12</v>
      </c>
      <c r="V102" s="2517">
        <v>2.34</v>
      </c>
    </row>
    <row r="103" spans="7:22" ht="13.5" thickBot="1">
      <c r="G103" s="2409"/>
      <c r="N103" s="2439"/>
      <c r="O103" s="2440"/>
      <c r="P103" s="2440"/>
      <c r="Q103" s="2440"/>
      <c r="S103" s="2518">
        <v>2002</v>
      </c>
      <c r="T103" s="2519">
        <v>3.59</v>
      </c>
      <c r="U103" s="2519">
        <v>4.54</v>
      </c>
      <c r="V103" s="2519">
        <v>2.5499999999999998</v>
      </c>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row r="119" spans="7:19">
      <c r="G119" s="2409"/>
      <c r="N119" s="2439"/>
      <c r="O119" s="2440"/>
      <c r="P119" s="2440"/>
      <c r="Q119" s="2440"/>
      <c r="S119" s="2409"/>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0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93"/>
      <c r="C2" s="3093"/>
      <c r="D2" s="3093"/>
      <c r="E2" s="3093"/>
    </row>
    <row r="3" spans="1:5" ht="18">
      <c r="A3" s="3094" t="str">
        <f>IF(项目基本情况!B9="房地产市场价值","估价结果一览表（市场价值不需“结果表-1”）","估价结果一览表")</f>
        <v>估价结果一览表（市场价值不需“结果表-1”）</v>
      </c>
      <c r="B3" s="3094"/>
      <c r="C3" s="3094"/>
      <c r="D3" s="3094"/>
      <c r="E3" s="3094"/>
    </row>
    <row r="4" spans="1:5" ht="19.5" thickBot="1">
      <c r="A4" s="1678"/>
      <c r="B4" s="3092" t="s">
        <v>1594</v>
      </c>
      <c r="C4" s="3092"/>
      <c r="D4" s="3092"/>
      <c r="E4" s="1678"/>
    </row>
    <row r="5" spans="1:5" ht="16.5" thickTop="1">
      <c r="A5" s="1676"/>
      <c r="B5" s="3090" t="s">
        <v>1586</v>
      </c>
      <c r="C5" s="1679" t="s">
        <v>1587</v>
      </c>
      <c r="D5" s="959">
        <f ca="1">结果表!H101</f>
        <v>652</v>
      </c>
      <c r="E5" s="1676"/>
    </row>
    <row r="6" spans="1:5" ht="15.75">
      <c r="A6" s="1676"/>
      <c r="B6" s="3090"/>
      <c r="C6" s="1679" t="s">
        <v>1588</v>
      </c>
      <c r="D6" s="959" t="str">
        <f ca="1">NUMBERSTRING(INT(D5*10000),2)&amp;"元整"</f>
        <v>陆佰伍拾贰万元整</v>
      </c>
      <c r="E6" s="1676"/>
    </row>
    <row r="7" spans="1:5" ht="15.75">
      <c r="A7" s="1676"/>
      <c r="B7" s="3095"/>
      <c r="C7" s="1680" t="s">
        <v>1589</v>
      </c>
      <c r="D7" s="960">
        <f ca="1">结果表!H102</f>
        <v>12539</v>
      </c>
      <c r="E7" s="1676"/>
    </row>
    <row r="8" spans="1:5" ht="15.75">
      <c r="A8" s="1676"/>
      <c r="B8" s="3096" t="str">
        <f>结果表!E103</f>
        <v>2.估价师知悉的法定优先受偿款</v>
      </c>
      <c r="C8" s="1681" t="s">
        <v>1590</v>
      </c>
      <c r="D8" s="960">
        <f>结果表!H103</f>
        <v>0</v>
      </c>
      <c r="E8" s="1676"/>
    </row>
    <row r="9" spans="1:5" ht="15.75">
      <c r="A9" s="1676"/>
      <c r="B9" s="3098"/>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089" t="str">
        <f>结果表!E107</f>
        <v>3.房地产抵押价值</v>
      </c>
      <c r="C13" s="1684" t="s">
        <v>1587</v>
      </c>
      <c r="D13" s="962">
        <f ca="1">结果表!H107</f>
        <v>652</v>
      </c>
      <c r="E13" s="1676"/>
    </row>
    <row r="14" spans="1:5" ht="15.75">
      <c r="A14" s="1676"/>
      <c r="B14" s="3090"/>
      <c r="C14" s="1679" t="s">
        <v>1588</v>
      </c>
      <c r="D14" s="959" t="str">
        <f ca="1">NUMBERSTRING(INT(D13*10000),2)&amp;"元整"</f>
        <v>陆佰伍拾贰万元整</v>
      </c>
      <c r="E14" s="1676"/>
    </row>
    <row r="15" spans="1:5" ht="15">
      <c r="A15" s="1676"/>
      <c r="B15" s="3095"/>
      <c r="C15" s="1680" t="s">
        <v>1598</v>
      </c>
      <c r="D15" s="968">
        <f ca="1">结果表!H108</f>
        <v>12539</v>
      </c>
      <c r="E15" s="1676"/>
    </row>
    <row r="16" spans="1:5" ht="15">
      <c r="A16" s="1676"/>
      <c r="B16" s="3096" t="str">
        <f>结果表!E109</f>
        <v>——</v>
      </c>
      <c r="C16" s="1684" t="s">
        <v>1599</v>
      </c>
      <c r="D16" s="1685" t="str">
        <f>结果表!H109</f>
        <v>——</v>
      </c>
      <c r="E16" s="1676"/>
    </row>
    <row r="17" spans="1:5" ht="15.75">
      <c r="A17" s="1676"/>
      <c r="B17" s="3097"/>
      <c r="C17" s="1679" t="s">
        <v>1600</v>
      </c>
      <c r="D17" s="959" t="e">
        <f>NUMBERSTRING(INT(D16*10000),2)&amp;"元整"</f>
        <v>#VALUE!</v>
      </c>
      <c r="E17" s="1676"/>
    </row>
    <row r="18" spans="1:5" ht="15">
      <c r="A18" s="1676"/>
      <c r="B18" s="3098"/>
      <c r="C18" s="1680" t="s">
        <v>1589</v>
      </c>
      <c r="D18" s="968" t="str">
        <f>结果表!H110</f>
        <v>——</v>
      </c>
      <c r="E18" s="1676"/>
    </row>
    <row r="19" spans="1:5" ht="15.75">
      <c r="A19" s="1676"/>
      <c r="B19" s="3089" t="str">
        <f>结果表!E111</f>
        <v>——</v>
      </c>
      <c r="C19" s="1684" t="s">
        <v>1587</v>
      </c>
      <c r="D19" s="960" t="str">
        <f>结果表!H111</f>
        <v>——</v>
      </c>
      <c r="E19" s="1676"/>
    </row>
    <row r="20" spans="1:5" ht="15.75">
      <c r="A20" s="1676"/>
      <c r="B20" s="3090"/>
      <c r="C20" s="1679" t="s">
        <v>1600</v>
      </c>
      <c r="D20" s="959" t="e">
        <f>NUMBERSTRING(INT(D19*10000),2)&amp;"元整"</f>
        <v>#VALUE!</v>
      </c>
      <c r="E20" s="1676"/>
    </row>
    <row r="21" spans="1:5" ht="15.75" thickBot="1">
      <c r="A21" s="1676"/>
      <c r="B21" s="3091"/>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33" t="s">
        <v>2825</v>
      </c>
      <c r="D1" s="3434"/>
      <c r="E1" s="3434"/>
      <c r="F1" s="3434"/>
      <c r="G1" s="3434"/>
      <c r="H1" s="3434"/>
      <c r="I1" s="3434"/>
      <c r="J1" s="3434"/>
      <c r="K1" s="3434"/>
      <c r="L1" s="3434"/>
      <c r="M1" s="3434"/>
      <c r="N1" s="3434"/>
      <c r="O1" s="3434"/>
      <c r="P1" s="3434"/>
      <c r="Q1" s="3434"/>
      <c r="R1" s="3434"/>
      <c r="S1" s="3435"/>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2834</v>
      </c>
      <c r="B17" s="2364"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6"/>
      <c r="E20" s="1525"/>
      <c r="F20" s="1114" t="e">
        <f ca="1">SUMIF(INDIRECT("'"&amp;H20&amp;"'"&amp;"!A:A"),"承租人权益价值",INDIRECT("'"&amp;H20&amp;"'"&amp;"!c:c"))</f>
        <v>#REF!</v>
      </c>
      <c r="G20" s="1114" t="s">
        <v>2838</v>
      </c>
      <c r="H20" s="2367"/>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30" t="s">
        <v>33</v>
      </c>
      <c r="D22" s="3431"/>
      <c r="E22" s="3431"/>
      <c r="F22" s="3431"/>
      <c r="G22" s="3431"/>
      <c r="H22" s="3431"/>
      <c r="I22" s="3431"/>
      <c r="J22" s="3431"/>
      <c r="K22" s="3431"/>
      <c r="L22" s="3431"/>
      <c r="M22" s="3431"/>
      <c r="N22" s="3431"/>
      <c r="O22" s="3431"/>
      <c r="P22" s="3431"/>
      <c r="Q22" s="3432"/>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6">
        <v>1</v>
      </c>
      <c r="D24" s="3037"/>
      <c r="E24" s="3036">
        <v>1</v>
      </c>
      <c r="F24" s="3037"/>
      <c r="G24" s="3036">
        <v>1</v>
      </c>
      <c r="H24" s="3037"/>
      <c r="I24" s="3036">
        <v>1</v>
      </c>
      <c r="J24" s="3037"/>
      <c r="K24" s="3036">
        <v>1</v>
      </c>
      <c r="L24" s="3037"/>
      <c r="M24" s="3036">
        <v>1</v>
      </c>
      <c r="N24" s="3037"/>
      <c r="O24" s="3036">
        <v>1</v>
      </c>
      <c r="P24" s="3037"/>
      <c r="Q24" s="303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30210</v>
      </c>
      <c r="C2" s="2" t="s">
        <v>133</v>
      </c>
      <c r="D2" s="205"/>
      <c r="E2" s="205"/>
      <c r="F2" s="205"/>
      <c r="G2" s="205"/>
    </row>
    <row r="3" spans="1:7" s="206" customFormat="1" ht="18" customHeight="1" thickBot="1">
      <c r="A3" s="209" t="s">
        <v>85</v>
      </c>
      <c r="B3" s="210">
        <f ca="1">ROUND(B2*10000/'数据-汇总表'!E3,0)</f>
        <v>581006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5</v>
      </c>
      <c r="D9" s="954">
        <f>'数据-汇总表'!E5</f>
        <v>519.96</v>
      </c>
      <c r="E9" s="231">
        <f>'数据-取费表'!B27</f>
        <v>105</v>
      </c>
      <c r="F9" s="227"/>
      <c r="G9" s="232"/>
    </row>
    <row r="10" spans="1:7" s="220" customFormat="1" ht="13.5" customHeight="1">
      <c r="A10" s="887" t="s">
        <v>801</v>
      </c>
      <c r="B10" s="230" t="s">
        <v>94</v>
      </c>
      <c r="C10" s="231">
        <f>ROUND(D10*E10/10000,0)</f>
        <v>0</v>
      </c>
      <c r="D10" s="954">
        <f>'数据-汇总表'!E6</f>
        <v>0</v>
      </c>
      <c r="E10" s="231">
        <f>'数据-取费表'!B28</f>
        <v>105</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10</v>
      </c>
      <c r="D19" s="958">
        <f>'数据-汇总表'!E3</f>
        <v>519.96</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2339</v>
      </c>
      <c r="D22" s="241">
        <f ca="1">C26</f>
        <v>1.1000000000000001E-3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2315</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23</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4206</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4206</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29924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207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172</v>
      </c>
      <c r="D34" s="223"/>
      <c r="E34" s="226"/>
      <c r="F34" s="263">
        <f>IF('数据-取费表'!B24=0,1,'数据-取费表'!N16)</f>
        <v>1</v>
      </c>
      <c r="G34" s="225" t="s">
        <v>116</v>
      </c>
    </row>
    <row r="35" spans="1:7" ht="13.5" customHeight="1">
      <c r="A35" s="888" t="s">
        <v>796</v>
      </c>
      <c r="B35" s="221" t="s">
        <v>60</v>
      </c>
      <c r="C35" s="226">
        <f>ROUND(C34*F35,0)</f>
        <v>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17</v>
      </c>
      <c r="D36" s="226"/>
      <c r="E36" s="226"/>
      <c r="F36" s="265">
        <f>'数据-取费表'!B34</f>
        <v>0.1</v>
      </c>
      <c r="G36" s="266" t="s">
        <v>62</v>
      </c>
    </row>
    <row r="37" spans="1:7" s="264" customFormat="1" ht="13.5" customHeight="1">
      <c r="A37" s="888" t="s">
        <v>798</v>
      </c>
      <c r="B37" s="221" t="s">
        <v>118</v>
      </c>
      <c r="C37" s="255">
        <f>ROUND(E37*D37*F34/10000,0)</f>
        <v>10</v>
      </c>
      <c r="D37" s="223">
        <f>'数据-汇总表'!E3</f>
        <v>519.96</v>
      </c>
      <c r="E37" s="255">
        <f>'数据-取费表'!B35</f>
        <v>200</v>
      </c>
      <c r="F37" s="265"/>
      <c r="G37" s="267" t="s">
        <v>119</v>
      </c>
    </row>
    <row r="38" spans="1:7" ht="13.5" customHeight="1">
      <c r="A38" s="888" t="s">
        <v>799</v>
      </c>
      <c r="B38" s="221" t="s">
        <v>63</v>
      </c>
      <c r="C38" s="226">
        <f>ROUND(C34*F38,0)</f>
        <v>3</v>
      </c>
      <c r="D38" s="226"/>
      <c r="E38" s="226"/>
      <c r="F38" s="265">
        <f>'数据-取费表'!B36</f>
        <v>1.4999999999999999E-2</v>
      </c>
      <c r="G38" s="225" t="s">
        <v>117</v>
      </c>
    </row>
    <row r="39" spans="1:7" s="220" customFormat="1" ht="13.5" customHeight="1">
      <c r="A39" s="885" t="s">
        <v>783</v>
      </c>
      <c r="B39" s="216" t="s">
        <v>104</v>
      </c>
      <c r="C39" s="238">
        <f>ROUND(C33*F20,0)</f>
        <v>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11</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11</v>
      </c>
      <c r="D42" s="244"/>
      <c r="E42" s="244"/>
      <c r="F42" s="245"/>
      <c r="G42" s="3281" t="s">
        <v>121</v>
      </c>
    </row>
    <row r="43" spans="1:7" ht="13.5" customHeight="1">
      <c r="A43" s="888" t="s">
        <v>792</v>
      </c>
      <c r="B43" s="221" t="s">
        <v>1032</v>
      </c>
      <c r="C43" s="244">
        <f ca="1">ROUND(IF('数据-取费表'!B22&lt;=1,C39*F22*'数据-取费表'!B21/2,C39*(POWER((1+F22),'数据-取费表'!B21/2)-1)),0)</f>
        <v>0</v>
      </c>
      <c r="D43" s="244"/>
      <c r="E43" s="244"/>
      <c r="F43" s="245"/>
      <c r="G43" s="3282"/>
    </row>
    <row r="44" spans="1:7" ht="13.5" customHeight="1">
      <c r="A44" s="888" t="s">
        <v>793</v>
      </c>
      <c r="B44" s="221" t="s">
        <v>1034</v>
      </c>
      <c r="C44" s="244">
        <f ca="1">ROUND(IF('数据-取费表'!B22&lt;=1,C40*F22*'数据-取费表'!B21/2,C40*(POWER((1+F22),'数据-取费表'!B21/2)-1)),4)</f>
        <v>1.1000000000000001E-3</v>
      </c>
      <c r="D44" s="244"/>
      <c r="E44" s="244"/>
      <c r="F44" s="245"/>
      <c r="G44" s="3283"/>
    </row>
    <row r="45" spans="1:7" s="220" customFormat="1" ht="13.5" customHeight="1">
      <c r="A45" s="885" t="s">
        <v>786</v>
      </c>
      <c r="B45" s="250" t="s">
        <v>112</v>
      </c>
      <c r="C45" s="251">
        <f>C46</f>
        <v>42</v>
      </c>
      <c r="D45" s="241">
        <f>C47</f>
        <v>4.0000000000000001E-3</v>
      </c>
      <c r="E45" s="242" t="s">
        <v>129</v>
      </c>
      <c r="F45" s="252"/>
      <c r="G45" s="253" t="s">
        <v>1040</v>
      </c>
    </row>
    <row r="46" spans="1:7" s="220" customFormat="1" ht="13.5" customHeight="1">
      <c r="A46" s="888" t="s">
        <v>794</v>
      </c>
      <c r="B46" s="254" t="s">
        <v>1033</v>
      </c>
      <c r="C46" s="255">
        <f>ROUND((C33+C39)*F27,0)</f>
        <v>42</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286</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286</v>
      </c>
      <c r="D51" s="238"/>
      <c r="E51" s="238"/>
      <c r="F51" s="270"/>
      <c r="G51" s="240" t="s">
        <v>64</v>
      </c>
    </row>
    <row r="52" spans="1:7" s="214" customFormat="1" ht="16.5" thickBot="1">
      <c r="A52" s="271" t="s">
        <v>65</v>
      </c>
      <c r="B52" s="272"/>
      <c r="C52" s="273">
        <f ca="1">C31+C51</f>
        <v>30210</v>
      </c>
      <c r="D52" s="272"/>
      <c r="E52" s="272"/>
      <c r="F52" s="272"/>
      <c r="G52" s="274"/>
    </row>
    <row r="55" spans="1:7" ht="15">
      <c r="B55" s="276" t="s">
        <v>66</v>
      </c>
      <c r="C55" s="277"/>
    </row>
    <row r="56" spans="1:7">
      <c r="B56" s="279" t="s">
        <v>67</v>
      </c>
      <c r="C56" s="280">
        <f ca="1">ROUND(C51/C52,3)</f>
        <v>8.9999999999999993E-3</v>
      </c>
    </row>
    <row r="57" spans="1:7">
      <c r="B57" s="279" t="s">
        <v>68</v>
      </c>
      <c r="C57" s="281">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6" t="s">
        <v>156</v>
      </c>
      <c r="B1" s="3436"/>
      <c r="C1" s="3436"/>
      <c r="D1" s="3436"/>
      <c r="E1" s="3436"/>
      <c r="F1" s="343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7" t="s">
        <v>169</v>
      </c>
      <c r="B2" s="3437"/>
      <c r="C2" s="3437"/>
      <c r="D2" s="3437"/>
      <c r="E2" s="3437"/>
      <c r="F2" s="343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6" t="s">
        <v>839</v>
      </c>
      <c r="B1" s="343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44523</v>
      </c>
      <c r="D1" s="1470" t="s">
        <v>1268</v>
      </c>
      <c r="E1" s="1465">
        <f>'数据-取费表'!B22</f>
        <v>2.5</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7">
        <v>43941</v>
      </c>
      <c r="D13" s="3048">
        <v>3.85</v>
      </c>
      <c r="E13" s="3048">
        <v>3.85</v>
      </c>
      <c r="F13" s="3048">
        <v>3.85</v>
      </c>
      <c r="G13" s="3048">
        <v>3.85</v>
      </c>
      <c r="H13" s="3048">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3"/>
      <c r="C14" s="3044">
        <v>43881</v>
      </c>
      <c r="D14" s="3043">
        <v>4.05</v>
      </c>
      <c r="E14" s="3043">
        <v>4.05</v>
      </c>
      <c r="F14" s="3043">
        <v>4.05</v>
      </c>
      <c r="G14" s="3043">
        <v>4.05</v>
      </c>
      <c r="H14" s="3043">
        <v>4.75</v>
      </c>
      <c r="I14" s="3043"/>
      <c r="J14" s="3043"/>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3"/>
      <c r="C15" s="3044">
        <v>43789</v>
      </c>
      <c r="D15" s="3043">
        <v>4.1500000000000004</v>
      </c>
      <c r="E15" s="3043">
        <v>4.1500000000000004</v>
      </c>
      <c r="F15" s="3043">
        <v>4.1500000000000004</v>
      </c>
      <c r="G15" s="3043">
        <v>4.1500000000000004</v>
      </c>
      <c r="H15" s="3043">
        <v>4.8</v>
      </c>
      <c r="I15" s="3043"/>
      <c r="J15" s="3043"/>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3"/>
      <c r="C16" s="3044">
        <v>43728</v>
      </c>
      <c r="D16" s="3043">
        <v>4.2</v>
      </c>
      <c r="E16" s="3043">
        <v>4.2</v>
      </c>
      <c r="F16" s="3043">
        <v>4.2</v>
      </c>
      <c r="G16" s="3043">
        <v>4.2</v>
      </c>
      <c r="H16" s="3043">
        <v>4.8499999999999996</v>
      </c>
      <c r="I16" s="3043"/>
      <c r="J16" s="3043"/>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2" t="s">
        <v>3058</v>
      </c>
      <c r="C17" s="3045">
        <v>43697</v>
      </c>
      <c r="D17" s="3046">
        <v>4.25</v>
      </c>
      <c r="E17" s="3046">
        <v>4.25</v>
      </c>
      <c r="F17" s="3046">
        <v>4.25</v>
      </c>
      <c r="G17" s="3046">
        <v>4.25</v>
      </c>
      <c r="H17" s="3046">
        <v>4.8499999999999996</v>
      </c>
      <c r="I17" s="3046"/>
      <c r="J17" s="3046"/>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4" customFormat="1" ht="15">
      <c r="A18" s="3049"/>
      <c r="B18" s="3050"/>
      <c r="C18" s="3051">
        <v>42301</v>
      </c>
      <c r="D18" s="3052">
        <v>4.3499999999999996</v>
      </c>
      <c r="E18" s="3052">
        <v>4.3499999999999996</v>
      </c>
      <c r="F18" s="3052">
        <v>4.75</v>
      </c>
      <c r="G18" s="3052">
        <v>4.75</v>
      </c>
      <c r="H18" s="3052">
        <v>4.9000000000000004</v>
      </c>
      <c r="I18" s="3052"/>
      <c r="J18" s="3052"/>
      <c r="K18" s="1446"/>
      <c r="L18" s="3052"/>
      <c r="M18" s="3051">
        <v>41965</v>
      </c>
      <c r="N18" s="3052">
        <v>0.35</v>
      </c>
      <c r="O18" s="3052">
        <v>2.35</v>
      </c>
      <c r="P18" s="3052">
        <v>2.5499999999999998</v>
      </c>
      <c r="Q18" s="3052">
        <v>2.75</v>
      </c>
      <c r="R18" s="3052">
        <v>3.35</v>
      </c>
      <c r="S18" s="3052">
        <v>4</v>
      </c>
      <c r="T18" s="3052">
        <v>4.75</v>
      </c>
      <c r="U18" s="3053">
        <v>2.35</v>
      </c>
      <c r="V18" s="3053">
        <v>2.5499999999999998</v>
      </c>
      <c r="W18" s="3053">
        <v>2.75</v>
      </c>
      <c r="X18" s="3052"/>
      <c r="Y18" s="3053">
        <v>0.8</v>
      </c>
      <c r="Z18" s="3053">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867"/>
  <sheetViews>
    <sheetView zoomScaleSheetLayoutView="100" workbookViewId="0">
      <pane xSplit="7" ySplit="1" topLeftCell="H832" activePane="bottomRight" state="frozen"/>
      <selection pane="topRight"/>
      <selection pane="bottomLeft"/>
      <selection pane="bottomRight" activeCell="M865" sqref="M865"/>
    </sheetView>
  </sheetViews>
  <sheetFormatPr defaultRowHeight="13.5"/>
  <cols>
    <col min="1" max="1" width="6.5" style="3070" customWidth="1"/>
    <col min="2" max="2" width="9" style="3070"/>
    <col min="3" max="3" width="5.5" style="3070" customWidth="1"/>
    <col min="4" max="4" width="3.875" style="3070" customWidth="1"/>
    <col min="5" max="5" width="4.625" style="3070" customWidth="1"/>
    <col min="6" max="7" width="9" style="3070"/>
    <col min="8" max="9" width="11.5" style="3070" bestFit="1" customWidth="1"/>
    <col min="10" max="11" width="9.375" style="3070" bestFit="1" customWidth="1"/>
    <col min="12" max="13" width="9" style="3070"/>
    <col min="14" max="14" width="12.625" style="3070" bestFit="1" customWidth="1"/>
    <col min="15" max="15" width="11.5" style="3070" bestFit="1" customWidth="1"/>
    <col min="16" max="16" width="12.625" style="3070" bestFit="1" customWidth="1"/>
    <col min="17" max="17" width="11.5" style="3070" bestFit="1" customWidth="1"/>
    <col min="18" max="24" width="9" style="3070"/>
    <col min="25" max="26" width="10.375" style="3070" bestFit="1" customWidth="1"/>
    <col min="27" max="27" width="11.5" style="3070" bestFit="1" customWidth="1"/>
    <col min="28" max="28" width="9.375" style="3070" bestFit="1" customWidth="1"/>
    <col min="29" max="30" width="10.375" style="3070" bestFit="1" customWidth="1"/>
    <col min="31" max="42" width="9" style="3070"/>
    <col min="43" max="43" width="14.25" style="3070" customWidth="1"/>
    <col min="44" max="256" width="9" style="3070"/>
    <col min="257" max="257" width="6.5" style="3070" customWidth="1"/>
    <col min="258" max="258" width="9" style="3070"/>
    <col min="259" max="259" width="5.5" style="3070" customWidth="1"/>
    <col min="260" max="260" width="3.875" style="3070" customWidth="1"/>
    <col min="261" max="261" width="4.625" style="3070" customWidth="1"/>
    <col min="262" max="263" width="9" style="3070"/>
    <col min="264" max="265" width="11.5" style="3070" bestFit="1" customWidth="1"/>
    <col min="266" max="267" width="9.375" style="3070" bestFit="1" customWidth="1"/>
    <col min="268" max="269" width="9" style="3070"/>
    <col min="270" max="270" width="12.625" style="3070" bestFit="1" customWidth="1"/>
    <col min="271" max="271" width="11.5" style="3070" bestFit="1" customWidth="1"/>
    <col min="272" max="272" width="12.625" style="3070" bestFit="1" customWidth="1"/>
    <col min="273" max="273" width="11.5" style="3070" bestFit="1" customWidth="1"/>
    <col min="274" max="280" width="9" style="3070"/>
    <col min="281" max="282" width="10.375" style="3070" bestFit="1" customWidth="1"/>
    <col min="283" max="283" width="11.5" style="3070" bestFit="1" customWidth="1"/>
    <col min="284" max="284" width="9.375" style="3070" bestFit="1" customWidth="1"/>
    <col min="285" max="286" width="10.375" style="3070" bestFit="1" customWidth="1"/>
    <col min="287" max="512" width="9" style="3070"/>
    <col min="513" max="513" width="6.5" style="3070" customWidth="1"/>
    <col min="514" max="514" width="9" style="3070"/>
    <col min="515" max="515" width="5.5" style="3070" customWidth="1"/>
    <col min="516" max="516" width="3.875" style="3070" customWidth="1"/>
    <col min="517" max="517" width="4.625" style="3070" customWidth="1"/>
    <col min="518" max="519" width="9" style="3070"/>
    <col min="520" max="521" width="11.5" style="3070" bestFit="1" customWidth="1"/>
    <col min="522" max="523" width="9.375" style="3070" bestFit="1" customWidth="1"/>
    <col min="524" max="525" width="9" style="3070"/>
    <col min="526" max="526" width="12.625" style="3070" bestFit="1" customWidth="1"/>
    <col min="527" max="527" width="11.5" style="3070" bestFit="1" customWidth="1"/>
    <col min="528" max="528" width="12.625" style="3070" bestFit="1" customWidth="1"/>
    <col min="529" max="529" width="11.5" style="3070" bestFit="1" customWidth="1"/>
    <col min="530" max="536" width="9" style="3070"/>
    <col min="537" max="538" width="10.375" style="3070" bestFit="1" customWidth="1"/>
    <col min="539" max="539" width="11.5" style="3070" bestFit="1" customWidth="1"/>
    <col min="540" max="540" width="9.375" style="3070" bestFit="1" customWidth="1"/>
    <col min="541" max="542" width="10.375" style="3070" bestFit="1" customWidth="1"/>
    <col min="543" max="768" width="9" style="3070"/>
    <col min="769" max="769" width="6.5" style="3070" customWidth="1"/>
    <col min="770" max="770" width="9" style="3070"/>
    <col min="771" max="771" width="5.5" style="3070" customWidth="1"/>
    <col min="772" max="772" width="3.875" style="3070" customWidth="1"/>
    <col min="773" max="773" width="4.625" style="3070" customWidth="1"/>
    <col min="774" max="775" width="9" style="3070"/>
    <col min="776" max="777" width="11.5" style="3070" bestFit="1" customWidth="1"/>
    <col min="778" max="779" width="9.375" style="3070" bestFit="1" customWidth="1"/>
    <col min="780" max="781" width="9" style="3070"/>
    <col min="782" max="782" width="12.625" style="3070" bestFit="1" customWidth="1"/>
    <col min="783" max="783" width="11.5" style="3070" bestFit="1" customWidth="1"/>
    <col min="784" max="784" width="12.625" style="3070" bestFit="1" customWidth="1"/>
    <col min="785" max="785" width="11.5" style="3070" bestFit="1" customWidth="1"/>
    <col min="786" max="792" width="9" style="3070"/>
    <col min="793" max="794" width="10.375" style="3070" bestFit="1" customWidth="1"/>
    <col min="795" max="795" width="11.5" style="3070" bestFit="1" customWidth="1"/>
    <col min="796" max="796" width="9.375" style="3070" bestFit="1" customWidth="1"/>
    <col min="797" max="798" width="10.375" style="3070" bestFit="1" customWidth="1"/>
    <col min="799" max="1024" width="9" style="3070"/>
    <col min="1025" max="1025" width="6.5" style="3070" customWidth="1"/>
    <col min="1026" max="1026" width="9" style="3070"/>
    <col min="1027" max="1027" width="5.5" style="3070" customWidth="1"/>
    <col min="1028" max="1028" width="3.875" style="3070" customWidth="1"/>
    <col min="1029" max="1029" width="4.625" style="3070" customWidth="1"/>
    <col min="1030" max="1031" width="9" style="3070"/>
    <col min="1032" max="1033" width="11.5" style="3070" bestFit="1" customWidth="1"/>
    <col min="1034" max="1035" width="9.375" style="3070" bestFit="1" customWidth="1"/>
    <col min="1036" max="1037" width="9" style="3070"/>
    <col min="1038" max="1038" width="12.625" style="3070" bestFit="1" customWidth="1"/>
    <col min="1039" max="1039" width="11.5" style="3070" bestFit="1" customWidth="1"/>
    <col min="1040" max="1040" width="12.625" style="3070" bestFit="1" customWidth="1"/>
    <col min="1041" max="1041" width="11.5" style="3070" bestFit="1" customWidth="1"/>
    <col min="1042" max="1048" width="9" style="3070"/>
    <col min="1049" max="1050" width="10.375" style="3070" bestFit="1" customWidth="1"/>
    <col min="1051" max="1051" width="11.5" style="3070" bestFit="1" customWidth="1"/>
    <col min="1052" max="1052" width="9.375" style="3070" bestFit="1" customWidth="1"/>
    <col min="1053" max="1054" width="10.375" style="3070" bestFit="1" customWidth="1"/>
    <col min="1055" max="1280" width="9" style="3070"/>
    <col min="1281" max="1281" width="6.5" style="3070" customWidth="1"/>
    <col min="1282" max="1282" width="9" style="3070"/>
    <col min="1283" max="1283" width="5.5" style="3070" customWidth="1"/>
    <col min="1284" max="1284" width="3.875" style="3070" customWidth="1"/>
    <col min="1285" max="1285" width="4.625" style="3070" customWidth="1"/>
    <col min="1286" max="1287" width="9" style="3070"/>
    <col min="1288" max="1289" width="11.5" style="3070" bestFit="1" customWidth="1"/>
    <col min="1290" max="1291" width="9.375" style="3070" bestFit="1" customWidth="1"/>
    <col min="1292" max="1293" width="9" style="3070"/>
    <col min="1294" max="1294" width="12.625" style="3070" bestFit="1" customWidth="1"/>
    <col min="1295" max="1295" width="11.5" style="3070" bestFit="1" customWidth="1"/>
    <col min="1296" max="1296" width="12.625" style="3070" bestFit="1" customWidth="1"/>
    <col min="1297" max="1297" width="11.5" style="3070" bestFit="1" customWidth="1"/>
    <col min="1298" max="1304" width="9" style="3070"/>
    <col min="1305" max="1306" width="10.375" style="3070" bestFit="1" customWidth="1"/>
    <col min="1307" max="1307" width="11.5" style="3070" bestFit="1" customWidth="1"/>
    <col min="1308" max="1308" width="9.375" style="3070" bestFit="1" customWidth="1"/>
    <col min="1309" max="1310" width="10.375" style="3070" bestFit="1" customWidth="1"/>
    <col min="1311" max="1536" width="9" style="3070"/>
    <col min="1537" max="1537" width="6.5" style="3070" customWidth="1"/>
    <col min="1538" max="1538" width="9" style="3070"/>
    <col min="1539" max="1539" width="5.5" style="3070" customWidth="1"/>
    <col min="1540" max="1540" width="3.875" style="3070" customWidth="1"/>
    <col min="1541" max="1541" width="4.625" style="3070" customWidth="1"/>
    <col min="1542" max="1543" width="9" style="3070"/>
    <col min="1544" max="1545" width="11.5" style="3070" bestFit="1" customWidth="1"/>
    <col min="1546" max="1547" width="9.375" style="3070" bestFit="1" customWidth="1"/>
    <col min="1548" max="1549" width="9" style="3070"/>
    <col min="1550" max="1550" width="12.625" style="3070" bestFit="1" customWidth="1"/>
    <col min="1551" max="1551" width="11.5" style="3070" bestFit="1" customWidth="1"/>
    <col min="1552" max="1552" width="12.625" style="3070" bestFit="1" customWidth="1"/>
    <col min="1553" max="1553" width="11.5" style="3070" bestFit="1" customWidth="1"/>
    <col min="1554" max="1560" width="9" style="3070"/>
    <col min="1561" max="1562" width="10.375" style="3070" bestFit="1" customWidth="1"/>
    <col min="1563" max="1563" width="11.5" style="3070" bestFit="1" customWidth="1"/>
    <col min="1564" max="1564" width="9.375" style="3070" bestFit="1" customWidth="1"/>
    <col min="1565" max="1566" width="10.375" style="3070" bestFit="1" customWidth="1"/>
    <col min="1567" max="1792" width="9" style="3070"/>
    <col min="1793" max="1793" width="6.5" style="3070" customWidth="1"/>
    <col min="1794" max="1794" width="9" style="3070"/>
    <col min="1795" max="1795" width="5.5" style="3070" customWidth="1"/>
    <col min="1796" max="1796" width="3.875" style="3070" customWidth="1"/>
    <col min="1797" max="1797" width="4.625" style="3070" customWidth="1"/>
    <col min="1798" max="1799" width="9" style="3070"/>
    <col min="1800" max="1801" width="11.5" style="3070" bestFit="1" customWidth="1"/>
    <col min="1802" max="1803" width="9.375" style="3070" bestFit="1" customWidth="1"/>
    <col min="1804" max="1805" width="9" style="3070"/>
    <col min="1806" max="1806" width="12.625" style="3070" bestFit="1" customWidth="1"/>
    <col min="1807" max="1807" width="11.5" style="3070" bestFit="1" customWidth="1"/>
    <col min="1808" max="1808" width="12.625" style="3070" bestFit="1" customWidth="1"/>
    <col min="1809" max="1809" width="11.5" style="3070" bestFit="1" customWidth="1"/>
    <col min="1810" max="1816" width="9" style="3070"/>
    <col min="1817" max="1818" width="10.375" style="3070" bestFit="1" customWidth="1"/>
    <col min="1819" max="1819" width="11.5" style="3070" bestFit="1" customWidth="1"/>
    <col min="1820" max="1820" width="9.375" style="3070" bestFit="1" customWidth="1"/>
    <col min="1821" max="1822" width="10.375" style="3070" bestFit="1" customWidth="1"/>
    <col min="1823" max="2048" width="9" style="3070"/>
    <col min="2049" max="2049" width="6.5" style="3070" customWidth="1"/>
    <col min="2050" max="2050" width="9" style="3070"/>
    <col min="2051" max="2051" width="5.5" style="3070" customWidth="1"/>
    <col min="2052" max="2052" width="3.875" style="3070" customWidth="1"/>
    <col min="2053" max="2053" width="4.625" style="3070" customWidth="1"/>
    <col min="2054" max="2055" width="9" style="3070"/>
    <col min="2056" max="2057" width="11.5" style="3070" bestFit="1" customWidth="1"/>
    <col min="2058" max="2059" width="9.375" style="3070" bestFit="1" customWidth="1"/>
    <col min="2060" max="2061" width="9" style="3070"/>
    <col min="2062" max="2062" width="12.625" style="3070" bestFit="1" customWidth="1"/>
    <col min="2063" max="2063" width="11.5" style="3070" bestFit="1" customWidth="1"/>
    <col min="2064" max="2064" width="12.625" style="3070" bestFit="1" customWidth="1"/>
    <col min="2065" max="2065" width="11.5" style="3070" bestFit="1" customWidth="1"/>
    <col min="2066" max="2072" width="9" style="3070"/>
    <col min="2073" max="2074" width="10.375" style="3070" bestFit="1" customWidth="1"/>
    <col min="2075" max="2075" width="11.5" style="3070" bestFit="1" customWidth="1"/>
    <col min="2076" max="2076" width="9.375" style="3070" bestFit="1" customWidth="1"/>
    <col min="2077" max="2078" width="10.375" style="3070" bestFit="1" customWidth="1"/>
    <col min="2079" max="2304" width="9" style="3070"/>
    <col min="2305" max="2305" width="6.5" style="3070" customWidth="1"/>
    <col min="2306" max="2306" width="9" style="3070"/>
    <col min="2307" max="2307" width="5.5" style="3070" customWidth="1"/>
    <col min="2308" max="2308" width="3.875" style="3070" customWidth="1"/>
    <col min="2309" max="2309" width="4.625" style="3070" customWidth="1"/>
    <col min="2310" max="2311" width="9" style="3070"/>
    <col min="2312" max="2313" width="11.5" style="3070" bestFit="1" customWidth="1"/>
    <col min="2314" max="2315" width="9.375" style="3070" bestFit="1" customWidth="1"/>
    <col min="2316" max="2317" width="9" style="3070"/>
    <col min="2318" max="2318" width="12.625" style="3070" bestFit="1" customWidth="1"/>
    <col min="2319" max="2319" width="11.5" style="3070" bestFit="1" customWidth="1"/>
    <col min="2320" max="2320" width="12.625" style="3070" bestFit="1" customWidth="1"/>
    <col min="2321" max="2321" width="11.5" style="3070" bestFit="1" customWidth="1"/>
    <col min="2322" max="2328" width="9" style="3070"/>
    <col min="2329" max="2330" width="10.375" style="3070" bestFit="1" customWidth="1"/>
    <col min="2331" max="2331" width="11.5" style="3070" bestFit="1" customWidth="1"/>
    <col min="2332" max="2332" width="9.375" style="3070" bestFit="1" customWidth="1"/>
    <col min="2333" max="2334" width="10.375" style="3070" bestFit="1" customWidth="1"/>
    <col min="2335" max="2560" width="9" style="3070"/>
    <col min="2561" max="2561" width="6.5" style="3070" customWidth="1"/>
    <col min="2562" max="2562" width="9" style="3070"/>
    <col min="2563" max="2563" width="5.5" style="3070" customWidth="1"/>
    <col min="2564" max="2564" width="3.875" style="3070" customWidth="1"/>
    <col min="2565" max="2565" width="4.625" style="3070" customWidth="1"/>
    <col min="2566" max="2567" width="9" style="3070"/>
    <col min="2568" max="2569" width="11.5" style="3070" bestFit="1" customWidth="1"/>
    <col min="2570" max="2571" width="9.375" style="3070" bestFit="1" customWidth="1"/>
    <col min="2572" max="2573" width="9" style="3070"/>
    <col min="2574" max="2574" width="12.625" style="3070" bestFit="1" customWidth="1"/>
    <col min="2575" max="2575" width="11.5" style="3070" bestFit="1" customWidth="1"/>
    <col min="2576" max="2576" width="12.625" style="3070" bestFit="1" customWidth="1"/>
    <col min="2577" max="2577" width="11.5" style="3070" bestFit="1" customWidth="1"/>
    <col min="2578" max="2584" width="9" style="3070"/>
    <col min="2585" max="2586" width="10.375" style="3070" bestFit="1" customWidth="1"/>
    <col min="2587" max="2587" width="11.5" style="3070" bestFit="1" customWidth="1"/>
    <col min="2588" max="2588" width="9.375" style="3070" bestFit="1" customWidth="1"/>
    <col min="2589" max="2590" width="10.375" style="3070" bestFit="1" customWidth="1"/>
    <col min="2591" max="2816" width="9" style="3070"/>
    <col min="2817" max="2817" width="6.5" style="3070" customWidth="1"/>
    <col min="2818" max="2818" width="9" style="3070"/>
    <col min="2819" max="2819" width="5.5" style="3070" customWidth="1"/>
    <col min="2820" max="2820" width="3.875" style="3070" customWidth="1"/>
    <col min="2821" max="2821" width="4.625" style="3070" customWidth="1"/>
    <col min="2822" max="2823" width="9" style="3070"/>
    <col min="2824" max="2825" width="11.5" style="3070" bestFit="1" customWidth="1"/>
    <col min="2826" max="2827" width="9.375" style="3070" bestFit="1" customWidth="1"/>
    <col min="2828" max="2829" width="9" style="3070"/>
    <col min="2830" max="2830" width="12.625" style="3070" bestFit="1" customWidth="1"/>
    <col min="2831" max="2831" width="11.5" style="3070" bestFit="1" customWidth="1"/>
    <col min="2832" max="2832" width="12.625" style="3070" bestFit="1" customWidth="1"/>
    <col min="2833" max="2833" width="11.5" style="3070" bestFit="1" customWidth="1"/>
    <col min="2834" max="2840" width="9" style="3070"/>
    <col min="2841" max="2842" width="10.375" style="3070" bestFit="1" customWidth="1"/>
    <col min="2843" max="2843" width="11.5" style="3070" bestFit="1" customWidth="1"/>
    <col min="2844" max="2844" width="9.375" style="3070" bestFit="1" customWidth="1"/>
    <col min="2845" max="2846" width="10.375" style="3070" bestFit="1" customWidth="1"/>
    <col min="2847" max="3072" width="9" style="3070"/>
    <col min="3073" max="3073" width="6.5" style="3070" customWidth="1"/>
    <col min="3074" max="3074" width="9" style="3070"/>
    <col min="3075" max="3075" width="5.5" style="3070" customWidth="1"/>
    <col min="3076" max="3076" width="3.875" style="3070" customWidth="1"/>
    <col min="3077" max="3077" width="4.625" style="3070" customWidth="1"/>
    <col min="3078" max="3079" width="9" style="3070"/>
    <col min="3080" max="3081" width="11.5" style="3070" bestFit="1" customWidth="1"/>
    <col min="3082" max="3083" width="9.375" style="3070" bestFit="1" customWidth="1"/>
    <col min="3084" max="3085" width="9" style="3070"/>
    <col min="3086" max="3086" width="12.625" style="3070" bestFit="1" customWidth="1"/>
    <col min="3087" max="3087" width="11.5" style="3070" bestFit="1" customWidth="1"/>
    <col min="3088" max="3088" width="12.625" style="3070" bestFit="1" customWidth="1"/>
    <col min="3089" max="3089" width="11.5" style="3070" bestFit="1" customWidth="1"/>
    <col min="3090" max="3096" width="9" style="3070"/>
    <col min="3097" max="3098" width="10.375" style="3070" bestFit="1" customWidth="1"/>
    <col min="3099" max="3099" width="11.5" style="3070" bestFit="1" customWidth="1"/>
    <col min="3100" max="3100" width="9.375" style="3070" bestFit="1" customWidth="1"/>
    <col min="3101" max="3102" width="10.375" style="3070" bestFit="1" customWidth="1"/>
    <col min="3103" max="3328" width="9" style="3070"/>
    <col min="3329" max="3329" width="6.5" style="3070" customWidth="1"/>
    <col min="3330" max="3330" width="9" style="3070"/>
    <col min="3331" max="3331" width="5.5" style="3070" customWidth="1"/>
    <col min="3332" max="3332" width="3.875" style="3070" customWidth="1"/>
    <col min="3333" max="3333" width="4.625" style="3070" customWidth="1"/>
    <col min="3334" max="3335" width="9" style="3070"/>
    <col min="3336" max="3337" width="11.5" style="3070" bestFit="1" customWidth="1"/>
    <col min="3338" max="3339" width="9.375" style="3070" bestFit="1" customWidth="1"/>
    <col min="3340" max="3341" width="9" style="3070"/>
    <col min="3342" max="3342" width="12.625" style="3070" bestFit="1" customWidth="1"/>
    <col min="3343" max="3343" width="11.5" style="3070" bestFit="1" customWidth="1"/>
    <col min="3344" max="3344" width="12.625" style="3070" bestFit="1" customWidth="1"/>
    <col min="3345" max="3345" width="11.5" style="3070" bestFit="1" customWidth="1"/>
    <col min="3346" max="3352" width="9" style="3070"/>
    <col min="3353" max="3354" width="10.375" style="3070" bestFit="1" customWidth="1"/>
    <col min="3355" max="3355" width="11.5" style="3070" bestFit="1" customWidth="1"/>
    <col min="3356" max="3356" width="9.375" style="3070" bestFit="1" customWidth="1"/>
    <col min="3357" max="3358" width="10.375" style="3070" bestFit="1" customWidth="1"/>
    <col min="3359" max="3584" width="9" style="3070"/>
    <col min="3585" max="3585" width="6.5" style="3070" customWidth="1"/>
    <col min="3586" max="3586" width="9" style="3070"/>
    <col min="3587" max="3587" width="5.5" style="3070" customWidth="1"/>
    <col min="3588" max="3588" width="3.875" style="3070" customWidth="1"/>
    <col min="3589" max="3589" width="4.625" style="3070" customWidth="1"/>
    <col min="3590" max="3591" width="9" style="3070"/>
    <col min="3592" max="3593" width="11.5" style="3070" bestFit="1" customWidth="1"/>
    <col min="3594" max="3595" width="9.375" style="3070" bestFit="1" customWidth="1"/>
    <col min="3596" max="3597" width="9" style="3070"/>
    <col min="3598" max="3598" width="12.625" style="3070" bestFit="1" customWidth="1"/>
    <col min="3599" max="3599" width="11.5" style="3070" bestFit="1" customWidth="1"/>
    <col min="3600" max="3600" width="12.625" style="3070" bestFit="1" customWidth="1"/>
    <col min="3601" max="3601" width="11.5" style="3070" bestFit="1" customWidth="1"/>
    <col min="3602" max="3608" width="9" style="3070"/>
    <col min="3609" max="3610" width="10.375" style="3070" bestFit="1" customWidth="1"/>
    <col min="3611" max="3611" width="11.5" style="3070" bestFit="1" customWidth="1"/>
    <col min="3612" max="3612" width="9.375" style="3070" bestFit="1" customWidth="1"/>
    <col min="3613" max="3614" width="10.375" style="3070" bestFit="1" customWidth="1"/>
    <col min="3615" max="3840" width="9" style="3070"/>
    <col min="3841" max="3841" width="6.5" style="3070" customWidth="1"/>
    <col min="3842" max="3842" width="9" style="3070"/>
    <col min="3843" max="3843" width="5.5" style="3070" customWidth="1"/>
    <col min="3844" max="3844" width="3.875" style="3070" customWidth="1"/>
    <col min="3845" max="3845" width="4.625" style="3070" customWidth="1"/>
    <col min="3846" max="3847" width="9" style="3070"/>
    <col min="3848" max="3849" width="11.5" style="3070" bestFit="1" customWidth="1"/>
    <col min="3850" max="3851" width="9.375" style="3070" bestFit="1" customWidth="1"/>
    <col min="3852" max="3853" width="9" style="3070"/>
    <col min="3854" max="3854" width="12.625" style="3070" bestFit="1" customWidth="1"/>
    <col min="3855" max="3855" width="11.5" style="3070" bestFit="1" customWidth="1"/>
    <col min="3856" max="3856" width="12.625" style="3070" bestFit="1" customWidth="1"/>
    <col min="3857" max="3857" width="11.5" style="3070" bestFit="1" customWidth="1"/>
    <col min="3858" max="3864" width="9" style="3070"/>
    <col min="3865" max="3866" width="10.375" style="3070" bestFit="1" customWidth="1"/>
    <col min="3867" max="3867" width="11.5" style="3070" bestFit="1" customWidth="1"/>
    <col min="3868" max="3868" width="9.375" style="3070" bestFit="1" customWidth="1"/>
    <col min="3869" max="3870" width="10.375" style="3070" bestFit="1" customWidth="1"/>
    <col min="3871" max="4096" width="9" style="3070"/>
    <col min="4097" max="4097" width="6.5" style="3070" customWidth="1"/>
    <col min="4098" max="4098" width="9" style="3070"/>
    <col min="4099" max="4099" width="5.5" style="3070" customWidth="1"/>
    <col min="4100" max="4100" width="3.875" style="3070" customWidth="1"/>
    <col min="4101" max="4101" width="4.625" style="3070" customWidth="1"/>
    <col min="4102" max="4103" width="9" style="3070"/>
    <col min="4104" max="4105" width="11.5" style="3070" bestFit="1" customWidth="1"/>
    <col min="4106" max="4107" width="9.375" style="3070" bestFit="1" customWidth="1"/>
    <col min="4108" max="4109" width="9" style="3070"/>
    <col min="4110" max="4110" width="12.625" style="3070" bestFit="1" customWidth="1"/>
    <col min="4111" max="4111" width="11.5" style="3070" bestFit="1" customWidth="1"/>
    <col min="4112" max="4112" width="12.625" style="3070" bestFit="1" customWidth="1"/>
    <col min="4113" max="4113" width="11.5" style="3070" bestFit="1" customWidth="1"/>
    <col min="4114" max="4120" width="9" style="3070"/>
    <col min="4121" max="4122" width="10.375" style="3070" bestFit="1" customWidth="1"/>
    <col min="4123" max="4123" width="11.5" style="3070" bestFit="1" customWidth="1"/>
    <col min="4124" max="4124" width="9.375" style="3070" bestFit="1" customWidth="1"/>
    <col min="4125" max="4126" width="10.375" style="3070" bestFit="1" customWidth="1"/>
    <col min="4127" max="4352" width="9" style="3070"/>
    <col min="4353" max="4353" width="6.5" style="3070" customWidth="1"/>
    <col min="4354" max="4354" width="9" style="3070"/>
    <col min="4355" max="4355" width="5.5" style="3070" customWidth="1"/>
    <col min="4356" max="4356" width="3.875" style="3070" customWidth="1"/>
    <col min="4357" max="4357" width="4.625" style="3070" customWidth="1"/>
    <col min="4358" max="4359" width="9" style="3070"/>
    <col min="4360" max="4361" width="11.5" style="3070" bestFit="1" customWidth="1"/>
    <col min="4362" max="4363" width="9.375" style="3070" bestFit="1" customWidth="1"/>
    <col min="4364" max="4365" width="9" style="3070"/>
    <col min="4366" max="4366" width="12.625" style="3070" bestFit="1" customWidth="1"/>
    <col min="4367" max="4367" width="11.5" style="3070" bestFit="1" customWidth="1"/>
    <col min="4368" max="4368" width="12.625" style="3070" bestFit="1" customWidth="1"/>
    <col min="4369" max="4369" width="11.5" style="3070" bestFit="1" customWidth="1"/>
    <col min="4370" max="4376" width="9" style="3070"/>
    <col min="4377" max="4378" width="10.375" style="3070" bestFit="1" customWidth="1"/>
    <col min="4379" max="4379" width="11.5" style="3070" bestFit="1" customWidth="1"/>
    <col min="4380" max="4380" width="9.375" style="3070" bestFit="1" customWidth="1"/>
    <col min="4381" max="4382" width="10.375" style="3070" bestFit="1" customWidth="1"/>
    <col min="4383" max="4608" width="9" style="3070"/>
    <col min="4609" max="4609" width="6.5" style="3070" customWidth="1"/>
    <col min="4610" max="4610" width="9" style="3070"/>
    <col min="4611" max="4611" width="5.5" style="3070" customWidth="1"/>
    <col min="4612" max="4612" width="3.875" style="3070" customWidth="1"/>
    <col min="4613" max="4613" width="4.625" style="3070" customWidth="1"/>
    <col min="4614" max="4615" width="9" style="3070"/>
    <col min="4616" max="4617" width="11.5" style="3070" bestFit="1" customWidth="1"/>
    <col min="4618" max="4619" width="9.375" style="3070" bestFit="1" customWidth="1"/>
    <col min="4620" max="4621" width="9" style="3070"/>
    <col min="4622" max="4622" width="12.625" style="3070" bestFit="1" customWidth="1"/>
    <col min="4623" max="4623" width="11.5" style="3070" bestFit="1" customWidth="1"/>
    <col min="4624" max="4624" width="12.625" style="3070" bestFit="1" customWidth="1"/>
    <col min="4625" max="4625" width="11.5" style="3070" bestFit="1" customWidth="1"/>
    <col min="4626" max="4632" width="9" style="3070"/>
    <col min="4633" max="4634" width="10.375" style="3070" bestFit="1" customWidth="1"/>
    <col min="4635" max="4635" width="11.5" style="3070" bestFit="1" customWidth="1"/>
    <col min="4636" max="4636" width="9.375" style="3070" bestFit="1" customWidth="1"/>
    <col min="4637" max="4638" width="10.375" style="3070" bestFit="1" customWidth="1"/>
    <col min="4639" max="4864" width="9" style="3070"/>
    <col min="4865" max="4865" width="6.5" style="3070" customWidth="1"/>
    <col min="4866" max="4866" width="9" style="3070"/>
    <col min="4867" max="4867" width="5.5" style="3070" customWidth="1"/>
    <col min="4868" max="4868" width="3.875" style="3070" customWidth="1"/>
    <col min="4869" max="4869" width="4.625" style="3070" customWidth="1"/>
    <col min="4870" max="4871" width="9" style="3070"/>
    <col min="4872" max="4873" width="11.5" style="3070" bestFit="1" customWidth="1"/>
    <col min="4874" max="4875" width="9.375" style="3070" bestFit="1" customWidth="1"/>
    <col min="4876" max="4877" width="9" style="3070"/>
    <col min="4878" max="4878" width="12.625" style="3070" bestFit="1" customWidth="1"/>
    <col min="4879" max="4879" width="11.5" style="3070" bestFit="1" customWidth="1"/>
    <col min="4880" max="4880" width="12.625" style="3070" bestFit="1" customWidth="1"/>
    <col min="4881" max="4881" width="11.5" style="3070" bestFit="1" customWidth="1"/>
    <col min="4882" max="4888" width="9" style="3070"/>
    <col min="4889" max="4890" width="10.375" style="3070" bestFit="1" customWidth="1"/>
    <col min="4891" max="4891" width="11.5" style="3070" bestFit="1" customWidth="1"/>
    <col min="4892" max="4892" width="9.375" style="3070" bestFit="1" customWidth="1"/>
    <col min="4893" max="4894" width="10.375" style="3070" bestFit="1" customWidth="1"/>
    <col min="4895" max="5120" width="9" style="3070"/>
    <col min="5121" max="5121" width="6.5" style="3070" customWidth="1"/>
    <col min="5122" max="5122" width="9" style="3070"/>
    <col min="5123" max="5123" width="5.5" style="3070" customWidth="1"/>
    <col min="5124" max="5124" width="3.875" style="3070" customWidth="1"/>
    <col min="5125" max="5125" width="4.625" style="3070" customWidth="1"/>
    <col min="5126" max="5127" width="9" style="3070"/>
    <col min="5128" max="5129" width="11.5" style="3070" bestFit="1" customWidth="1"/>
    <col min="5130" max="5131" width="9.375" style="3070" bestFit="1" customWidth="1"/>
    <col min="5132" max="5133" width="9" style="3070"/>
    <col min="5134" max="5134" width="12.625" style="3070" bestFit="1" customWidth="1"/>
    <col min="5135" max="5135" width="11.5" style="3070" bestFit="1" customWidth="1"/>
    <col min="5136" max="5136" width="12.625" style="3070" bestFit="1" customWidth="1"/>
    <col min="5137" max="5137" width="11.5" style="3070" bestFit="1" customWidth="1"/>
    <col min="5138" max="5144" width="9" style="3070"/>
    <col min="5145" max="5146" width="10.375" style="3070" bestFit="1" customWidth="1"/>
    <col min="5147" max="5147" width="11.5" style="3070" bestFit="1" customWidth="1"/>
    <col min="5148" max="5148" width="9.375" style="3070" bestFit="1" customWidth="1"/>
    <col min="5149" max="5150" width="10.375" style="3070" bestFit="1" customWidth="1"/>
    <col min="5151" max="5376" width="9" style="3070"/>
    <col min="5377" max="5377" width="6.5" style="3070" customWidth="1"/>
    <col min="5378" max="5378" width="9" style="3070"/>
    <col min="5379" max="5379" width="5.5" style="3070" customWidth="1"/>
    <col min="5380" max="5380" width="3.875" style="3070" customWidth="1"/>
    <col min="5381" max="5381" width="4.625" style="3070" customWidth="1"/>
    <col min="5382" max="5383" width="9" style="3070"/>
    <col min="5384" max="5385" width="11.5" style="3070" bestFit="1" customWidth="1"/>
    <col min="5386" max="5387" width="9.375" style="3070" bestFit="1" customWidth="1"/>
    <col min="5388" max="5389" width="9" style="3070"/>
    <col min="5390" max="5390" width="12.625" style="3070" bestFit="1" customWidth="1"/>
    <col min="5391" max="5391" width="11.5" style="3070" bestFit="1" customWidth="1"/>
    <col min="5392" max="5392" width="12.625" style="3070" bestFit="1" customWidth="1"/>
    <col min="5393" max="5393" width="11.5" style="3070" bestFit="1" customWidth="1"/>
    <col min="5394" max="5400" width="9" style="3070"/>
    <col min="5401" max="5402" width="10.375" style="3070" bestFit="1" customWidth="1"/>
    <col min="5403" max="5403" width="11.5" style="3070" bestFit="1" customWidth="1"/>
    <col min="5404" max="5404" width="9.375" style="3070" bestFit="1" customWidth="1"/>
    <col min="5405" max="5406" width="10.375" style="3070" bestFit="1" customWidth="1"/>
    <col min="5407" max="5632" width="9" style="3070"/>
    <col min="5633" max="5633" width="6.5" style="3070" customWidth="1"/>
    <col min="5634" max="5634" width="9" style="3070"/>
    <col min="5635" max="5635" width="5.5" style="3070" customWidth="1"/>
    <col min="5636" max="5636" width="3.875" style="3070" customWidth="1"/>
    <col min="5637" max="5637" width="4.625" style="3070" customWidth="1"/>
    <col min="5638" max="5639" width="9" style="3070"/>
    <col min="5640" max="5641" width="11.5" style="3070" bestFit="1" customWidth="1"/>
    <col min="5642" max="5643" width="9.375" style="3070" bestFit="1" customWidth="1"/>
    <col min="5644" max="5645" width="9" style="3070"/>
    <col min="5646" max="5646" width="12.625" style="3070" bestFit="1" customWidth="1"/>
    <col min="5647" max="5647" width="11.5" style="3070" bestFit="1" customWidth="1"/>
    <col min="5648" max="5648" width="12.625" style="3070" bestFit="1" customWidth="1"/>
    <col min="5649" max="5649" width="11.5" style="3070" bestFit="1" customWidth="1"/>
    <col min="5650" max="5656" width="9" style="3070"/>
    <col min="5657" max="5658" width="10.375" style="3070" bestFit="1" customWidth="1"/>
    <col min="5659" max="5659" width="11.5" style="3070" bestFit="1" customWidth="1"/>
    <col min="5660" max="5660" width="9.375" style="3070" bestFit="1" customWidth="1"/>
    <col min="5661" max="5662" width="10.375" style="3070" bestFit="1" customWidth="1"/>
    <col min="5663" max="5888" width="9" style="3070"/>
    <col min="5889" max="5889" width="6.5" style="3070" customWidth="1"/>
    <col min="5890" max="5890" width="9" style="3070"/>
    <col min="5891" max="5891" width="5.5" style="3070" customWidth="1"/>
    <col min="5892" max="5892" width="3.875" style="3070" customWidth="1"/>
    <col min="5893" max="5893" width="4.625" style="3070" customWidth="1"/>
    <col min="5894" max="5895" width="9" style="3070"/>
    <col min="5896" max="5897" width="11.5" style="3070" bestFit="1" customWidth="1"/>
    <col min="5898" max="5899" width="9.375" style="3070" bestFit="1" customWidth="1"/>
    <col min="5900" max="5901" width="9" style="3070"/>
    <col min="5902" max="5902" width="12.625" style="3070" bestFit="1" customWidth="1"/>
    <col min="5903" max="5903" width="11.5" style="3070" bestFit="1" customWidth="1"/>
    <col min="5904" max="5904" width="12.625" style="3070" bestFit="1" customWidth="1"/>
    <col min="5905" max="5905" width="11.5" style="3070" bestFit="1" customWidth="1"/>
    <col min="5906" max="5912" width="9" style="3070"/>
    <col min="5913" max="5914" width="10.375" style="3070" bestFit="1" customWidth="1"/>
    <col min="5915" max="5915" width="11.5" style="3070" bestFit="1" customWidth="1"/>
    <col min="5916" max="5916" width="9.375" style="3070" bestFit="1" customWidth="1"/>
    <col min="5917" max="5918" width="10.375" style="3070" bestFit="1" customWidth="1"/>
    <col min="5919" max="6144" width="9" style="3070"/>
    <col min="6145" max="6145" width="6.5" style="3070" customWidth="1"/>
    <col min="6146" max="6146" width="9" style="3070"/>
    <col min="6147" max="6147" width="5.5" style="3070" customWidth="1"/>
    <col min="6148" max="6148" width="3.875" style="3070" customWidth="1"/>
    <col min="6149" max="6149" width="4.625" style="3070" customWidth="1"/>
    <col min="6150" max="6151" width="9" style="3070"/>
    <col min="6152" max="6153" width="11.5" style="3070" bestFit="1" customWidth="1"/>
    <col min="6154" max="6155" width="9.375" style="3070" bestFit="1" customWidth="1"/>
    <col min="6156" max="6157" width="9" style="3070"/>
    <col min="6158" max="6158" width="12.625" style="3070" bestFit="1" customWidth="1"/>
    <col min="6159" max="6159" width="11.5" style="3070" bestFit="1" customWidth="1"/>
    <col min="6160" max="6160" width="12.625" style="3070" bestFit="1" customWidth="1"/>
    <col min="6161" max="6161" width="11.5" style="3070" bestFit="1" customWidth="1"/>
    <col min="6162" max="6168" width="9" style="3070"/>
    <col min="6169" max="6170" width="10.375" style="3070" bestFit="1" customWidth="1"/>
    <col min="6171" max="6171" width="11.5" style="3070" bestFit="1" customWidth="1"/>
    <col min="6172" max="6172" width="9.375" style="3070" bestFit="1" customWidth="1"/>
    <col min="6173" max="6174" width="10.375" style="3070" bestFit="1" customWidth="1"/>
    <col min="6175" max="6400" width="9" style="3070"/>
    <col min="6401" max="6401" width="6.5" style="3070" customWidth="1"/>
    <col min="6402" max="6402" width="9" style="3070"/>
    <col min="6403" max="6403" width="5.5" style="3070" customWidth="1"/>
    <col min="6404" max="6404" width="3.875" style="3070" customWidth="1"/>
    <col min="6405" max="6405" width="4.625" style="3070" customWidth="1"/>
    <col min="6406" max="6407" width="9" style="3070"/>
    <col min="6408" max="6409" width="11.5" style="3070" bestFit="1" customWidth="1"/>
    <col min="6410" max="6411" width="9.375" style="3070" bestFit="1" customWidth="1"/>
    <col min="6412" max="6413" width="9" style="3070"/>
    <col min="6414" max="6414" width="12.625" style="3070" bestFit="1" customWidth="1"/>
    <col min="6415" max="6415" width="11.5" style="3070" bestFit="1" customWidth="1"/>
    <col min="6416" max="6416" width="12.625" style="3070" bestFit="1" customWidth="1"/>
    <col min="6417" max="6417" width="11.5" style="3070" bestFit="1" customWidth="1"/>
    <col min="6418" max="6424" width="9" style="3070"/>
    <col min="6425" max="6426" width="10.375" style="3070" bestFit="1" customWidth="1"/>
    <col min="6427" max="6427" width="11.5" style="3070" bestFit="1" customWidth="1"/>
    <col min="6428" max="6428" width="9.375" style="3070" bestFit="1" customWidth="1"/>
    <col min="6429" max="6430" width="10.375" style="3070" bestFit="1" customWidth="1"/>
    <col min="6431" max="6656" width="9" style="3070"/>
    <col min="6657" max="6657" width="6.5" style="3070" customWidth="1"/>
    <col min="6658" max="6658" width="9" style="3070"/>
    <col min="6659" max="6659" width="5.5" style="3070" customWidth="1"/>
    <col min="6660" max="6660" width="3.875" style="3070" customWidth="1"/>
    <col min="6661" max="6661" width="4.625" style="3070" customWidth="1"/>
    <col min="6662" max="6663" width="9" style="3070"/>
    <col min="6664" max="6665" width="11.5" style="3070" bestFit="1" customWidth="1"/>
    <col min="6666" max="6667" width="9.375" style="3070" bestFit="1" customWidth="1"/>
    <col min="6668" max="6669" width="9" style="3070"/>
    <col min="6670" max="6670" width="12.625" style="3070" bestFit="1" customWidth="1"/>
    <col min="6671" max="6671" width="11.5" style="3070" bestFit="1" customWidth="1"/>
    <col min="6672" max="6672" width="12.625" style="3070" bestFit="1" customWidth="1"/>
    <col min="6673" max="6673" width="11.5" style="3070" bestFit="1" customWidth="1"/>
    <col min="6674" max="6680" width="9" style="3070"/>
    <col min="6681" max="6682" width="10.375" style="3070" bestFit="1" customWidth="1"/>
    <col min="6683" max="6683" width="11.5" style="3070" bestFit="1" customWidth="1"/>
    <col min="6684" max="6684" width="9.375" style="3070" bestFit="1" customWidth="1"/>
    <col min="6685" max="6686" width="10.375" style="3070" bestFit="1" customWidth="1"/>
    <col min="6687" max="6912" width="9" style="3070"/>
    <col min="6913" max="6913" width="6.5" style="3070" customWidth="1"/>
    <col min="6914" max="6914" width="9" style="3070"/>
    <col min="6915" max="6915" width="5.5" style="3070" customWidth="1"/>
    <col min="6916" max="6916" width="3.875" style="3070" customWidth="1"/>
    <col min="6917" max="6917" width="4.625" style="3070" customWidth="1"/>
    <col min="6918" max="6919" width="9" style="3070"/>
    <col min="6920" max="6921" width="11.5" style="3070" bestFit="1" customWidth="1"/>
    <col min="6922" max="6923" width="9.375" style="3070" bestFit="1" customWidth="1"/>
    <col min="6924" max="6925" width="9" style="3070"/>
    <col min="6926" max="6926" width="12.625" style="3070" bestFit="1" customWidth="1"/>
    <col min="6927" max="6927" width="11.5" style="3070" bestFit="1" customWidth="1"/>
    <col min="6928" max="6928" width="12.625" style="3070" bestFit="1" customWidth="1"/>
    <col min="6929" max="6929" width="11.5" style="3070" bestFit="1" customWidth="1"/>
    <col min="6930" max="6936" width="9" style="3070"/>
    <col min="6937" max="6938" width="10.375" style="3070" bestFit="1" customWidth="1"/>
    <col min="6939" max="6939" width="11.5" style="3070" bestFit="1" customWidth="1"/>
    <col min="6940" max="6940" width="9.375" style="3070" bestFit="1" customWidth="1"/>
    <col min="6941" max="6942" width="10.375" style="3070" bestFit="1" customWidth="1"/>
    <col min="6943" max="7168" width="9" style="3070"/>
    <col min="7169" max="7169" width="6.5" style="3070" customWidth="1"/>
    <col min="7170" max="7170" width="9" style="3070"/>
    <col min="7171" max="7171" width="5.5" style="3070" customWidth="1"/>
    <col min="7172" max="7172" width="3.875" style="3070" customWidth="1"/>
    <col min="7173" max="7173" width="4.625" style="3070" customWidth="1"/>
    <col min="7174" max="7175" width="9" style="3070"/>
    <col min="7176" max="7177" width="11.5" style="3070" bestFit="1" customWidth="1"/>
    <col min="7178" max="7179" width="9.375" style="3070" bestFit="1" customWidth="1"/>
    <col min="7180" max="7181" width="9" style="3070"/>
    <col min="7182" max="7182" width="12.625" style="3070" bestFit="1" customWidth="1"/>
    <col min="7183" max="7183" width="11.5" style="3070" bestFit="1" customWidth="1"/>
    <col min="7184" max="7184" width="12.625" style="3070" bestFit="1" customWidth="1"/>
    <col min="7185" max="7185" width="11.5" style="3070" bestFit="1" customWidth="1"/>
    <col min="7186" max="7192" width="9" style="3070"/>
    <col min="7193" max="7194" width="10.375" style="3070" bestFit="1" customWidth="1"/>
    <col min="7195" max="7195" width="11.5" style="3070" bestFit="1" customWidth="1"/>
    <col min="7196" max="7196" width="9.375" style="3070" bestFit="1" customWidth="1"/>
    <col min="7197" max="7198" width="10.375" style="3070" bestFit="1" customWidth="1"/>
    <col min="7199" max="7424" width="9" style="3070"/>
    <col min="7425" max="7425" width="6.5" style="3070" customWidth="1"/>
    <col min="7426" max="7426" width="9" style="3070"/>
    <col min="7427" max="7427" width="5.5" style="3070" customWidth="1"/>
    <col min="7428" max="7428" width="3.875" style="3070" customWidth="1"/>
    <col min="7429" max="7429" width="4.625" style="3070" customWidth="1"/>
    <col min="7430" max="7431" width="9" style="3070"/>
    <col min="7432" max="7433" width="11.5" style="3070" bestFit="1" customWidth="1"/>
    <col min="7434" max="7435" width="9.375" style="3070" bestFit="1" customWidth="1"/>
    <col min="7436" max="7437" width="9" style="3070"/>
    <col min="7438" max="7438" width="12.625" style="3070" bestFit="1" customWidth="1"/>
    <col min="7439" max="7439" width="11.5" style="3070" bestFit="1" customWidth="1"/>
    <col min="7440" max="7440" width="12.625" style="3070" bestFit="1" customWidth="1"/>
    <col min="7441" max="7441" width="11.5" style="3070" bestFit="1" customWidth="1"/>
    <col min="7442" max="7448" width="9" style="3070"/>
    <col min="7449" max="7450" width="10.375" style="3070" bestFit="1" customWidth="1"/>
    <col min="7451" max="7451" width="11.5" style="3070" bestFit="1" customWidth="1"/>
    <col min="7452" max="7452" width="9.375" style="3070" bestFit="1" customWidth="1"/>
    <col min="7453" max="7454" width="10.375" style="3070" bestFit="1" customWidth="1"/>
    <col min="7455" max="7680" width="9" style="3070"/>
    <col min="7681" max="7681" width="6.5" style="3070" customWidth="1"/>
    <col min="7682" max="7682" width="9" style="3070"/>
    <col min="7683" max="7683" width="5.5" style="3070" customWidth="1"/>
    <col min="7684" max="7684" width="3.875" style="3070" customWidth="1"/>
    <col min="7685" max="7685" width="4.625" style="3070" customWidth="1"/>
    <col min="7686" max="7687" width="9" style="3070"/>
    <col min="7688" max="7689" width="11.5" style="3070" bestFit="1" customWidth="1"/>
    <col min="7690" max="7691" width="9.375" style="3070" bestFit="1" customWidth="1"/>
    <col min="7692" max="7693" width="9" style="3070"/>
    <col min="7694" max="7694" width="12.625" style="3070" bestFit="1" customWidth="1"/>
    <col min="7695" max="7695" width="11.5" style="3070" bestFit="1" customWidth="1"/>
    <col min="7696" max="7696" width="12.625" style="3070" bestFit="1" customWidth="1"/>
    <col min="7697" max="7697" width="11.5" style="3070" bestFit="1" customWidth="1"/>
    <col min="7698" max="7704" width="9" style="3070"/>
    <col min="7705" max="7706" width="10.375" style="3070" bestFit="1" customWidth="1"/>
    <col min="7707" max="7707" width="11.5" style="3070" bestFit="1" customWidth="1"/>
    <col min="7708" max="7708" width="9.375" style="3070" bestFit="1" customWidth="1"/>
    <col min="7709" max="7710" width="10.375" style="3070" bestFit="1" customWidth="1"/>
    <col min="7711" max="7936" width="9" style="3070"/>
    <col min="7937" max="7937" width="6.5" style="3070" customWidth="1"/>
    <col min="7938" max="7938" width="9" style="3070"/>
    <col min="7939" max="7939" width="5.5" style="3070" customWidth="1"/>
    <col min="7940" max="7940" width="3.875" style="3070" customWidth="1"/>
    <col min="7941" max="7941" width="4.625" style="3070" customWidth="1"/>
    <col min="7942" max="7943" width="9" style="3070"/>
    <col min="7944" max="7945" width="11.5" style="3070" bestFit="1" customWidth="1"/>
    <col min="7946" max="7947" width="9.375" style="3070" bestFit="1" customWidth="1"/>
    <col min="7948" max="7949" width="9" style="3070"/>
    <col min="7950" max="7950" width="12.625" style="3070" bestFit="1" customWidth="1"/>
    <col min="7951" max="7951" width="11.5" style="3070" bestFit="1" customWidth="1"/>
    <col min="7952" max="7952" width="12.625" style="3070" bestFit="1" customWidth="1"/>
    <col min="7953" max="7953" width="11.5" style="3070" bestFit="1" customWidth="1"/>
    <col min="7954" max="7960" width="9" style="3070"/>
    <col min="7961" max="7962" width="10.375" style="3070" bestFit="1" customWidth="1"/>
    <col min="7963" max="7963" width="11.5" style="3070" bestFit="1" customWidth="1"/>
    <col min="7964" max="7964" width="9.375" style="3070" bestFit="1" customWidth="1"/>
    <col min="7965" max="7966" width="10.375" style="3070" bestFit="1" customWidth="1"/>
    <col min="7967" max="8192" width="9" style="3070"/>
    <col min="8193" max="8193" width="6.5" style="3070" customWidth="1"/>
    <col min="8194" max="8194" width="9" style="3070"/>
    <col min="8195" max="8195" width="5.5" style="3070" customWidth="1"/>
    <col min="8196" max="8196" width="3.875" style="3070" customWidth="1"/>
    <col min="8197" max="8197" width="4.625" style="3070" customWidth="1"/>
    <col min="8198" max="8199" width="9" style="3070"/>
    <col min="8200" max="8201" width="11.5" style="3070" bestFit="1" customWidth="1"/>
    <col min="8202" max="8203" width="9.375" style="3070" bestFit="1" customWidth="1"/>
    <col min="8204" max="8205" width="9" style="3070"/>
    <col min="8206" max="8206" width="12.625" style="3070" bestFit="1" customWidth="1"/>
    <col min="8207" max="8207" width="11.5" style="3070" bestFit="1" customWidth="1"/>
    <col min="8208" max="8208" width="12.625" style="3070" bestFit="1" customWidth="1"/>
    <col min="8209" max="8209" width="11.5" style="3070" bestFit="1" customWidth="1"/>
    <col min="8210" max="8216" width="9" style="3070"/>
    <col min="8217" max="8218" width="10.375" style="3070" bestFit="1" customWidth="1"/>
    <col min="8219" max="8219" width="11.5" style="3070" bestFit="1" customWidth="1"/>
    <col min="8220" max="8220" width="9.375" style="3070" bestFit="1" customWidth="1"/>
    <col min="8221" max="8222" width="10.375" style="3070" bestFit="1" customWidth="1"/>
    <col min="8223" max="8448" width="9" style="3070"/>
    <col min="8449" max="8449" width="6.5" style="3070" customWidth="1"/>
    <col min="8450" max="8450" width="9" style="3070"/>
    <col min="8451" max="8451" width="5.5" style="3070" customWidth="1"/>
    <col min="8452" max="8452" width="3.875" style="3070" customWidth="1"/>
    <col min="8453" max="8453" width="4.625" style="3070" customWidth="1"/>
    <col min="8454" max="8455" width="9" style="3070"/>
    <col min="8456" max="8457" width="11.5" style="3070" bestFit="1" customWidth="1"/>
    <col min="8458" max="8459" width="9.375" style="3070" bestFit="1" customWidth="1"/>
    <col min="8460" max="8461" width="9" style="3070"/>
    <col min="8462" max="8462" width="12.625" style="3070" bestFit="1" customWidth="1"/>
    <col min="8463" max="8463" width="11.5" style="3070" bestFit="1" customWidth="1"/>
    <col min="8464" max="8464" width="12.625" style="3070" bestFit="1" customWidth="1"/>
    <col min="8465" max="8465" width="11.5" style="3070" bestFit="1" customWidth="1"/>
    <col min="8466" max="8472" width="9" style="3070"/>
    <col min="8473" max="8474" width="10.375" style="3070" bestFit="1" customWidth="1"/>
    <col min="8475" max="8475" width="11.5" style="3070" bestFit="1" customWidth="1"/>
    <col min="8476" max="8476" width="9.375" style="3070" bestFit="1" customWidth="1"/>
    <col min="8477" max="8478" width="10.375" style="3070" bestFit="1" customWidth="1"/>
    <col min="8479" max="8704" width="9" style="3070"/>
    <col min="8705" max="8705" width="6.5" style="3070" customWidth="1"/>
    <col min="8706" max="8706" width="9" style="3070"/>
    <col min="8707" max="8707" width="5.5" style="3070" customWidth="1"/>
    <col min="8708" max="8708" width="3.875" style="3070" customWidth="1"/>
    <col min="8709" max="8709" width="4.625" style="3070" customWidth="1"/>
    <col min="8710" max="8711" width="9" style="3070"/>
    <col min="8712" max="8713" width="11.5" style="3070" bestFit="1" customWidth="1"/>
    <col min="8714" max="8715" width="9.375" style="3070" bestFit="1" customWidth="1"/>
    <col min="8716" max="8717" width="9" style="3070"/>
    <col min="8718" max="8718" width="12.625" style="3070" bestFit="1" customWidth="1"/>
    <col min="8719" max="8719" width="11.5" style="3070" bestFit="1" customWidth="1"/>
    <col min="8720" max="8720" width="12.625" style="3070" bestFit="1" customWidth="1"/>
    <col min="8721" max="8721" width="11.5" style="3070" bestFit="1" customWidth="1"/>
    <col min="8722" max="8728" width="9" style="3070"/>
    <col min="8729" max="8730" width="10.375" style="3070" bestFit="1" customWidth="1"/>
    <col min="8731" max="8731" width="11.5" style="3070" bestFit="1" customWidth="1"/>
    <col min="8732" max="8732" width="9.375" style="3070" bestFit="1" customWidth="1"/>
    <col min="8733" max="8734" width="10.375" style="3070" bestFit="1" customWidth="1"/>
    <col min="8735" max="8960" width="9" style="3070"/>
    <col min="8961" max="8961" width="6.5" style="3070" customWidth="1"/>
    <col min="8962" max="8962" width="9" style="3070"/>
    <col min="8963" max="8963" width="5.5" style="3070" customWidth="1"/>
    <col min="8964" max="8964" width="3.875" style="3070" customWidth="1"/>
    <col min="8965" max="8965" width="4.625" style="3070" customWidth="1"/>
    <col min="8966" max="8967" width="9" style="3070"/>
    <col min="8968" max="8969" width="11.5" style="3070" bestFit="1" customWidth="1"/>
    <col min="8970" max="8971" width="9.375" style="3070" bestFit="1" customWidth="1"/>
    <col min="8972" max="8973" width="9" style="3070"/>
    <col min="8974" max="8974" width="12.625" style="3070" bestFit="1" customWidth="1"/>
    <col min="8975" max="8975" width="11.5" style="3070" bestFit="1" customWidth="1"/>
    <col min="8976" max="8976" width="12.625" style="3070" bestFit="1" customWidth="1"/>
    <col min="8977" max="8977" width="11.5" style="3070" bestFit="1" customWidth="1"/>
    <col min="8978" max="8984" width="9" style="3070"/>
    <col min="8985" max="8986" width="10.375" style="3070" bestFit="1" customWidth="1"/>
    <col min="8987" max="8987" width="11.5" style="3070" bestFit="1" customWidth="1"/>
    <col min="8988" max="8988" width="9.375" style="3070" bestFit="1" customWidth="1"/>
    <col min="8989" max="8990" width="10.375" style="3070" bestFit="1" customWidth="1"/>
    <col min="8991" max="9216" width="9" style="3070"/>
    <col min="9217" max="9217" width="6.5" style="3070" customWidth="1"/>
    <col min="9218" max="9218" width="9" style="3070"/>
    <col min="9219" max="9219" width="5.5" style="3070" customWidth="1"/>
    <col min="9220" max="9220" width="3.875" style="3070" customWidth="1"/>
    <col min="9221" max="9221" width="4.625" style="3070" customWidth="1"/>
    <col min="9222" max="9223" width="9" style="3070"/>
    <col min="9224" max="9225" width="11.5" style="3070" bestFit="1" customWidth="1"/>
    <col min="9226" max="9227" width="9.375" style="3070" bestFit="1" customWidth="1"/>
    <col min="9228" max="9229" width="9" style="3070"/>
    <col min="9230" max="9230" width="12.625" style="3070" bestFit="1" customWidth="1"/>
    <col min="9231" max="9231" width="11.5" style="3070" bestFit="1" customWidth="1"/>
    <col min="9232" max="9232" width="12.625" style="3070" bestFit="1" customWidth="1"/>
    <col min="9233" max="9233" width="11.5" style="3070" bestFit="1" customWidth="1"/>
    <col min="9234" max="9240" width="9" style="3070"/>
    <col min="9241" max="9242" width="10.375" style="3070" bestFit="1" customWidth="1"/>
    <col min="9243" max="9243" width="11.5" style="3070" bestFit="1" customWidth="1"/>
    <col min="9244" max="9244" width="9.375" style="3070" bestFit="1" customWidth="1"/>
    <col min="9245" max="9246" width="10.375" style="3070" bestFit="1" customWidth="1"/>
    <col min="9247" max="9472" width="9" style="3070"/>
    <col min="9473" max="9473" width="6.5" style="3070" customWidth="1"/>
    <col min="9474" max="9474" width="9" style="3070"/>
    <col min="9475" max="9475" width="5.5" style="3070" customWidth="1"/>
    <col min="9476" max="9476" width="3.875" style="3070" customWidth="1"/>
    <col min="9477" max="9477" width="4.625" style="3070" customWidth="1"/>
    <col min="9478" max="9479" width="9" style="3070"/>
    <col min="9480" max="9481" width="11.5" style="3070" bestFit="1" customWidth="1"/>
    <col min="9482" max="9483" width="9.375" style="3070" bestFit="1" customWidth="1"/>
    <col min="9484" max="9485" width="9" style="3070"/>
    <col min="9486" max="9486" width="12.625" style="3070" bestFit="1" customWidth="1"/>
    <col min="9487" max="9487" width="11.5" style="3070" bestFit="1" customWidth="1"/>
    <col min="9488" max="9488" width="12.625" style="3070" bestFit="1" customWidth="1"/>
    <col min="9489" max="9489" width="11.5" style="3070" bestFit="1" customWidth="1"/>
    <col min="9490" max="9496" width="9" style="3070"/>
    <col min="9497" max="9498" width="10.375" style="3070" bestFit="1" customWidth="1"/>
    <col min="9499" max="9499" width="11.5" style="3070" bestFit="1" customWidth="1"/>
    <col min="9500" max="9500" width="9.375" style="3070" bestFit="1" customWidth="1"/>
    <col min="9501" max="9502" width="10.375" style="3070" bestFit="1" customWidth="1"/>
    <col min="9503" max="9728" width="9" style="3070"/>
    <col min="9729" max="9729" width="6.5" style="3070" customWidth="1"/>
    <col min="9730" max="9730" width="9" style="3070"/>
    <col min="9731" max="9731" width="5.5" style="3070" customWidth="1"/>
    <col min="9732" max="9732" width="3.875" style="3070" customWidth="1"/>
    <col min="9733" max="9733" width="4.625" style="3070" customWidth="1"/>
    <col min="9734" max="9735" width="9" style="3070"/>
    <col min="9736" max="9737" width="11.5" style="3070" bestFit="1" customWidth="1"/>
    <col min="9738" max="9739" width="9.375" style="3070" bestFit="1" customWidth="1"/>
    <col min="9740" max="9741" width="9" style="3070"/>
    <col min="9742" max="9742" width="12.625" style="3070" bestFit="1" customWidth="1"/>
    <col min="9743" max="9743" width="11.5" style="3070" bestFit="1" customWidth="1"/>
    <col min="9744" max="9744" width="12.625" style="3070" bestFit="1" customWidth="1"/>
    <col min="9745" max="9745" width="11.5" style="3070" bestFit="1" customWidth="1"/>
    <col min="9746" max="9752" width="9" style="3070"/>
    <col min="9753" max="9754" width="10.375" style="3070" bestFit="1" customWidth="1"/>
    <col min="9755" max="9755" width="11.5" style="3070" bestFit="1" customWidth="1"/>
    <col min="9756" max="9756" width="9.375" style="3070" bestFit="1" customWidth="1"/>
    <col min="9757" max="9758" width="10.375" style="3070" bestFit="1" customWidth="1"/>
    <col min="9759" max="9984" width="9" style="3070"/>
    <col min="9985" max="9985" width="6.5" style="3070" customWidth="1"/>
    <col min="9986" max="9986" width="9" style="3070"/>
    <col min="9987" max="9987" width="5.5" style="3070" customWidth="1"/>
    <col min="9988" max="9988" width="3.875" style="3070" customWidth="1"/>
    <col min="9989" max="9989" width="4.625" style="3070" customWidth="1"/>
    <col min="9990" max="9991" width="9" style="3070"/>
    <col min="9992" max="9993" width="11.5" style="3070" bestFit="1" customWidth="1"/>
    <col min="9994" max="9995" width="9.375" style="3070" bestFit="1" customWidth="1"/>
    <col min="9996" max="9997" width="9" style="3070"/>
    <col min="9998" max="9998" width="12.625" style="3070" bestFit="1" customWidth="1"/>
    <col min="9999" max="9999" width="11.5" style="3070" bestFit="1" customWidth="1"/>
    <col min="10000" max="10000" width="12.625" style="3070" bestFit="1" customWidth="1"/>
    <col min="10001" max="10001" width="11.5" style="3070" bestFit="1" customWidth="1"/>
    <col min="10002" max="10008" width="9" style="3070"/>
    <col min="10009" max="10010" width="10.375" style="3070" bestFit="1" customWidth="1"/>
    <col min="10011" max="10011" width="11.5" style="3070" bestFit="1" customWidth="1"/>
    <col min="10012" max="10012" width="9.375" style="3070" bestFit="1" customWidth="1"/>
    <col min="10013" max="10014" width="10.375" style="3070" bestFit="1" customWidth="1"/>
    <col min="10015" max="10240" width="9" style="3070"/>
    <col min="10241" max="10241" width="6.5" style="3070" customWidth="1"/>
    <col min="10242" max="10242" width="9" style="3070"/>
    <col min="10243" max="10243" width="5.5" style="3070" customWidth="1"/>
    <col min="10244" max="10244" width="3.875" style="3070" customWidth="1"/>
    <col min="10245" max="10245" width="4.625" style="3070" customWidth="1"/>
    <col min="10246" max="10247" width="9" style="3070"/>
    <col min="10248" max="10249" width="11.5" style="3070" bestFit="1" customWidth="1"/>
    <col min="10250" max="10251" width="9.375" style="3070" bestFit="1" customWidth="1"/>
    <col min="10252" max="10253" width="9" style="3070"/>
    <col min="10254" max="10254" width="12.625" style="3070" bestFit="1" customWidth="1"/>
    <col min="10255" max="10255" width="11.5" style="3070" bestFit="1" customWidth="1"/>
    <col min="10256" max="10256" width="12.625" style="3070" bestFit="1" customWidth="1"/>
    <col min="10257" max="10257" width="11.5" style="3070" bestFit="1" customWidth="1"/>
    <col min="10258" max="10264" width="9" style="3070"/>
    <col min="10265" max="10266" width="10.375" style="3070" bestFit="1" customWidth="1"/>
    <col min="10267" max="10267" width="11.5" style="3070" bestFit="1" customWidth="1"/>
    <col min="10268" max="10268" width="9.375" style="3070" bestFit="1" customWidth="1"/>
    <col min="10269" max="10270" width="10.375" style="3070" bestFit="1" customWidth="1"/>
    <col min="10271" max="10496" width="9" style="3070"/>
    <col min="10497" max="10497" width="6.5" style="3070" customWidth="1"/>
    <col min="10498" max="10498" width="9" style="3070"/>
    <col min="10499" max="10499" width="5.5" style="3070" customWidth="1"/>
    <col min="10500" max="10500" width="3.875" style="3070" customWidth="1"/>
    <col min="10501" max="10501" width="4.625" style="3070" customWidth="1"/>
    <col min="10502" max="10503" width="9" style="3070"/>
    <col min="10504" max="10505" width="11.5" style="3070" bestFit="1" customWidth="1"/>
    <col min="10506" max="10507" width="9.375" style="3070" bestFit="1" customWidth="1"/>
    <col min="10508" max="10509" width="9" style="3070"/>
    <col min="10510" max="10510" width="12.625" style="3070" bestFit="1" customWidth="1"/>
    <col min="10511" max="10511" width="11.5" style="3070" bestFit="1" customWidth="1"/>
    <col min="10512" max="10512" width="12.625" style="3070" bestFit="1" customWidth="1"/>
    <col min="10513" max="10513" width="11.5" style="3070" bestFit="1" customWidth="1"/>
    <col min="10514" max="10520" width="9" style="3070"/>
    <col min="10521" max="10522" width="10.375" style="3070" bestFit="1" customWidth="1"/>
    <col min="10523" max="10523" width="11.5" style="3070" bestFit="1" customWidth="1"/>
    <col min="10524" max="10524" width="9.375" style="3070" bestFit="1" customWidth="1"/>
    <col min="10525" max="10526" width="10.375" style="3070" bestFit="1" customWidth="1"/>
    <col min="10527" max="10752" width="9" style="3070"/>
    <col min="10753" max="10753" width="6.5" style="3070" customWidth="1"/>
    <col min="10754" max="10754" width="9" style="3070"/>
    <col min="10755" max="10755" width="5.5" style="3070" customWidth="1"/>
    <col min="10756" max="10756" width="3.875" style="3070" customWidth="1"/>
    <col min="10757" max="10757" width="4.625" style="3070" customWidth="1"/>
    <col min="10758" max="10759" width="9" style="3070"/>
    <col min="10760" max="10761" width="11.5" style="3070" bestFit="1" customWidth="1"/>
    <col min="10762" max="10763" width="9.375" style="3070" bestFit="1" customWidth="1"/>
    <col min="10764" max="10765" width="9" style="3070"/>
    <col min="10766" max="10766" width="12.625" style="3070" bestFit="1" customWidth="1"/>
    <col min="10767" max="10767" width="11.5" style="3070" bestFit="1" customWidth="1"/>
    <col min="10768" max="10768" width="12.625" style="3070" bestFit="1" customWidth="1"/>
    <col min="10769" max="10769" width="11.5" style="3070" bestFit="1" customWidth="1"/>
    <col min="10770" max="10776" width="9" style="3070"/>
    <col min="10777" max="10778" width="10.375" style="3070" bestFit="1" customWidth="1"/>
    <col min="10779" max="10779" width="11.5" style="3070" bestFit="1" customWidth="1"/>
    <col min="10780" max="10780" width="9.375" style="3070" bestFit="1" customWidth="1"/>
    <col min="10781" max="10782" width="10.375" style="3070" bestFit="1" customWidth="1"/>
    <col min="10783" max="11008" width="9" style="3070"/>
    <col min="11009" max="11009" width="6.5" style="3070" customWidth="1"/>
    <col min="11010" max="11010" width="9" style="3070"/>
    <col min="11011" max="11011" width="5.5" style="3070" customWidth="1"/>
    <col min="11012" max="11012" width="3.875" style="3070" customWidth="1"/>
    <col min="11013" max="11013" width="4.625" style="3070" customWidth="1"/>
    <col min="11014" max="11015" width="9" style="3070"/>
    <col min="11016" max="11017" width="11.5" style="3070" bestFit="1" customWidth="1"/>
    <col min="11018" max="11019" width="9.375" style="3070" bestFit="1" customWidth="1"/>
    <col min="11020" max="11021" width="9" style="3070"/>
    <col min="11022" max="11022" width="12.625" style="3070" bestFit="1" customWidth="1"/>
    <col min="11023" max="11023" width="11.5" style="3070" bestFit="1" customWidth="1"/>
    <col min="11024" max="11024" width="12.625" style="3070" bestFit="1" customWidth="1"/>
    <col min="11025" max="11025" width="11.5" style="3070" bestFit="1" customWidth="1"/>
    <col min="11026" max="11032" width="9" style="3070"/>
    <col min="11033" max="11034" width="10.375" style="3070" bestFit="1" customWidth="1"/>
    <col min="11035" max="11035" width="11.5" style="3070" bestFit="1" customWidth="1"/>
    <col min="11036" max="11036" width="9.375" style="3070" bestFit="1" customWidth="1"/>
    <col min="11037" max="11038" width="10.375" style="3070" bestFit="1" customWidth="1"/>
    <col min="11039" max="11264" width="9" style="3070"/>
    <col min="11265" max="11265" width="6.5" style="3070" customWidth="1"/>
    <col min="11266" max="11266" width="9" style="3070"/>
    <col min="11267" max="11267" width="5.5" style="3070" customWidth="1"/>
    <col min="11268" max="11268" width="3.875" style="3070" customWidth="1"/>
    <col min="11269" max="11269" width="4.625" style="3070" customWidth="1"/>
    <col min="11270" max="11271" width="9" style="3070"/>
    <col min="11272" max="11273" width="11.5" style="3070" bestFit="1" customWidth="1"/>
    <col min="11274" max="11275" width="9.375" style="3070" bestFit="1" customWidth="1"/>
    <col min="11276" max="11277" width="9" style="3070"/>
    <col min="11278" max="11278" width="12.625" style="3070" bestFit="1" customWidth="1"/>
    <col min="11279" max="11279" width="11.5" style="3070" bestFit="1" customWidth="1"/>
    <col min="11280" max="11280" width="12.625" style="3070" bestFit="1" customWidth="1"/>
    <col min="11281" max="11281" width="11.5" style="3070" bestFit="1" customWidth="1"/>
    <col min="11282" max="11288" width="9" style="3070"/>
    <col min="11289" max="11290" width="10.375" style="3070" bestFit="1" customWidth="1"/>
    <col min="11291" max="11291" width="11.5" style="3070" bestFit="1" customWidth="1"/>
    <col min="11292" max="11292" width="9.375" style="3070" bestFit="1" customWidth="1"/>
    <col min="11293" max="11294" width="10.375" style="3070" bestFit="1" customWidth="1"/>
    <col min="11295" max="11520" width="9" style="3070"/>
    <col min="11521" max="11521" width="6.5" style="3070" customWidth="1"/>
    <col min="11522" max="11522" width="9" style="3070"/>
    <col min="11523" max="11523" width="5.5" style="3070" customWidth="1"/>
    <col min="11524" max="11524" width="3.875" style="3070" customWidth="1"/>
    <col min="11525" max="11525" width="4.625" style="3070" customWidth="1"/>
    <col min="11526" max="11527" width="9" style="3070"/>
    <col min="11528" max="11529" width="11.5" style="3070" bestFit="1" customWidth="1"/>
    <col min="11530" max="11531" width="9.375" style="3070" bestFit="1" customWidth="1"/>
    <col min="11532" max="11533" width="9" style="3070"/>
    <col min="11534" max="11534" width="12.625" style="3070" bestFit="1" customWidth="1"/>
    <col min="11535" max="11535" width="11.5" style="3070" bestFit="1" customWidth="1"/>
    <col min="11536" max="11536" width="12.625" style="3070" bestFit="1" customWidth="1"/>
    <col min="11537" max="11537" width="11.5" style="3070" bestFit="1" customWidth="1"/>
    <col min="11538" max="11544" width="9" style="3070"/>
    <col min="11545" max="11546" width="10.375" style="3070" bestFit="1" customWidth="1"/>
    <col min="11547" max="11547" width="11.5" style="3070" bestFit="1" customWidth="1"/>
    <col min="11548" max="11548" width="9.375" style="3070" bestFit="1" customWidth="1"/>
    <col min="11549" max="11550" width="10.375" style="3070" bestFit="1" customWidth="1"/>
    <col min="11551" max="11776" width="9" style="3070"/>
    <col min="11777" max="11777" width="6.5" style="3070" customWidth="1"/>
    <col min="11778" max="11778" width="9" style="3070"/>
    <col min="11779" max="11779" width="5.5" style="3070" customWidth="1"/>
    <col min="11780" max="11780" width="3.875" style="3070" customWidth="1"/>
    <col min="11781" max="11781" width="4.625" style="3070" customWidth="1"/>
    <col min="11782" max="11783" width="9" style="3070"/>
    <col min="11784" max="11785" width="11.5" style="3070" bestFit="1" customWidth="1"/>
    <col min="11786" max="11787" width="9.375" style="3070" bestFit="1" customWidth="1"/>
    <col min="11788" max="11789" width="9" style="3070"/>
    <col min="11790" max="11790" width="12.625" style="3070" bestFit="1" customWidth="1"/>
    <col min="11791" max="11791" width="11.5" style="3070" bestFit="1" customWidth="1"/>
    <col min="11792" max="11792" width="12.625" style="3070" bestFit="1" customWidth="1"/>
    <col min="11793" max="11793" width="11.5" style="3070" bestFit="1" customWidth="1"/>
    <col min="11794" max="11800" width="9" style="3070"/>
    <col min="11801" max="11802" width="10.375" style="3070" bestFit="1" customWidth="1"/>
    <col min="11803" max="11803" width="11.5" style="3070" bestFit="1" customWidth="1"/>
    <col min="11804" max="11804" width="9.375" style="3070" bestFit="1" customWidth="1"/>
    <col min="11805" max="11806" width="10.375" style="3070" bestFit="1" customWidth="1"/>
    <col min="11807" max="12032" width="9" style="3070"/>
    <col min="12033" max="12033" width="6.5" style="3070" customWidth="1"/>
    <col min="12034" max="12034" width="9" style="3070"/>
    <col min="12035" max="12035" width="5.5" style="3070" customWidth="1"/>
    <col min="12036" max="12036" width="3.875" style="3070" customWidth="1"/>
    <col min="12037" max="12037" width="4.625" style="3070" customWidth="1"/>
    <col min="12038" max="12039" width="9" style="3070"/>
    <col min="12040" max="12041" width="11.5" style="3070" bestFit="1" customWidth="1"/>
    <col min="12042" max="12043" width="9.375" style="3070" bestFit="1" customWidth="1"/>
    <col min="12044" max="12045" width="9" style="3070"/>
    <col min="12046" max="12046" width="12.625" style="3070" bestFit="1" customWidth="1"/>
    <col min="12047" max="12047" width="11.5" style="3070" bestFit="1" customWidth="1"/>
    <col min="12048" max="12048" width="12.625" style="3070" bestFit="1" customWidth="1"/>
    <col min="12049" max="12049" width="11.5" style="3070" bestFit="1" customWidth="1"/>
    <col min="12050" max="12056" width="9" style="3070"/>
    <col min="12057" max="12058" width="10.375" style="3070" bestFit="1" customWidth="1"/>
    <col min="12059" max="12059" width="11.5" style="3070" bestFit="1" customWidth="1"/>
    <col min="12060" max="12060" width="9.375" style="3070" bestFit="1" customWidth="1"/>
    <col min="12061" max="12062" width="10.375" style="3070" bestFit="1" customWidth="1"/>
    <col min="12063" max="12288" width="9" style="3070"/>
    <col min="12289" max="12289" width="6.5" style="3070" customWidth="1"/>
    <col min="12290" max="12290" width="9" style="3070"/>
    <col min="12291" max="12291" width="5.5" style="3070" customWidth="1"/>
    <col min="12292" max="12292" width="3.875" style="3070" customWidth="1"/>
    <col min="12293" max="12293" width="4.625" style="3070" customWidth="1"/>
    <col min="12294" max="12295" width="9" style="3070"/>
    <col min="12296" max="12297" width="11.5" style="3070" bestFit="1" customWidth="1"/>
    <col min="12298" max="12299" width="9.375" style="3070" bestFit="1" customWidth="1"/>
    <col min="12300" max="12301" width="9" style="3070"/>
    <col min="12302" max="12302" width="12.625" style="3070" bestFit="1" customWidth="1"/>
    <col min="12303" max="12303" width="11.5" style="3070" bestFit="1" customWidth="1"/>
    <col min="12304" max="12304" width="12.625" style="3070" bestFit="1" customWidth="1"/>
    <col min="12305" max="12305" width="11.5" style="3070" bestFit="1" customWidth="1"/>
    <col min="12306" max="12312" width="9" style="3070"/>
    <col min="12313" max="12314" width="10.375" style="3070" bestFit="1" customWidth="1"/>
    <col min="12315" max="12315" width="11.5" style="3070" bestFit="1" customWidth="1"/>
    <col min="12316" max="12316" width="9.375" style="3070" bestFit="1" customWidth="1"/>
    <col min="12317" max="12318" width="10.375" style="3070" bestFit="1" customWidth="1"/>
    <col min="12319" max="12544" width="9" style="3070"/>
    <col min="12545" max="12545" width="6.5" style="3070" customWidth="1"/>
    <col min="12546" max="12546" width="9" style="3070"/>
    <col min="12547" max="12547" width="5.5" style="3070" customWidth="1"/>
    <col min="12548" max="12548" width="3.875" style="3070" customWidth="1"/>
    <col min="12549" max="12549" width="4.625" style="3070" customWidth="1"/>
    <col min="12550" max="12551" width="9" style="3070"/>
    <col min="12552" max="12553" width="11.5" style="3070" bestFit="1" customWidth="1"/>
    <col min="12554" max="12555" width="9.375" style="3070" bestFit="1" customWidth="1"/>
    <col min="12556" max="12557" width="9" style="3070"/>
    <col min="12558" max="12558" width="12.625" style="3070" bestFit="1" customWidth="1"/>
    <col min="12559" max="12559" width="11.5" style="3070" bestFit="1" customWidth="1"/>
    <col min="12560" max="12560" width="12.625" style="3070" bestFit="1" customWidth="1"/>
    <col min="12561" max="12561" width="11.5" style="3070" bestFit="1" customWidth="1"/>
    <col min="12562" max="12568" width="9" style="3070"/>
    <col min="12569" max="12570" width="10.375" style="3070" bestFit="1" customWidth="1"/>
    <col min="12571" max="12571" width="11.5" style="3070" bestFit="1" customWidth="1"/>
    <col min="12572" max="12572" width="9.375" style="3070" bestFit="1" customWidth="1"/>
    <col min="12573" max="12574" width="10.375" style="3070" bestFit="1" customWidth="1"/>
    <col min="12575" max="12800" width="9" style="3070"/>
    <col min="12801" max="12801" width="6.5" style="3070" customWidth="1"/>
    <col min="12802" max="12802" width="9" style="3070"/>
    <col min="12803" max="12803" width="5.5" style="3070" customWidth="1"/>
    <col min="12804" max="12804" width="3.875" style="3070" customWidth="1"/>
    <col min="12805" max="12805" width="4.625" style="3070" customWidth="1"/>
    <col min="12806" max="12807" width="9" style="3070"/>
    <col min="12808" max="12809" width="11.5" style="3070" bestFit="1" customWidth="1"/>
    <col min="12810" max="12811" width="9.375" style="3070" bestFit="1" customWidth="1"/>
    <col min="12812" max="12813" width="9" style="3070"/>
    <col min="12814" max="12814" width="12.625" style="3070" bestFit="1" customWidth="1"/>
    <col min="12815" max="12815" width="11.5" style="3070" bestFit="1" customWidth="1"/>
    <col min="12816" max="12816" width="12.625" style="3070" bestFit="1" customWidth="1"/>
    <col min="12817" max="12817" width="11.5" style="3070" bestFit="1" customWidth="1"/>
    <col min="12818" max="12824" width="9" style="3070"/>
    <col min="12825" max="12826" width="10.375" style="3070" bestFit="1" customWidth="1"/>
    <col min="12827" max="12827" width="11.5" style="3070" bestFit="1" customWidth="1"/>
    <col min="12828" max="12828" width="9.375" style="3070" bestFit="1" customWidth="1"/>
    <col min="12829" max="12830" width="10.375" style="3070" bestFit="1" customWidth="1"/>
    <col min="12831" max="13056" width="9" style="3070"/>
    <col min="13057" max="13057" width="6.5" style="3070" customWidth="1"/>
    <col min="13058" max="13058" width="9" style="3070"/>
    <col min="13059" max="13059" width="5.5" style="3070" customWidth="1"/>
    <col min="13060" max="13060" width="3.875" style="3070" customWidth="1"/>
    <col min="13061" max="13061" width="4.625" style="3070" customWidth="1"/>
    <col min="13062" max="13063" width="9" style="3070"/>
    <col min="13064" max="13065" width="11.5" style="3070" bestFit="1" customWidth="1"/>
    <col min="13066" max="13067" width="9.375" style="3070" bestFit="1" customWidth="1"/>
    <col min="13068" max="13069" width="9" style="3070"/>
    <col min="13070" max="13070" width="12.625" style="3070" bestFit="1" customWidth="1"/>
    <col min="13071" max="13071" width="11.5" style="3070" bestFit="1" customWidth="1"/>
    <col min="13072" max="13072" width="12.625" style="3070" bestFit="1" customWidth="1"/>
    <col min="13073" max="13073" width="11.5" style="3070" bestFit="1" customWidth="1"/>
    <col min="13074" max="13080" width="9" style="3070"/>
    <col min="13081" max="13082" width="10.375" style="3070" bestFit="1" customWidth="1"/>
    <col min="13083" max="13083" width="11.5" style="3070" bestFit="1" customWidth="1"/>
    <col min="13084" max="13084" width="9.375" style="3070" bestFit="1" customWidth="1"/>
    <col min="13085" max="13086" width="10.375" style="3070" bestFit="1" customWidth="1"/>
    <col min="13087" max="13312" width="9" style="3070"/>
    <col min="13313" max="13313" width="6.5" style="3070" customWidth="1"/>
    <col min="13314" max="13314" width="9" style="3070"/>
    <col min="13315" max="13315" width="5.5" style="3070" customWidth="1"/>
    <col min="13316" max="13316" width="3.875" style="3070" customWidth="1"/>
    <col min="13317" max="13317" width="4.625" style="3070" customWidth="1"/>
    <col min="13318" max="13319" width="9" style="3070"/>
    <col min="13320" max="13321" width="11.5" style="3070" bestFit="1" customWidth="1"/>
    <col min="13322" max="13323" width="9.375" style="3070" bestFit="1" customWidth="1"/>
    <col min="13324" max="13325" width="9" style="3070"/>
    <col min="13326" max="13326" width="12.625" style="3070" bestFit="1" customWidth="1"/>
    <col min="13327" max="13327" width="11.5" style="3070" bestFit="1" customWidth="1"/>
    <col min="13328" max="13328" width="12.625" style="3070" bestFit="1" customWidth="1"/>
    <col min="13329" max="13329" width="11.5" style="3070" bestFit="1" customWidth="1"/>
    <col min="13330" max="13336" width="9" style="3070"/>
    <col min="13337" max="13338" width="10.375" style="3070" bestFit="1" customWidth="1"/>
    <col min="13339" max="13339" width="11.5" style="3070" bestFit="1" customWidth="1"/>
    <col min="13340" max="13340" width="9.375" style="3070" bestFit="1" customWidth="1"/>
    <col min="13341" max="13342" width="10.375" style="3070" bestFit="1" customWidth="1"/>
    <col min="13343" max="13568" width="9" style="3070"/>
    <col min="13569" max="13569" width="6.5" style="3070" customWidth="1"/>
    <col min="13570" max="13570" width="9" style="3070"/>
    <col min="13571" max="13571" width="5.5" style="3070" customWidth="1"/>
    <col min="13572" max="13572" width="3.875" style="3070" customWidth="1"/>
    <col min="13573" max="13573" width="4.625" style="3070" customWidth="1"/>
    <col min="13574" max="13575" width="9" style="3070"/>
    <col min="13576" max="13577" width="11.5" style="3070" bestFit="1" customWidth="1"/>
    <col min="13578" max="13579" width="9.375" style="3070" bestFit="1" customWidth="1"/>
    <col min="13580" max="13581" width="9" style="3070"/>
    <col min="13582" max="13582" width="12.625" style="3070" bestFit="1" customWidth="1"/>
    <col min="13583" max="13583" width="11.5" style="3070" bestFit="1" customWidth="1"/>
    <col min="13584" max="13584" width="12.625" style="3070" bestFit="1" customWidth="1"/>
    <col min="13585" max="13585" width="11.5" style="3070" bestFit="1" customWidth="1"/>
    <col min="13586" max="13592" width="9" style="3070"/>
    <col min="13593" max="13594" width="10.375" style="3070" bestFit="1" customWidth="1"/>
    <col min="13595" max="13595" width="11.5" style="3070" bestFit="1" customWidth="1"/>
    <col min="13596" max="13596" width="9.375" style="3070" bestFit="1" customWidth="1"/>
    <col min="13597" max="13598" width="10.375" style="3070" bestFit="1" customWidth="1"/>
    <col min="13599" max="13824" width="9" style="3070"/>
    <col min="13825" max="13825" width="6.5" style="3070" customWidth="1"/>
    <col min="13826" max="13826" width="9" style="3070"/>
    <col min="13827" max="13827" width="5.5" style="3070" customWidth="1"/>
    <col min="13828" max="13828" width="3.875" style="3070" customWidth="1"/>
    <col min="13829" max="13829" width="4.625" style="3070" customWidth="1"/>
    <col min="13830" max="13831" width="9" style="3070"/>
    <col min="13832" max="13833" width="11.5" style="3070" bestFit="1" customWidth="1"/>
    <col min="13834" max="13835" width="9.375" style="3070" bestFit="1" customWidth="1"/>
    <col min="13836" max="13837" width="9" style="3070"/>
    <col min="13838" max="13838" width="12.625" style="3070" bestFit="1" customWidth="1"/>
    <col min="13839" max="13839" width="11.5" style="3070" bestFit="1" customWidth="1"/>
    <col min="13840" max="13840" width="12.625" style="3070" bestFit="1" customWidth="1"/>
    <col min="13841" max="13841" width="11.5" style="3070" bestFit="1" customWidth="1"/>
    <col min="13842" max="13848" width="9" style="3070"/>
    <col min="13849" max="13850" width="10.375" style="3070" bestFit="1" customWidth="1"/>
    <col min="13851" max="13851" width="11.5" style="3070" bestFit="1" customWidth="1"/>
    <col min="13852" max="13852" width="9.375" style="3070" bestFit="1" customWidth="1"/>
    <col min="13853" max="13854" width="10.375" style="3070" bestFit="1" customWidth="1"/>
    <col min="13855" max="14080" width="9" style="3070"/>
    <col min="14081" max="14081" width="6.5" style="3070" customWidth="1"/>
    <col min="14082" max="14082" width="9" style="3070"/>
    <col min="14083" max="14083" width="5.5" style="3070" customWidth="1"/>
    <col min="14084" max="14084" width="3.875" style="3070" customWidth="1"/>
    <col min="14085" max="14085" width="4.625" style="3070" customWidth="1"/>
    <col min="14086" max="14087" width="9" style="3070"/>
    <col min="14088" max="14089" width="11.5" style="3070" bestFit="1" customWidth="1"/>
    <col min="14090" max="14091" width="9.375" style="3070" bestFit="1" customWidth="1"/>
    <col min="14092" max="14093" width="9" style="3070"/>
    <col min="14094" max="14094" width="12.625" style="3070" bestFit="1" customWidth="1"/>
    <col min="14095" max="14095" width="11.5" style="3070" bestFit="1" customWidth="1"/>
    <col min="14096" max="14096" width="12.625" style="3070" bestFit="1" customWidth="1"/>
    <col min="14097" max="14097" width="11.5" style="3070" bestFit="1" customWidth="1"/>
    <col min="14098" max="14104" width="9" style="3070"/>
    <col min="14105" max="14106" width="10.375" style="3070" bestFit="1" customWidth="1"/>
    <col min="14107" max="14107" width="11.5" style="3070" bestFit="1" customWidth="1"/>
    <col min="14108" max="14108" width="9.375" style="3070" bestFit="1" customWidth="1"/>
    <col min="14109" max="14110" width="10.375" style="3070" bestFit="1" customWidth="1"/>
    <col min="14111" max="14336" width="9" style="3070"/>
    <col min="14337" max="14337" width="6.5" style="3070" customWidth="1"/>
    <col min="14338" max="14338" width="9" style="3070"/>
    <col min="14339" max="14339" width="5.5" style="3070" customWidth="1"/>
    <col min="14340" max="14340" width="3.875" style="3070" customWidth="1"/>
    <col min="14341" max="14341" width="4.625" style="3070" customWidth="1"/>
    <col min="14342" max="14343" width="9" style="3070"/>
    <col min="14344" max="14345" width="11.5" style="3070" bestFit="1" customWidth="1"/>
    <col min="14346" max="14347" width="9.375" style="3070" bestFit="1" customWidth="1"/>
    <col min="14348" max="14349" width="9" style="3070"/>
    <col min="14350" max="14350" width="12.625" style="3070" bestFit="1" customWidth="1"/>
    <col min="14351" max="14351" width="11.5" style="3070" bestFit="1" customWidth="1"/>
    <col min="14352" max="14352" width="12.625" style="3070" bestFit="1" customWidth="1"/>
    <col min="14353" max="14353" width="11.5" style="3070" bestFit="1" customWidth="1"/>
    <col min="14354" max="14360" width="9" style="3070"/>
    <col min="14361" max="14362" width="10.375" style="3070" bestFit="1" customWidth="1"/>
    <col min="14363" max="14363" width="11.5" style="3070" bestFit="1" customWidth="1"/>
    <col min="14364" max="14364" width="9.375" style="3070" bestFit="1" customWidth="1"/>
    <col min="14365" max="14366" width="10.375" style="3070" bestFit="1" customWidth="1"/>
    <col min="14367" max="14592" width="9" style="3070"/>
    <col min="14593" max="14593" width="6.5" style="3070" customWidth="1"/>
    <col min="14594" max="14594" width="9" style="3070"/>
    <col min="14595" max="14595" width="5.5" style="3070" customWidth="1"/>
    <col min="14596" max="14596" width="3.875" style="3070" customWidth="1"/>
    <col min="14597" max="14597" width="4.625" style="3070" customWidth="1"/>
    <col min="14598" max="14599" width="9" style="3070"/>
    <col min="14600" max="14601" width="11.5" style="3070" bestFit="1" customWidth="1"/>
    <col min="14602" max="14603" width="9.375" style="3070" bestFit="1" customWidth="1"/>
    <col min="14604" max="14605" width="9" style="3070"/>
    <col min="14606" max="14606" width="12.625" style="3070" bestFit="1" customWidth="1"/>
    <col min="14607" max="14607" width="11.5" style="3070" bestFit="1" customWidth="1"/>
    <col min="14608" max="14608" width="12.625" style="3070" bestFit="1" customWidth="1"/>
    <col min="14609" max="14609" width="11.5" style="3070" bestFit="1" customWidth="1"/>
    <col min="14610" max="14616" width="9" style="3070"/>
    <col min="14617" max="14618" width="10.375" style="3070" bestFit="1" customWidth="1"/>
    <col min="14619" max="14619" width="11.5" style="3070" bestFit="1" customWidth="1"/>
    <col min="14620" max="14620" width="9.375" style="3070" bestFit="1" customWidth="1"/>
    <col min="14621" max="14622" width="10.375" style="3070" bestFit="1" customWidth="1"/>
    <col min="14623" max="14848" width="9" style="3070"/>
    <col min="14849" max="14849" width="6.5" style="3070" customWidth="1"/>
    <col min="14850" max="14850" width="9" style="3070"/>
    <col min="14851" max="14851" width="5.5" style="3070" customWidth="1"/>
    <col min="14852" max="14852" width="3.875" style="3070" customWidth="1"/>
    <col min="14853" max="14853" width="4.625" style="3070" customWidth="1"/>
    <col min="14854" max="14855" width="9" style="3070"/>
    <col min="14856" max="14857" width="11.5" style="3070" bestFit="1" customWidth="1"/>
    <col min="14858" max="14859" width="9.375" style="3070" bestFit="1" customWidth="1"/>
    <col min="14860" max="14861" width="9" style="3070"/>
    <col min="14862" max="14862" width="12.625" style="3070" bestFit="1" customWidth="1"/>
    <col min="14863" max="14863" width="11.5" style="3070" bestFit="1" customWidth="1"/>
    <col min="14864" max="14864" width="12.625" style="3070" bestFit="1" customWidth="1"/>
    <col min="14865" max="14865" width="11.5" style="3070" bestFit="1" customWidth="1"/>
    <col min="14866" max="14872" width="9" style="3070"/>
    <col min="14873" max="14874" width="10.375" style="3070" bestFit="1" customWidth="1"/>
    <col min="14875" max="14875" width="11.5" style="3070" bestFit="1" customWidth="1"/>
    <col min="14876" max="14876" width="9.375" style="3070" bestFit="1" customWidth="1"/>
    <col min="14877" max="14878" width="10.375" style="3070" bestFit="1" customWidth="1"/>
    <col min="14879" max="15104" width="9" style="3070"/>
    <col min="15105" max="15105" width="6.5" style="3070" customWidth="1"/>
    <col min="15106" max="15106" width="9" style="3070"/>
    <col min="15107" max="15107" width="5.5" style="3070" customWidth="1"/>
    <col min="15108" max="15108" width="3.875" style="3070" customWidth="1"/>
    <col min="15109" max="15109" width="4.625" style="3070" customWidth="1"/>
    <col min="15110" max="15111" width="9" style="3070"/>
    <col min="15112" max="15113" width="11.5" style="3070" bestFit="1" customWidth="1"/>
    <col min="15114" max="15115" width="9.375" style="3070" bestFit="1" customWidth="1"/>
    <col min="15116" max="15117" width="9" style="3070"/>
    <col min="15118" max="15118" width="12.625" style="3070" bestFit="1" customWidth="1"/>
    <col min="15119" max="15119" width="11.5" style="3070" bestFit="1" customWidth="1"/>
    <col min="15120" max="15120" width="12.625" style="3070" bestFit="1" customWidth="1"/>
    <col min="15121" max="15121" width="11.5" style="3070" bestFit="1" customWidth="1"/>
    <col min="15122" max="15128" width="9" style="3070"/>
    <col min="15129" max="15130" width="10.375" style="3070" bestFit="1" customWidth="1"/>
    <col min="15131" max="15131" width="11.5" style="3070" bestFit="1" customWidth="1"/>
    <col min="15132" max="15132" width="9.375" style="3070" bestFit="1" customWidth="1"/>
    <col min="15133" max="15134" width="10.375" style="3070" bestFit="1" customWidth="1"/>
    <col min="15135" max="15360" width="9" style="3070"/>
    <col min="15361" max="15361" width="6.5" style="3070" customWidth="1"/>
    <col min="15362" max="15362" width="9" style="3070"/>
    <col min="15363" max="15363" width="5.5" style="3070" customWidth="1"/>
    <col min="15364" max="15364" width="3.875" style="3070" customWidth="1"/>
    <col min="15365" max="15365" width="4.625" style="3070" customWidth="1"/>
    <col min="15366" max="15367" width="9" style="3070"/>
    <col min="15368" max="15369" width="11.5" style="3070" bestFit="1" customWidth="1"/>
    <col min="15370" max="15371" width="9.375" style="3070" bestFit="1" customWidth="1"/>
    <col min="15372" max="15373" width="9" style="3070"/>
    <col min="15374" max="15374" width="12.625" style="3070" bestFit="1" customWidth="1"/>
    <col min="15375" max="15375" width="11.5" style="3070" bestFit="1" customWidth="1"/>
    <col min="15376" max="15376" width="12.625" style="3070" bestFit="1" customWidth="1"/>
    <col min="15377" max="15377" width="11.5" style="3070" bestFit="1" customWidth="1"/>
    <col min="15378" max="15384" width="9" style="3070"/>
    <col min="15385" max="15386" width="10.375" style="3070" bestFit="1" customWidth="1"/>
    <col min="15387" max="15387" width="11.5" style="3070" bestFit="1" customWidth="1"/>
    <col min="15388" max="15388" width="9.375" style="3070" bestFit="1" customWidth="1"/>
    <col min="15389" max="15390" width="10.375" style="3070" bestFit="1" customWidth="1"/>
    <col min="15391" max="15616" width="9" style="3070"/>
    <col min="15617" max="15617" width="6.5" style="3070" customWidth="1"/>
    <col min="15618" max="15618" width="9" style="3070"/>
    <col min="15619" max="15619" width="5.5" style="3070" customWidth="1"/>
    <col min="15620" max="15620" width="3.875" style="3070" customWidth="1"/>
    <col min="15621" max="15621" width="4.625" style="3070" customWidth="1"/>
    <col min="15622" max="15623" width="9" style="3070"/>
    <col min="15624" max="15625" width="11.5" style="3070" bestFit="1" customWidth="1"/>
    <col min="15626" max="15627" width="9.375" style="3070" bestFit="1" customWidth="1"/>
    <col min="15628" max="15629" width="9" style="3070"/>
    <col min="15630" max="15630" width="12.625" style="3070" bestFit="1" customWidth="1"/>
    <col min="15631" max="15631" width="11.5" style="3070" bestFit="1" customWidth="1"/>
    <col min="15632" max="15632" width="12.625" style="3070" bestFit="1" customWidth="1"/>
    <col min="15633" max="15633" width="11.5" style="3070" bestFit="1" customWidth="1"/>
    <col min="15634" max="15640" width="9" style="3070"/>
    <col min="15641" max="15642" width="10.375" style="3070" bestFit="1" customWidth="1"/>
    <col min="15643" max="15643" width="11.5" style="3070" bestFit="1" customWidth="1"/>
    <col min="15644" max="15644" width="9.375" style="3070" bestFit="1" customWidth="1"/>
    <col min="15645" max="15646" width="10.375" style="3070" bestFit="1" customWidth="1"/>
    <col min="15647" max="15872" width="9" style="3070"/>
    <col min="15873" max="15873" width="6.5" style="3070" customWidth="1"/>
    <col min="15874" max="15874" width="9" style="3070"/>
    <col min="15875" max="15875" width="5.5" style="3070" customWidth="1"/>
    <col min="15876" max="15876" width="3.875" style="3070" customWidth="1"/>
    <col min="15877" max="15877" width="4.625" style="3070" customWidth="1"/>
    <col min="15878" max="15879" width="9" style="3070"/>
    <col min="15880" max="15881" width="11.5" style="3070" bestFit="1" customWidth="1"/>
    <col min="15882" max="15883" width="9.375" style="3070" bestFit="1" customWidth="1"/>
    <col min="15884" max="15885" width="9" style="3070"/>
    <col min="15886" max="15886" width="12.625" style="3070" bestFit="1" customWidth="1"/>
    <col min="15887" max="15887" width="11.5" style="3070" bestFit="1" customWidth="1"/>
    <col min="15888" max="15888" width="12.625" style="3070" bestFit="1" customWidth="1"/>
    <col min="15889" max="15889" width="11.5" style="3070" bestFit="1" customWidth="1"/>
    <col min="15890" max="15896" width="9" style="3070"/>
    <col min="15897" max="15898" width="10.375" style="3070" bestFit="1" customWidth="1"/>
    <col min="15899" max="15899" width="11.5" style="3070" bestFit="1" customWidth="1"/>
    <col min="15900" max="15900" width="9.375" style="3070" bestFit="1" customWidth="1"/>
    <col min="15901" max="15902" width="10.375" style="3070" bestFit="1" customWidth="1"/>
    <col min="15903" max="16128" width="9" style="3070"/>
    <col min="16129" max="16129" width="6.5" style="3070" customWidth="1"/>
    <col min="16130" max="16130" width="9" style="3070"/>
    <col min="16131" max="16131" width="5.5" style="3070" customWidth="1"/>
    <col min="16132" max="16132" width="3.875" style="3070" customWidth="1"/>
    <col min="16133" max="16133" width="4.625" style="3070" customWidth="1"/>
    <col min="16134" max="16135" width="9" style="3070"/>
    <col min="16136" max="16137" width="11.5" style="3070" bestFit="1" customWidth="1"/>
    <col min="16138" max="16139" width="9.375" style="3070" bestFit="1" customWidth="1"/>
    <col min="16140" max="16141" width="9" style="3070"/>
    <col min="16142" max="16142" width="12.625" style="3070" bestFit="1" customWidth="1"/>
    <col min="16143" max="16143" width="11.5" style="3070" bestFit="1" customWidth="1"/>
    <col min="16144" max="16144" width="12.625" style="3070" bestFit="1" customWidth="1"/>
    <col min="16145" max="16145" width="11.5" style="3070" bestFit="1" customWidth="1"/>
    <col min="16146" max="16152" width="9" style="3070"/>
    <col min="16153" max="16154" width="10.375" style="3070" bestFit="1" customWidth="1"/>
    <col min="16155" max="16155" width="11.5" style="3070" bestFit="1" customWidth="1"/>
    <col min="16156" max="16156" width="9.375" style="3070" bestFit="1" customWidth="1"/>
    <col min="16157" max="16158" width="10.375" style="3070" bestFit="1" customWidth="1"/>
    <col min="16159" max="16384" width="9" style="3070"/>
  </cols>
  <sheetData>
    <row r="1" spans="1:122">
      <c r="A1" s="3070" t="s">
        <v>3106</v>
      </c>
      <c r="B1" s="3070" t="s">
        <v>3107</v>
      </c>
      <c r="C1" s="3070" t="s">
        <v>3108</v>
      </c>
      <c r="D1" s="3070" t="s">
        <v>3109</v>
      </c>
      <c r="E1" s="3070" t="s">
        <v>3110</v>
      </c>
      <c r="F1" s="3070" t="s">
        <v>3067</v>
      </c>
      <c r="G1" s="3070" t="s">
        <v>3111</v>
      </c>
      <c r="I1" s="3070" t="s">
        <v>3112</v>
      </c>
      <c r="J1" s="3070" t="s">
        <v>3113</v>
      </c>
      <c r="K1" s="3070" t="s">
        <v>3114</v>
      </c>
      <c r="L1" s="3070" t="s">
        <v>3115</v>
      </c>
      <c r="M1" s="3070" t="s">
        <v>3116</v>
      </c>
      <c r="N1" s="3070" t="s">
        <v>3117</v>
      </c>
      <c r="O1" s="3070" t="s">
        <v>3118</v>
      </c>
      <c r="P1" s="3070" t="s">
        <v>3119</v>
      </c>
      <c r="Q1" s="3070" t="s">
        <v>3112</v>
      </c>
      <c r="R1" s="3070" t="s">
        <v>3120</v>
      </c>
      <c r="S1" s="3070" t="s">
        <v>3121</v>
      </c>
      <c r="T1" s="3070" t="s">
        <v>3122</v>
      </c>
      <c r="U1" s="3070" t="s">
        <v>3123</v>
      </c>
      <c r="V1" s="3070" t="s">
        <v>3124</v>
      </c>
      <c r="W1" s="3070" t="s">
        <v>3125</v>
      </c>
      <c r="X1" s="3070" t="s">
        <v>3126</v>
      </c>
      <c r="Y1" s="3070" t="s">
        <v>3127</v>
      </c>
      <c r="Z1" s="3070" t="s">
        <v>3128</v>
      </c>
      <c r="AA1" s="3070" t="s">
        <v>3129</v>
      </c>
      <c r="AB1" s="3070" t="s">
        <v>3130</v>
      </c>
      <c r="AC1" s="3070" t="s">
        <v>3131</v>
      </c>
      <c r="AD1" s="3070" t="s">
        <v>3132</v>
      </c>
      <c r="AE1" s="3070" t="s">
        <v>3133</v>
      </c>
      <c r="AF1" s="3070" t="s">
        <v>3134</v>
      </c>
      <c r="AG1" s="3070" t="s">
        <v>3135</v>
      </c>
      <c r="AH1" s="3070" t="s">
        <v>3136</v>
      </c>
      <c r="AI1" s="3070" t="s">
        <v>3137</v>
      </c>
      <c r="AJ1" s="3070" t="s">
        <v>3138</v>
      </c>
      <c r="AK1" s="3070" t="s">
        <v>3139</v>
      </c>
      <c r="AL1" s="3070" t="s">
        <v>3140</v>
      </c>
      <c r="AM1" s="3070" t="s">
        <v>3141</v>
      </c>
      <c r="AN1" s="3070" t="s">
        <v>3142</v>
      </c>
      <c r="AO1" s="3070" t="s">
        <v>3143</v>
      </c>
      <c r="AP1" s="3070" t="s">
        <v>3144</v>
      </c>
      <c r="AQ1" s="3070" t="s">
        <v>3145</v>
      </c>
      <c r="AR1" s="3070" t="s">
        <v>3146</v>
      </c>
      <c r="AS1" s="3070" t="s">
        <v>3147</v>
      </c>
      <c r="AT1" s="3070" t="s">
        <v>3148</v>
      </c>
      <c r="AU1" s="3070" t="s">
        <v>3149</v>
      </c>
      <c r="AV1" s="3070" t="s">
        <v>3150</v>
      </c>
      <c r="AW1" s="3070" t="s">
        <v>3151</v>
      </c>
      <c r="AX1" s="3070" t="s">
        <v>3152</v>
      </c>
      <c r="AY1" s="3070" t="s">
        <v>3153</v>
      </c>
      <c r="AZ1" s="3070" t="s">
        <v>3154</v>
      </c>
      <c r="BA1" s="3070" t="s">
        <v>3155</v>
      </c>
      <c r="BB1" s="3070" t="s">
        <v>3156</v>
      </c>
      <c r="BC1" s="3070" t="s">
        <v>3157</v>
      </c>
      <c r="BD1" s="3070" t="s">
        <v>3070</v>
      </c>
      <c r="BE1" s="3070" t="s">
        <v>3158</v>
      </c>
      <c r="BF1" s="3070" t="s">
        <v>3159</v>
      </c>
      <c r="BG1" s="3070" t="s">
        <v>3160</v>
      </c>
      <c r="BH1" s="3070" t="s">
        <v>3161</v>
      </c>
      <c r="BI1" s="3070" t="s">
        <v>3162</v>
      </c>
      <c r="BJ1" s="3070" t="s">
        <v>3163</v>
      </c>
      <c r="BK1" s="3070" t="s">
        <v>3164</v>
      </c>
      <c r="BL1" s="3070" t="s">
        <v>3165</v>
      </c>
      <c r="BM1" s="3070" t="s">
        <v>3166</v>
      </c>
      <c r="BN1" s="3070" t="s">
        <v>3167</v>
      </c>
      <c r="BO1" s="3070" t="s">
        <v>3168</v>
      </c>
      <c r="BP1" s="3070" t="s">
        <v>3169</v>
      </c>
      <c r="BQ1" s="3070" t="s">
        <v>3170</v>
      </c>
      <c r="BR1" s="3070" t="s">
        <v>3171</v>
      </c>
      <c r="BS1" s="3070" t="s">
        <v>3172</v>
      </c>
      <c r="BT1" s="3070" t="s">
        <v>3173</v>
      </c>
      <c r="BU1" s="3070" t="s">
        <v>3174</v>
      </c>
      <c r="BV1" s="3070" t="s">
        <v>3175</v>
      </c>
      <c r="BW1" s="3070" t="s">
        <v>3176</v>
      </c>
      <c r="BX1" s="3070" t="s">
        <v>3177</v>
      </c>
      <c r="BY1" s="3070" t="s">
        <v>3178</v>
      </c>
      <c r="BZ1" s="3070" t="s">
        <v>3179</v>
      </c>
      <c r="CA1" s="3070" t="s">
        <v>3180</v>
      </c>
      <c r="CB1" s="3070" t="s">
        <v>3181</v>
      </c>
      <c r="CC1" s="3070" t="s">
        <v>3182</v>
      </c>
      <c r="CD1" s="3070" t="s">
        <v>3183</v>
      </c>
      <c r="CE1" s="3070" t="s">
        <v>3184</v>
      </c>
      <c r="CF1" s="3070" t="s">
        <v>3185</v>
      </c>
      <c r="CG1" s="3070" t="s">
        <v>3186</v>
      </c>
      <c r="CH1" s="3070" t="s">
        <v>3187</v>
      </c>
      <c r="CI1" s="3070" t="s">
        <v>3188</v>
      </c>
      <c r="CJ1" s="3070" t="s">
        <v>3189</v>
      </c>
      <c r="CK1" s="3070" t="s">
        <v>3190</v>
      </c>
      <c r="CL1" s="3070" t="s">
        <v>3191</v>
      </c>
      <c r="CM1" s="3070" t="s">
        <v>3192</v>
      </c>
      <c r="CN1" s="3070" t="s">
        <v>3193</v>
      </c>
      <c r="CO1" s="3070" t="s">
        <v>3194</v>
      </c>
      <c r="CP1" s="3070" t="s">
        <v>3195</v>
      </c>
      <c r="CQ1" s="3070" t="s">
        <v>3196</v>
      </c>
      <c r="CR1" s="3070" t="s">
        <v>3197</v>
      </c>
      <c r="CS1" s="3070" t="s">
        <v>3198</v>
      </c>
      <c r="CT1" s="3070" t="s">
        <v>3199</v>
      </c>
      <c r="CU1" s="3070" t="s">
        <v>3200</v>
      </c>
      <c r="CV1" s="3070" t="s">
        <v>3201</v>
      </c>
      <c r="CW1" s="3070" t="s">
        <v>3202</v>
      </c>
      <c r="CX1" s="3070" t="s">
        <v>3203</v>
      </c>
      <c r="CY1" s="3070" t="s">
        <v>3204</v>
      </c>
      <c r="CZ1" s="3070" t="s">
        <v>3205</v>
      </c>
      <c r="DA1" s="3070" t="s">
        <v>3206</v>
      </c>
      <c r="DB1" s="3070" t="s">
        <v>3207</v>
      </c>
      <c r="DC1" s="3070" t="s">
        <v>3208</v>
      </c>
      <c r="DD1" s="3070" t="s">
        <v>3209</v>
      </c>
      <c r="DE1" s="3070" t="s">
        <v>3210</v>
      </c>
      <c r="DF1" s="3070" t="s">
        <v>3211</v>
      </c>
      <c r="DG1" s="3070" t="s">
        <v>3212</v>
      </c>
      <c r="DH1" s="3070" t="s">
        <v>3213</v>
      </c>
      <c r="DI1" s="3070" t="s">
        <v>3214</v>
      </c>
      <c r="DJ1" s="3070" t="s">
        <v>3215</v>
      </c>
      <c r="DK1" s="3070" t="s">
        <v>3216</v>
      </c>
      <c r="DL1" s="3070" t="s">
        <v>3217</v>
      </c>
      <c r="DM1" s="3070" t="s">
        <v>3218</v>
      </c>
      <c r="DN1" s="3070" t="s">
        <v>3219</v>
      </c>
      <c r="DO1" s="3070" t="s">
        <v>3220</v>
      </c>
      <c r="DP1" s="3070" t="s">
        <v>3221</v>
      </c>
      <c r="DQ1" s="3070" t="s">
        <v>3222</v>
      </c>
      <c r="DR1" s="3070" t="s">
        <v>3223</v>
      </c>
    </row>
    <row r="2" spans="1:122">
      <c r="A2" s="3070">
        <v>1</v>
      </c>
      <c r="B2" s="3070" t="s">
        <v>3224</v>
      </c>
      <c r="C2" s="3070">
        <v>1</v>
      </c>
      <c r="E2" s="3070">
        <v>1001</v>
      </c>
      <c r="F2" s="3070" t="s">
        <v>3225</v>
      </c>
      <c r="G2" s="3070" t="s">
        <v>3226</v>
      </c>
      <c r="H2" s="3071">
        <v>1166054</v>
      </c>
      <c r="I2" s="3070">
        <v>1166054</v>
      </c>
      <c r="J2" s="3070">
        <v>93.07</v>
      </c>
      <c r="K2" s="3070">
        <v>66.5</v>
      </c>
      <c r="L2" s="3070">
        <v>0</v>
      </c>
      <c r="M2" s="3070">
        <v>0</v>
      </c>
      <c r="N2" s="3070">
        <v>15594.45</v>
      </c>
      <c r="O2" s="3070">
        <v>1451375</v>
      </c>
      <c r="P2" s="3070">
        <v>12528.78</v>
      </c>
      <c r="Q2" s="3070">
        <v>1166054</v>
      </c>
      <c r="R2" s="3070" t="s">
        <v>3227</v>
      </c>
      <c r="S2" s="3070" t="s">
        <v>3228</v>
      </c>
      <c r="T2" s="3070" t="s">
        <v>3229</v>
      </c>
      <c r="V2" s="3070" t="s">
        <v>3230</v>
      </c>
      <c r="Y2" s="3070">
        <v>349816</v>
      </c>
      <c r="Z2" s="3070">
        <v>349816</v>
      </c>
      <c r="AA2" s="3070">
        <v>1166054</v>
      </c>
      <c r="AB2" s="3070">
        <v>0</v>
      </c>
      <c r="AC2" s="3070">
        <v>0</v>
      </c>
      <c r="AD2" s="3070">
        <v>0</v>
      </c>
      <c r="AE2" s="3070">
        <v>0</v>
      </c>
      <c r="AI2" s="3070" t="s">
        <v>3227</v>
      </c>
      <c r="AJ2" s="3070">
        <v>0</v>
      </c>
      <c r="AK2" s="3070">
        <v>0</v>
      </c>
      <c r="AL2" s="3070">
        <v>0</v>
      </c>
      <c r="AM2" s="3070">
        <v>12528.78</v>
      </c>
      <c r="AN2" s="3070">
        <v>1166054</v>
      </c>
      <c r="AP2" s="3070">
        <v>1166054</v>
      </c>
      <c r="AQ2" s="3072">
        <v>45138</v>
      </c>
      <c r="AT2" s="3073">
        <v>45678</v>
      </c>
      <c r="AV2" s="3074">
        <v>3.21E+17</v>
      </c>
      <c r="AW2" s="3070" t="s">
        <v>3231</v>
      </c>
      <c r="AX2" s="3070" t="s">
        <v>3232</v>
      </c>
      <c r="AY2" s="3070" t="s">
        <v>3233</v>
      </c>
      <c r="BC2" s="3070" t="s">
        <v>3234</v>
      </c>
      <c r="BD2" s="3070" t="s">
        <v>3077</v>
      </c>
      <c r="BI2" s="3070" t="s">
        <v>3235</v>
      </c>
      <c r="BJ2" s="3070" t="s">
        <v>3236</v>
      </c>
      <c r="BL2" s="3070" t="s">
        <v>3237</v>
      </c>
      <c r="BM2" s="3075">
        <v>44197</v>
      </c>
      <c r="BN2" s="3070">
        <v>1</v>
      </c>
      <c r="BR2" s="3070">
        <v>352</v>
      </c>
      <c r="BS2" s="3070" t="s">
        <v>3238</v>
      </c>
      <c r="BT2" s="3070" t="s">
        <v>3086</v>
      </c>
      <c r="BZ2" s="3073">
        <v>44142.611111111109</v>
      </c>
      <c r="CA2" s="3070">
        <v>1</v>
      </c>
      <c r="CB2" s="3070" t="s">
        <v>3086</v>
      </c>
      <c r="CD2" s="3070" t="s">
        <v>3239</v>
      </c>
      <c r="CF2" s="3070" t="s">
        <v>3091</v>
      </c>
      <c r="CH2" s="3070" t="s">
        <v>3240</v>
      </c>
      <c r="CI2" s="3070">
        <v>0</v>
      </c>
      <c r="CK2" s="3070" t="s">
        <v>3233</v>
      </c>
      <c r="CL2" s="3070" t="s">
        <v>3233</v>
      </c>
      <c r="CM2" s="3070">
        <v>1069774.31</v>
      </c>
      <c r="CV2" s="3070" t="s">
        <v>3229</v>
      </c>
      <c r="CW2" s="3070" t="s">
        <v>3241</v>
      </c>
      <c r="CX2" s="3070" t="s">
        <v>3242</v>
      </c>
      <c r="CZ2" s="3070">
        <v>213894.57</v>
      </c>
      <c r="DA2" s="3070">
        <v>159426.93</v>
      </c>
      <c r="DB2" s="3070">
        <v>0</v>
      </c>
      <c r="DC2" s="3070">
        <v>0</v>
      </c>
      <c r="DD2" s="3070">
        <v>3290547602</v>
      </c>
      <c r="DE2" s="3070">
        <v>2764253109</v>
      </c>
      <c r="DF2" s="3070">
        <v>1464966739</v>
      </c>
      <c r="DG2" s="3070">
        <v>14938370</v>
      </c>
      <c r="DH2" s="3070">
        <v>1284348000</v>
      </c>
      <c r="DI2" s="3070">
        <v>1278128000</v>
      </c>
      <c r="DJ2" s="3070">
        <v>6220000</v>
      </c>
      <c r="DK2" s="3070">
        <v>0</v>
      </c>
      <c r="DL2" s="3070">
        <v>0</v>
      </c>
      <c r="DM2" s="3070">
        <v>25491817.620000001</v>
      </c>
      <c r="DN2" s="3070">
        <v>2764253109</v>
      </c>
      <c r="DP2" s="3070">
        <v>2764253109</v>
      </c>
    </row>
    <row r="3" spans="1:122">
      <c r="A3" s="3070">
        <v>2</v>
      </c>
      <c r="B3" s="3070" t="s">
        <v>3224</v>
      </c>
      <c r="C3" s="3070">
        <v>1</v>
      </c>
      <c r="E3" s="3070">
        <v>1002</v>
      </c>
      <c r="F3" s="3070" t="s">
        <v>3243</v>
      </c>
      <c r="G3" s="3070" t="s">
        <v>3244</v>
      </c>
      <c r="H3" s="3070">
        <v>1177832</v>
      </c>
      <c r="I3" s="3070">
        <v>1177832</v>
      </c>
      <c r="J3" s="3070">
        <v>93.07</v>
      </c>
      <c r="K3" s="3070">
        <v>66.5</v>
      </c>
      <c r="L3" s="3070">
        <v>0</v>
      </c>
      <c r="M3" s="3070">
        <v>0</v>
      </c>
      <c r="N3" s="3070">
        <v>15594.45</v>
      </c>
      <c r="O3" s="3070">
        <v>1451375</v>
      </c>
      <c r="P3" s="3070">
        <v>12655.33</v>
      </c>
      <c r="Q3" s="3070">
        <v>1177832</v>
      </c>
      <c r="R3" s="3070" t="s">
        <v>3227</v>
      </c>
      <c r="S3" s="3070" t="s">
        <v>3245</v>
      </c>
      <c r="T3" s="3070" t="s">
        <v>3246</v>
      </c>
      <c r="U3" s="3070" t="s">
        <v>3247</v>
      </c>
      <c r="V3" s="3070" t="s">
        <v>3230</v>
      </c>
      <c r="Y3" s="3070">
        <v>357832</v>
      </c>
      <c r="Z3" s="3070">
        <v>357832</v>
      </c>
      <c r="AA3" s="3070">
        <v>357832</v>
      </c>
      <c r="AB3" s="3070">
        <v>0</v>
      </c>
      <c r="AC3" s="3070">
        <v>820000</v>
      </c>
      <c r="AD3" s="3070">
        <v>820000</v>
      </c>
      <c r="AE3" s="3070">
        <v>0</v>
      </c>
      <c r="AI3" s="3070" t="s">
        <v>3227</v>
      </c>
      <c r="AJ3" s="3070">
        <v>0</v>
      </c>
      <c r="AK3" s="3070">
        <v>0</v>
      </c>
      <c r="AL3" s="3070">
        <v>0</v>
      </c>
      <c r="AM3" s="3070">
        <v>12655.33</v>
      </c>
      <c r="AN3" s="3070">
        <v>1177832</v>
      </c>
      <c r="AP3" s="3070">
        <v>1177832</v>
      </c>
      <c r="AQ3" s="3072">
        <v>45138</v>
      </c>
      <c r="AT3" s="3073">
        <v>45678</v>
      </c>
      <c r="AV3" s="3074">
        <v>3.21E+17</v>
      </c>
      <c r="AW3" s="3070" t="s">
        <v>3248</v>
      </c>
      <c r="AX3" s="3070" t="s">
        <v>3249</v>
      </c>
      <c r="AY3" s="3070" t="s">
        <v>3250</v>
      </c>
      <c r="BC3" s="3070" t="s">
        <v>3251</v>
      </c>
      <c r="BD3" s="3070" t="s">
        <v>3077</v>
      </c>
      <c r="BI3" s="3070" t="s">
        <v>3235</v>
      </c>
      <c r="BL3" s="3070" t="s">
        <v>3252</v>
      </c>
      <c r="BM3" s="3075">
        <v>44197</v>
      </c>
      <c r="BN3" s="3070">
        <v>2</v>
      </c>
      <c r="BO3" s="3070" t="s">
        <v>3253</v>
      </c>
      <c r="BR3" s="3070">
        <v>73</v>
      </c>
      <c r="BS3" s="3070" t="s">
        <v>3238</v>
      </c>
      <c r="BT3" s="3070" t="s">
        <v>3086</v>
      </c>
      <c r="BZ3" s="3073">
        <v>44142.61041666667</v>
      </c>
      <c r="CA3" s="3070">
        <v>1</v>
      </c>
      <c r="CB3" s="3070" t="s">
        <v>3086</v>
      </c>
      <c r="CD3" s="3070" t="s">
        <v>3239</v>
      </c>
      <c r="CF3" s="3070" t="s">
        <v>3091</v>
      </c>
      <c r="CH3" s="3070" t="s">
        <v>3240</v>
      </c>
      <c r="CI3" s="3070">
        <v>0</v>
      </c>
      <c r="CK3" s="3070" t="s">
        <v>3250</v>
      </c>
      <c r="CL3" s="3070" t="s">
        <v>3250</v>
      </c>
      <c r="CM3" s="3070">
        <v>1080579.82</v>
      </c>
      <c r="CV3" s="3070" t="s">
        <v>3246</v>
      </c>
      <c r="CW3" s="3070" t="s">
        <v>3254</v>
      </c>
      <c r="CZ3" s="3070">
        <v>213894.57</v>
      </c>
      <c r="DA3" s="3070">
        <v>159426.93</v>
      </c>
      <c r="DB3" s="3070">
        <v>0</v>
      </c>
      <c r="DC3" s="3070">
        <v>0</v>
      </c>
      <c r="DD3" s="3070">
        <v>3290547602</v>
      </c>
      <c r="DE3" s="3070">
        <v>2764253109</v>
      </c>
      <c r="DF3" s="3070">
        <v>1464966739</v>
      </c>
      <c r="DG3" s="3070">
        <v>14938370</v>
      </c>
      <c r="DH3" s="3070">
        <v>1284348000</v>
      </c>
      <c r="DI3" s="3070">
        <v>1278128000</v>
      </c>
      <c r="DJ3" s="3070">
        <v>6220000</v>
      </c>
      <c r="DK3" s="3070">
        <v>0</v>
      </c>
      <c r="DL3" s="3070">
        <v>0</v>
      </c>
      <c r="DM3" s="3070">
        <v>25491817.620000001</v>
      </c>
      <c r="DN3" s="3070">
        <v>2764253109</v>
      </c>
      <c r="DP3" s="3070">
        <v>2764253109</v>
      </c>
    </row>
    <row r="4" spans="1:122">
      <c r="A4" s="3070">
        <v>3</v>
      </c>
      <c r="B4" s="3070" t="s">
        <v>3224</v>
      </c>
      <c r="C4" s="3070">
        <v>1</v>
      </c>
      <c r="E4" s="3070">
        <v>1003</v>
      </c>
      <c r="F4" s="3070" t="s">
        <v>3255</v>
      </c>
      <c r="G4" s="3070" t="s">
        <v>3256</v>
      </c>
      <c r="H4" s="3070">
        <v>1177832</v>
      </c>
      <c r="I4" s="3070">
        <v>1177832</v>
      </c>
      <c r="J4" s="3070">
        <v>93.07</v>
      </c>
      <c r="K4" s="3070">
        <v>66.5</v>
      </c>
      <c r="L4" s="3070">
        <v>0</v>
      </c>
      <c r="M4" s="3070">
        <v>0</v>
      </c>
      <c r="N4" s="3070">
        <v>15594.45</v>
      </c>
      <c r="O4" s="3070">
        <v>1451375</v>
      </c>
      <c r="P4" s="3070">
        <v>12655.33</v>
      </c>
      <c r="Q4" s="3070">
        <v>1177832</v>
      </c>
      <c r="R4" s="3070" t="s">
        <v>3227</v>
      </c>
      <c r="S4" s="3070" t="s">
        <v>3257</v>
      </c>
      <c r="T4" s="3070" t="s">
        <v>3258</v>
      </c>
      <c r="U4" s="3070" t="s">
        <v>3259</v>
      </c>
      <c r="V4" s="3070" t="s">
        <v>3230</v>
      </c>
      <c r="Y4" s="3070">
        <v>357832</v>
      </c>
      <c r="Z4" s="3070">
        <v>357832</v>
      </c>
      <c r="AA4" s="3070">
        <v>357832</v>
      </c>
      <c r="AB4" s="3070">
        <v>0</v>
      </c>
      <c r="AC4" s="3070">
        <v>820000</v>
      </c>
      <c r="AD4" s="3070">
        <v>820000</v>
      </c>
      <c r="AE4" s="3070">
        <v>0</v>
      </c>
      <c r="AI4" s="3070" t="s">
        <v>3227</v>
      </c>
      <c r="AJ4" s="3070">
        <v>0</v>
      </c>
      <c r="AK4" s="3070">
        <v>0</v>
      </c>
      <c r="AL4" s="3070">
        <v>0</v>
      </c>
      <c r="AM4" s="3070">
        <v>12655.33</v>
      </c>
      <c r="AN4" s="3070">
        <v>1177832</v>
      </c>
      <c r="AP4" s="3070">
        <v>1177832</v>
      </c>
      <c r="AQ4" s="3072">
        <v>45138</v>
      </c>
      <c r="AT4" s="3073">
        <v>45678</v>
      </c>
      <c r="AV4" s="3074">
        <v>3.21E+17</v>
      </c>
      <c r="AW4" s="3070" t="s">
        <v>3260</v>
      </c>
      <c r="AX4" s="3070" t="s">
        <v>3261</v>
      </c>
      <c r="AY4" s="3070" t="s">
        <v>3262</v>
      </c>
      <c r="BC4" s="3070" t="s">
        <v>3263</v>
      </c>
      <c r="BD4" s="3070" t="s">
        <v>3077</v>
      </c>
      <c r="BI4" s="3070" t="s">
        <v>3235</v>
      </c>
      <c r="BJ4" s="3070" t="s">
        <v>3264</v>
      </c>
      <c r="BL4" s="3070" t="s">
        <v>3265</v>
      </c>
      <c r="BM4" s="3075">
        <v>44197</v>
      </c>
      <c r="BN4" s="3070">
        <v>3</v>
      </c>
      <c r="BO4" s="3070" t="s">
        <v>3253</v>
      </c>
      <c r="BP4" s="3070" t="s">
        <v>3253</v>
      </c>
      <c r="BR4" s="3070">
        <v>122</v>
      </c>
      <c r="BS4" s="3070" t="s">
        <v>3238</v>
      </c>
      <c r="BT4" s="3070" t="s">
        <v>3086</v>
      </c>
      <c r="BZ4" s="3073">
        <v>44142.627083333333</v>
      </c>
      <c r="CA4" s="3070">
        <v>1</v>
      </c>
      <c r="CB4" s="3070" t="s">
        <v>3086</v>
      </c>
      <c r="CD4" s="3070" t="s">
        <v>3239</v>
      </c>
      <c r="CF4" s="3070" t="s">
        <v>3091</v>
      </c>
      <c r="CH4" s="3070" t="s">
        <v>3240</v>
      </c>
      <c r="CI4" s="3070">
        <v>0</v>
      </c>
      <c r="CJ4" s="3070" t="s">
        <v>3259</v>
      </c>
      <c r="CK4" s="3070" t="s">
        <v>3262</v>
      </c>
      <c r="CL4" s="3070" t="s">
        <v>3262</v>
      </c>
      <c r="CM4" s="3070">
        <v>1080579.81</v>
      </c>
      <c r="CV4" s="3070" t="s">
        <v>3258</v>
      </c>
      <c r="CW4" s="3070" t="s">
        <v>3266</v>
      </c>
      <c r="CX4" s="3070" t="s">
        <v>3267</v>
      </c>
      <c r="CZ4" s="3070">
        <v>213894.57</v>
      </c>
      <c r="DA4" s="3070">
        <v>159426.93</v>
      </c>
      <c r="DB4" s="3070">
        <v>0</v>
      </c>
      <c r="DC4" s="3070">
        <v>0</v>
      </c>
      <c r="DD4" s="3070">
        <v>3290547602</v>
      </c>
      <c r="DE4" s="3070">
        <v>2764253109</v>
      </c>
      <c r="DF4" s="3070">
        <v>1464966739</v>
      </c>
      <c r="DG4" s="3070">
        <v>14938370</v>
      </c>
      <c r="DH4" s="3070">
        <v>1284348000</v>
      </c>
      <c r="DI4" s="3070">
        <v>1278128000</v>
      </c>
      <c r="DJ4" s="3070">
        <v>6220000</v>
      </c>
      <c r="DK4" s="3070">
        <v>0</v>
      </c>
      <c r="DL4" s="3070">
        <v>0</v>
      </c>
      <c r="DM4" s="3070">
        <v>25491817.620000001</v>
      </c>
      <c r="DN4" s="3070">
        <v>2764253109</v>
      </c>
      <c r="DP4" s="3070">
        <v>2764253109</v>
      </c>
    </row>
    <row r="5" spans="1:122">
      <c r="A5" s="3070">
        <v>4</v>
      </c>
      <c r="B5" s="3070" t="s">
        <v>3224</v>
      </c>
      <c r="C5" s="3070">
        <v>1</v>
      </c>
      <c r="E5" s="3070">
        <v>1004</v>
      </c>
      <c r="F5" s="3070" t="s">
        <v>3268</v>
      </c>
      <c r="G5" s="3070" t="s">
        <v>3269</v>
      </c>
      <c r="H5" s="3070">
        <v>1177832</v>
      </c>
      <c r="I5" s="3070">
        <v>1177832</v>
      </c>
      <c r="J5" s="3070">
        <v>93.07</v>
      </c>
      <c r="K5" s="3070">
        <v>66.5</v>
      </c>
      <c r="L5" s="3070">
        <v>0</v>
      </c>
      <c r="M5" s="3070">
        <v>0</v>
      </c>
      <c r="N5" s="3070">
        <v>15594.45</v>
      </c>
      <c r="O5" s="3070">
        <v>1451375</v>
      </c>
      <c r="P5" s="3070">
        <v>12655.33</v>
      </c>
      <c r="Q5" s="3070">
        <v>1177832</v>
      </c>
      <c r="R5" s="3070" t="s">
        <v>3227</v>
      </c>
      <c r="S5" s="3070" t="s">
        <v>3270</v>
      </c>
      <c r="T5" s="3070" t="s">
        <v>3258</v>
      </c>
      <c r="U5" s="3070" t="s">
        <v>3259</v>
      </c>
      <c r="V5" s="3070" t="s">
        <v>3230</v>
      </c>
      <c r="Y5" s="3070">
        <v>717832</v>
      </c>
      <c r="Z5" s="3070">
        <v>717832</v>
      </c>
      <c r="AA5" s="3070">
        <v>717832</v>
      </c>
      <c r="AB5" s="3070">
        <v>0</v>
      </c>
      <c r="AC5" s="3070">
        <v>460000</v>
      </c>
      <c r="AD5" s="3070">
        <v>460000</v>
      </c>
      <c r="AE5" s="3070">
        <v>0</v>
      </c>
      <c r="AI5" s="3070" t="s">
        <v>3227</v>
      </c>
      <c r="AJ5" s="3070">
        <v>0</v>
      </c>
      <c r="AK5" s="3070">
        <v>0</v>
      </c>
      <c r="AL5" s="3070">
        <v>0</v>
      </c>
      <c r="AM5" s="3070">
        <v>12655.33</v>
      </c>
      <c r="AN5" s="3070">
        <v>1177832</v>
      </c>
      <c r="AP5" s="3070">
        <v>1177832</v>
      </c>
      <c r="AQ5" s="3072">
        <v>45138</v>
      </c>
      <c r="AT5" s="3073">
        <v>45678</v>
      </c>
      <c r="AV5" s="3074">
        <v>3.21E+17</v>
      </c>
      <c r="AW5" s="3070" t="s">
        <v>3271</v>
      </c>
      <c r="AX5" s="3070" t="s">
        <v>3272</v>
      </c>
      <c r="AY5" s="3070" t="s">
        <v>3273</v>
      </c>
      <c r="BC5" s="3070" t="s">
        <v>3263</v>
      </c>
      <c r="BD5" s="3070" t="s">
        <v>3077</v>
      </c>
      <c r="BI5" s="3070" t="s">
        <v>3235</v>
      </c>
      <c r="BL5" s="3070" t="s">
        <v>3274</v>
      </c>
      <c r="BM5" s="3075">
        <v>44197</v>
      </c>
      <c r="BN5" s="3070">
        <v>4</v>
      </c>
      <c r="BO5" s="3070" t="s">
        <v>3253</v>
      </c>
      <c r="BP5" s="3070" t="s">
        <v>3253</v>
      </c>
      <c r="BR5" s="3070">
        <v>601</v>
      </c>
      <c r="BS5" s="3070" t="s">
        <v>3238</v>
      </c>
      <c r="BT5" s="3070" t="s">
        <v>3086</v>
      </c>
      <c r="BZ5" s="3073">
        <v>44142.59097222222</v>
      </c>
      <c r="CA5" s="3070">
        <v>1</v>
      </c>
      <c r="CB5" s="3070" t="s">
        <v>3086</v>
      </c>
      <c r="CD5" s="3070" t="s">
        <v>3239</v>
      </c>
      <c r="CF5" s="3070" t="s">
        <v>3091</v>
      </c>
      <c r="CH5" s="3070" t="s">
        <v>3240</v>
      </c>
      <c r="CI5" s="3070">
        <v>0</v>
      </c>
      <c r="CJ5" s="3070" t="s">
        <v>3259</v>
      </c>
      <c r="CK5" s="3070" t="s">
        <v>3273</v>
      </c>
      <c r="CL5" s="3070" t="s">
        <v>3273</v>
      </c>
      <c r="CM5" s="3070">
        <v>1080579.81</v>
      </c>
      <c r="CV5" s="3070" t="s">
        <v>3258</v>
      </c>
      <c r="CW5" s="3070" t="s">
        <v>3275</v>
      </c>
      <c r="CX5" s="3070" t="s">
        <v>3242</v>
      </c>
      <c r="CZ5" s="3070">
        <v>213894.57</v>
      </c>
      <c r="DA5" s="3070">
        <v>159426.93</v>
      </c>
      <c r="DB5" s="3070">
        <v>0</v>
      </c>
      <c r="DC5" s="3070">
        <v>0</v>
      </c>
      <c r="DD5" s="3070">
        <v>3290547602</v>
      </c>
      <c r="DE5" s="3070">
        <v>2764253109</v>
      </c>
      <c r="DF5" s="3070">
        <v>1464966739</v>
      </c>
      <c r="DG5" s="3070">
        <v>14938370</v>
      </c>
      <c r="DH5" s="3070">
        <v>1284348000</v>
      </c>
      <c r="DI5" s="3070">
        <v>1278128000</v>
      </c>
      <c r="DJ5" s="3070">
        <v>6220000</v>
      </c>
      <c r="DK5" s="3070">
        <v>0</v>
      </c>
      <c r="DL5" s="3070">
        <v>0</v>
      </c>
      <c r="DM5" s="3070">
        <v>25491817.620000001</v>
      </c>
      <c r="DN5" s="3070">
        <v>2764253109</v>
      </c>
      <c r="DP5" s="3070">
        <v>2764253109</v>
      </c>
    </row>
    <row r="6" spans="1:122">
      <c r="A6" s="3070">
        <v>5</v>
      </c>
      <c r="B6" s="3070" t="s">
        <v>3224</v>
      </c>
      <c r="C6" s="3070">
        <v>1</v>
      </c>
      <c r="E6" s="3070">
        <v>1101</v>
      </c>
      <c r="F6" s="3070" t="s">
        <v>3276</v>
      </c>
      <c r="G6" s="3070" t="s">
        <v>3277</v>
      </c>
      <c r="H6" s="3070">
        <v>1182256</v>
      </c>
      <c r="I6" s="3070">
        <v>1182256</v>
      </c>
      <c r="J6" s="3070">
        <v>93.07</v>
      </c>
      <c r="K6" s="3070">
        <v>66.5</v>
      </c>
      <c r="L6" s="3070">
        <v>0</v>
      </c>
      <c r="M6" s="3070">
        <v>0</v>
      </c>
      <c r="N6" s="3070">
        <v>15644.44</v>
      </c>
      <c r="O6" s="3070">
        <v>1456028</v>
      </c>
      <c r="P6" s="3070">
        <v>12702.87</v>
      </c>
      <c r="Q6" s="3070">
        <v>1182256</v>
      </c>
      <c r="R6" s="3070" t="s">
        <v>3227</v>
      </c>
      <c r="S6" s="3070" t="s">
        <v>3278</v>
      </c>
      <c r="T6" s="3070" t="s">
        <v>3246</v>
      </c>
      <c r="U6" s="3070" t="s">
        <v>3279</v>
      </c>
      <c r="V6" s="3070" t="s">
        <v>3230</v>
      </c>
      <c r="Y6" s="3070">
        <v>502256</v>
      </c>
      <c r="Z6" s="3070">
        <v>502256</v>
      </c>
      <c r="AA6" s="3070">
        <v>502256</v>
      </c>
      <c r="AB6" s="3070">
        <v>0</v>
      </c>
      <c r="AC6" s="3070">
        <v>680000</v>
      </c>
      <c r="AD6" s="3070">
        <v>680000</v>
      </c>
      <c r="AE6" s="3070">
        <v>0</v>
      </c>
      <c r="AI6" s="3070" t="s">
        <v>3227</v>
      </c>
      <c r="AJ6" s="3070">
        <v>0</v>
      </c>
      <c r="AK6" s="3070">
        <v>0</v>
      </c>
      <c r="AL6" s="3070">
        <v>0</v>
      </c>
      <c r="AM6" s="3070">
        <v>12702.87</v>
      </c>
      <c r="AN6" s="3070">
        <v>1182256</v>
      </c>
      <c r="AP6" s="3070">
        <v>1182256</v>
      </c>
      <c r="AQ6" s="3072">
        <v>45138</v>
      </c>
      <c r="AT6" s="3073">
        <v>45678</v>
      </c>
      <c r="AV6" s="3070" t="s">
        <v>3280</v>
      </c>
      <c r="AW6" s="3070" t="s">
        <v>3281</v>
      </c>
      <c r="AX6" s="3070" t="s">
        <v>3282</v>
      </c>
      <c r="AY6" s="3070" t="s">
        <v>3283</v>
      </c>
      <c r="BC6" s="3070" t="s">
        <v>3284</v>
      </c>
      <c r="BD6" s="3070" t="s">
        <v>3077</v>
      </c>
      <c r="BI6" s="3070" t="s">
        <v>3235</v>
      </c>
      <c r="BJ6" s="3070" t="s">
        <v>3285</v>
      </c>
      <c r="BL6" s="3070" t="s">
        <v>3286</v>
      </c>
      <c r="BM6" s="3075">
        <v>44197</v>
      </c>
      <c r="BN6" s="3070">
        <v>101</v>
      </c>
      <c r="BO6" s="3070" t="s">
        <v>3253</v>
      </c>
      <c r="BR6" s="3070">
        <v>52</v>
      </c>
      <c r="BS6" s="3070" t="s">
        <v>3238</v>
      </c>
      <c r="BT6" s="3070" t="s">
        <v>3086</v>
      </c>
      <c r="BZ6" s="3073">
        <v>44142.649305555555</v>
      </c>
      <c r="CA6" s="3070">
        <v>1</v>
      </c>
      <c r="CB6" s="3070" t="s">
        <v>3086</v>
      </c>
      <c r="CD6" s="3070" t="s">
        <v>3239</v>
      </c>
      <c r="CF6" s="3070" t="s">
        <v>3091</v>
      </c>
      <c r="CH6" s="3070" t="s">
        <v>3240</v>
      </c>
      <c r="CI6" s="3070">
        <v>0</v>
      </c>
      <c r="CK6" s="3070" t="s">
        <v>3283</v>
      </c>
      <c r="CL6" s="3070" t="s">
        <v>3283</v>
      </c>
      <c r="CM6" s="3070">
        <v>1084638.53</v>
      </c>
      <c r="CV6" s="3070" t="s">
        <v>3246</v>
      </c>
      <c r="CW6" s="3070" t="s">
        <v>3287</v>
      </c>
      <c r="CX6" s="3070" t="s">
        <v>3267</v>
      </c>
      <c r="CZ6" s="3070">
        <v>213894.57</v>
      </c>
      <c r="DA6" s="3070">
        <v>159426.93</v>
      </c>
      <c r="DB6" s="3070">
        <v>0</v>
      </c>
      <c r="DC6" s="3070">
        <v>0</v>
      </c>
      <c r="DD6" s="3070">
        <v>3290547602</v>
      </c>
      <c r="DE6" s="3070">
        <v>2764253109</v>
      </c>
      <c r="DF6" s="3070">
        <v>1464966739</v>
      </c>
      <c r="DG6" s="3070">
        <v>14938370</v>
      </c>
      <c r="DH6" s="3070">
        <v>1284348000</v>
      </c>
      <c r="DI6" s="3070">
        <v>1278128000</v>
      </c>
      <c r="DJ6" s="3070">
        <v>6220000</v>
      </c>
      <c r="DK6" s="3070">
        <v>0</v>
      </c>
      <c r="DL6" s="3070">
        <v>0</v>
      </c>
      <c r="DM6" s="3070">
        <v>25491817.620000001</v>
      </c>
      <c r="DN6" s="3070">
        <v>2764253109</v>
      </c>
      <c r="DP6" s="3070">
        <v>2764253109</v>
      </c>
    </row>
    <row r="7" spans="1:122">
      <c r="A7" s="3070">
        <v>6</v>
      </c>
      <c r="B7" s="3070" t="s">
        <v>3224</v>
      </c>
      <c r="C7" s="3070">
        <v>1</v>
      </c>
      <c r="E7" s="3070">
        <v>1102</v>
      </c>
      <c r="F7" s="3070" t="s">
        <v>3288</v>
      </c>
      <c r="G7" s="3070" t="s">
        <v>3289</v>
      </c>
      <c r="H7" s="3070">
        <v>1182256</v>
      </c>
      <c r="I7" s="3070">
        <v>1182256</v>
      </c>
      <c r="J7" s="3070">
        <v>93.07</v>
      </c>
      <c r="K7" s="3070">
        <v>66.5</v>
      </c>
      <c r="L7" s="3070">
        <v>0</v>
      </c>
      <c r="M7" s="3070">
        <v>0</v>
      </c>
      <c r="N7" s="3070">
        <v>15644.44</v>
      </c>
      <c r="O7" s="3070">
        <v>1456028</v>
      </c>
      <c r="P7" s="3070">
        <v>12702.87</v>
      </c>
      <c r="Q7" s="3070">
        <v>1182256</v>
      </c>
      <c r="R7" s="3070" t="s">
        <v>3227</v>
      </c>
      <c r="S7" s="3070" t="s">
        <v>3290</v>
      </c>
      <c r="T7" s="3070" t="s">
        <v>3258</v>
      </c>
      <c r="U7" s="3070" t="s">
        <v>3259</v>
      </c>
      <c r="V7" s="3070" t="s">
        <v>3230</v>
      </c>
      <c r="Y7" s="3070">
        <v>512256</v>
      </c>
      <c r="Z7" s="3070">
        <v>512256</v>
      </c>
      <c r="AA7" s="3070">
        <v>512256</v>
      </c>
      <c r="AB7" s="3070">
        <v>0</v>
      </c>
      <c r="AC7" s="3070">
        <v>670000</v>
      </c>
      <c r="AD7" s="3070">
        <v>670000</v>
      </c>
      <c r="AE7" s="3070">
        <v>0</v>
      </c>
      <c r="AI7" s="3070" t="s">
        <v>3227</v>
      </c>
      <c r="AJ7" s="3070">
        <v>0</v>
      </c>
      <c r="AK7" s="3070">
        <v>0</v>
      </c>
      <c r="AL7" s="3070">
        <v>0</v>
      </c>
      <c r="AM7" s="3070">
        <v>12702.87</v>
      </c>
      <c r="AN7" s="3070">
        <v>1182256</v>
      </c>
      <c r="AP7" s="3070">
        <v>1182256</v>
      </c>
      <c r="AQ7" s="3072">
        <v>45138</v>
      </c>
      <c r="AT7" s="3073">
        <v>45678</v>
      </c>
      <c r="AV7" s="3070" t="s">
        <v>3291</v>
      </c>
      <c r="AW7" s="3070" t="s">
        <v>3292</v>
      </c>
      <c r="AX7" s="3070" t="s">
        <v>3293</v>
      </c>
      <c r="AY7" s="3070" t="s">
        <v>3294</v>
      </c>
      <c r="BC7" s="3070" t="s">
        <v>3263</v>
      </c>
      <c r="BD7" s="3070" t="s">
        <v>3077</v>
      </c>
      <c r="BI7" s="3070" t="s">
        <v>3295</v>
      </c>
      <c r="BJ7" s="3070" t="s">
        <v>3296</v>
      </c>
      <c r="BL7" s="3070" t="s">
        <v>3297</v>
      </c>
      <c r="BM7" s="3075">
        <v>44197</v>
      </c>
      <c r="BN7" s="3070">
        <v>102</v>
      </c>
      <c r="BO7" s="3070" t="s">
        <v>3253</v>
      </c>
      <c r="BP7" s="3070" t="s">
        <v>3253</v>
      </c>
      <c r="BR7" s="3070">
        <v>443</v>
      </c>
      <c r="BS7" s="3070" t="s">
        <v>3238</v>
      </c>
      <c r="BT7" s="3070" t="s">
        <v>3086</v>
      </c>
      <c r="BZ7" s="3073">
        <v>44142.606249999997</v>
      </c>
      <c r="CA7" s="3070">
        <v>1</v>
      </c>
      <c r="CB7" s="3070" t="s">
        <v>3086</v>
      </c>
      <c r="CD7" s="3070" t="s">
        <v>3239</v>
      </c>
      <c r="CF7" s="3070" t="s">
        <v>3091</v>
      </c>
      <c r="CH7" s="3070" t="s">
        <v>3240</v>
      </c>
      <c r="CI7" s="3070">
        <v>0</v>
      </c>
      <c r="CJ7" s="3070" t="s">
        <v>3259</v>
      </c>
      <c r="CK7" s="3070" t="s">
        <v>3294</v>
      </c>
      <c r="CL7" s="3070" t="s">
        <v>3294</v>
      </c>
      <c r="CM7" s="3070">
        <v>1084638.53</v>
      </c>
      <c r="CV7" s="3070" t="s">
        <v>3258</v>
      </c>
      <c r="CW7" s="3070" t="s">
        <v>3298</v>
      </c>
      <c r="CZ7" s="3070">
        <v>213894.57</v>
      </c>
      <c r="DA7" s="3070">
        <v>159426.93</v>
      </c>
      <c r="DB7" s="3070">
        <v>0</v>
      </c>
      <c r="DC7" s="3070">
        <v>0</v>
      </c>
      <c r="DD7" s="3070">
        <v>3290547602</v>
      </c>
      <c r="DE7" s="3070">
        <v>2764253109</v>
      </c>
      <c r="DF7" s="3070">
        <v>1464966739</v>
      </c>
      <c r="DG7" s="3070">
        <v>14938370</v>
      </c>
      <c r="DH7" s="3070">
        <v>1284348000</v>
      </c>
      <c r="DI7" s="3070">
        <v>1278128000</v>
      </c>
      <c r="DJ7" s="3070">
        <v>6220000</v>
      </c>
      <c r="DK7" s="3070">
        <v>0</v>
      </c>
      <c r="DL7" s="3070">
        <v>0</v>
      </c>
      <c r="DM7" s="3070">
        <v>25491817.620000001</v>
      </c>
      <c r="DN7" s="3070">
        <v>2764253109</v>
      </c>
      <c r="DP7" s="3070">
        <v>2764253109</v>
      </c>
    </row>
    <row r="8" spans="1:122">
      <c r="A8" s="3070">
        <v>7</v>
      </c>
      <c r="B8" s="3070" t="s">
        <v>3224</v>
      </c>
      <c r="C8" s="3070">
        <v>1</v>
      </c>
      <c r="E8" s="3070">
        <v>1103</v>
      </c>
      <c r="F8" s="3070" t="s">
        <v>3299</v>
      </c>
      <c r="G8" s="3070" t="s">
        <v>3300</v>
      </c>
      <c r="H8" s="3070">
        <v>414683</v>
      </c>
      <c r="I8" s="3070">
        <v>1182256</v>
      </c>
      <c r="J8" s="3070">
        <v>93.07</v>
      </c>
      <c r="K8" s="3070">
        <v>66.5</v>
      </c>
      <c r="L8" s="3070">
        <v>0</v>
      </c>
      <c r="M8" s="3070">
        <v>0</v>
      </c>
      <c r="N8" s="3070">
        <v>15644.44</v>
      </c>
      <c r="O8" s="3070">
        <v>1456028</v>
      </c>
      <c r="P8" s="3070">
        <v>12702.87</v>
      </c>
      <c r="Q8" s="3070">
        <v>1182256</v>
      </c>
      <c r="R8" s="3070" t="s">
        <v>3227</v>
      </c>
      <c r="S8" s="3070" t="s">
        <v>3301</v>
      </c>
      <c r="T8" s="3070" t="s">
        <v>3302</v>
      </c>
      <c r="V8" s="3070" t="s">
        <v>3230</v>
      </c>
      <c r="Y8" s="3070">
        <v>118226</v>
      </c>
      <c r="Z8" s="3070">
        <v>118226</v>
      </c>
      <c r="AA8" s="3070">
        <v>414683</v>
      </c>
      <c r="AB8" s="3070">
        <v>767573</v>
      </c>
      <c r="AC8" s="3070">
        <v>0</v>
      </c>
      <c r="AD8" s="3070">
        <v>0</v>
      </c>
      <c r="AE8" s="3070">
        <v>0</v>
      </c>
      <c r="AI8" s="3070" t="s">
        <v>3227</v>
      </c>
      <c r="AJ8" s="3070">
        <v>0</v>
      </c>
      <c r="AK8" s="3070">
        <v>0</v>
      </c>
      <c r="AL8" s="3070">
        <v>0</v>
      </c>
      <c r="AM8" s="3070">
        <v>12702.87</v>
      </c>
      <c r="AN8" s="3070">
        <v>1182256</v>
      </c>
      <c r="AP8" s="3070">
        <v>1182256</v>
      </c>
      <c r="AQ8" s="3072">
        <v>45138</v>
      </c>
      <c r="AT8" s="3073">
        <v>45678</v>
      </c>
      <c r="AV8" s="3070" t="s">
        <v>3303</v>
      </c>
      <c r="AW8" s="3070" t="s">
        <v>3304</v>
      </c>
      <c r="AX8" s="3070" t="s">
        <v>3305</v>
      </c>
      <c r="AY8" s="3070" t="s">
        <v>3306</v>
      </c>
      <c r="BC8" s="3070" t="s">
        <v>3307</v>
      </c>
      <c r="BD8" s="3070" t="s">
        <v>3077</v>
      </c>
      <c r="BI8" s="3070" t="s">
        <v>3235</v>
      </c>
      <c r="BJ8" s="3070" t="s">
        <v>3236</v>
      </c>
      <c r="BL8" s="3070" t="s">
        <v>3308</v>
      </c>
      <c r="BM8" s="3075">
        <v>44197</v>
      </c>
      <c r="BN8" s="3070">
        <v>103</v>
      </c>
      <c r="BR8" s="3070">
        <v>641</v>
      </c>
      <c r="BS8" s="3070" t="s">
        <v>3238</v>
      </c>
      <c r="BT8" s="3070" t="s">
        <v>3086</v>
      </c>
      <c r="BZ8" s="3073">
        <v>44153.818749999999</v>
      </c>
      <c r="CA8" s="3070">
        <v>1</v>
      </c>
      <c r="CB8" s="3070" t="s">
        <v>3086</v>
      </c>
      <c r="CD8" s="3070" t="s">
        <v>3239</v>
      </c>
      <c r="CF8" s="3070" t="s">
        <v>3091</v>
      </c>
      <c r="CH8" s="3070" t="s">
        <v>3240</v>
      </c>
      <c r="CI8" s="3070">
        <v>0</v>
      </c>
      <c r="CK8" s="3070" t="s">
        <v>3306</v>
      </c>
      <c r="CL8" s="3070" t="s">
        <v>3306</v>
      </c>
      <c r="CM8" s="3070">
        <v>1084638.52</v>
      </c>
      <c r="CV8" s="3070" t="s">
        <v>3309</v>
      </c>
      <c r="CW8" s="3070" t="s">
        <v>3310</v>
      </c>
      <c r="CX8" s="3070" t="s">
        <v>3311</v>
      </c>
      <c r="CZ8" s="3070">
        <v>213894.57</v>
      </c>
      <c r="DA8" s="3070">
        <v>159426.93</v>
      </c>
      <c r="DB8" s="3070">
        <v>0</v>
      </c>
      <c r="DC8" s="3070">
        <v>0</v>
      </c>
      <c r="DD8" s="3070">
        <v>3290547602</v>
      </c>
      <c r="DE8" s="3070">
        <v>2764253109</v>
      </c>
      <c r="DF8" s="3070">
        <v>1464966739</v>
      </c>
      <c r="DG8" s="3070">
        <v>14938370</v>
      </c>
      <c r="DH8" s="3070">
        <v>1284348000</v>
      </c>
      <c r="DI8" s="3070">
        <v>1278128000</v>
      </c>
      <c r="DJ8" s="3070">
        <v>6220000</v>
      </c>
      <c r="DK8" s="3070">
        <v>0</v>
      </c>
      <c r="DL8" s="3070">
        <v>0</v>
      </c>
      <c r="DM8" s="3070">
        <v>25491817.620000001</v>
      </c>
      <c r="DN8" s="3070">
        <v>2764253109</v>
      </c>
      <c r="DP8" s="3070">
        <v>2764253109</v>
      </c>
    </row>
    <row r="9" spans="1:122">
      <c r="A9" s="3070">
        <v>8</v>
      </c>
      <c r="B9" s="3070" t="s">
        <v>3224</v>
      </c>
      <c r="C9" s="3070">
        <v>1</v>
      </c>
      <c r="E9" s="3070">
        <v>1104</v>
      </c>
      <c r="F9" s="3070" t="s">
        <v>3312</v>
      </c>
      <c r="G9" s="3070" t="s">
        <v>3313</v>
      </c>
      <c r="H9" s="3070">
        <v>1182256</v>
      </c>
      <c r="I9" s="3070">
        <v>1182256</v>
      </c>
      <c r="J9" s="3070">
        <v>93.07</v>
      </c>
      <c r="K9" s="3070">
        <v>66.5</v>
      </c>
      <c r="L9" s="3070">
        <v>0</v>
      </c>
      <c r="M9" s="3070">
        <v>0</v>
      </c>
      <c r="N9" s="3070">
        <v>15644.44</v>
      </c>
      <c r="O9" s="3070">
        <v>1456028</v>
      </c>
      <c r="P9" s="3070">
        <v>12702.87</v>
      </c>
      <c r="Q9" s="3070">
        <v>1182256</v>
      </c>
      <c r="R9" s="3070" t="s">
        <v>3227</v>
      </c>
      <c r="S9" s="3070" t="s">
        <v>3314</v>
      </c>
      <c r="T9" s="3070" t="s">
        <v>3302</v>
      </c>
      <c r="V9" s="3070" t="s">
        <v>3230</v>
      </c>
      <c r="Y9" s="3070">
        <v>118226</v>
      </c>
      <c r="Z9" s="3070">
        <v>118226</v>
      </c>
      <c r="AA9" s="3070">
        <v>1182256</v>
      </c>
      <c r="AB9" s="3070">
        <v>0</v>
      </c>
      <c r="AC9" s="3070">
        <v>0</v>
      </c>
      <c r="AD9" s="3070">
        <v>0</v>
      </c>
      <c r="AE9" s="3070">
        <v>0</v>
      </c>
      <c r="AI9" s="3070" t="s">
        <v>3227</v>
      </c>
      <c r="AJ9" s="3070">
        <v>0</v>
      </c>
      <c r="AK9" s="3070">
        <v>0</v>
      </c>
      <c r="AL9" s="3070">
        <v>0</v>
      </c>
      <c r="AM9" s="3070">
        <v>12702.87</v>
      </c>
      <c r="AN9" s="3070">
        <v>1182256</v>
      </c>
      <c r="AP9" s="3070">
        <v>1182256</v>
      </c>
      <c r="AQ9" s="3072">
        <v>45138</v>
      </c>
      <c r="AT9" s="3073">
        <v>45678</v>
      </c>
      <c r="AV9" s="3070" t="s">
        <v>3315</v>
      </c>
      <c r="AW9" s="3070" t="s">
        <v>3316</v>
      </c>
      <c r="AX9" s="3070" t="s">
        <v>3317</v>
      </c>
      <c r="AY9" s="3070" t="s">
        <v>3318</v>
      </c>
      <c r="BC9" s="3070" t="s">
        <v>3307</v>
      </c>
      <c r="BD9" s="3070" t="s">
        <v>3077</v>
      </c>
      <c r="BI9" s="3070" t="s">
        <v>3235</v>
      </c>
      <c r="BL9" s="3070" t="s">
        <v>3319</v>
      </c>
      <c r="BM9" s="3075">
        <v>44197</v>
      </c>
      <c r="BN9" s="3070">
        <v>104</v>
      </c>
      <c r="BR9" s="3070">
        <v>915</v>
      </c>
      <c r="BS9" s="3070" t="s">
        <v>3238</v>
      </c>
      <c r="BT9" s="3070" t="s">
        <v>3086</v>
      </c>
      <c r="BZ9" s="3073">
        <v>44153.870833333334</v>
      </c>
      <c r="CA9" s="3070">
        <v>1</v>
      </c>
      <c r="CB9" s="3070" t="s">
        <v>3086</v>
      </c>
      <c r="CD9" s="3070" t="s">
        <v>3239</v>
      </c>
      <c r="CF9" s="3070" t="s">
        <v>3091</v>
      </c>
      <c r="CH9" s="3070" t="s">
        <v>3240</v>
      </c>
      <c r="CI9" s="3070">
        <v>0</v>
      </c>
      <c r="CK9" s="3070" t="s">
        <v>3318</v>
      </c>
      <c r="CL9" s="3070" t="s">
        <v>3318</v>
      </c>
      <c r="CM9" s="3070">
        <v>1084638.53</v>
      </c>
      <c r="CV9" s="3070" t="s">
        <v>3309</v>
      </c>
      <c r="CW9" s="3070" t="s">
        <v>3320</v>
      </c>
      <c r="CX9" s="3070" t="s">
        <v>3242</v>
      </c>
      <c r="CZ9" s="3070">
        <v>213894.57</v>
      </c>
      <c r="DA9" s="3070">
        <v>159426.93</v>
      </c>
      <c r="DB9" s="3070">
        <v>0</v>
      </c>
      <c r="DC9" s="3070">
        <v>0</v>
      </c>
      <c r="DD9" s="3070">
        <v>3290547602</v>
      </c>
      <c r="DE9" s="3070">
        <v>2764253109</v>
      </c>
      <c r="DF9" s="3070">
        <v>1464966739</v>
      </c>
      <c r="DG9" s="3070">
        <v>14938370</v>
      </c>
      <c r="DH9" s="3070">
        <v>1284348000</v>
      </c>
      <c r="DI9" s="3070">
        <v>1278128000</v>
      </c>
      <c r="DJ9" s="3070">
        <v>6220000</v>
      </c>
      <c r="DK9" s="3070">
        <v>0</v>
      </c>
      <c r="DL9" s="3070">
        <v>0</v>
      </c>
      <c r="DM9" s="3070">
        <v>25491817.620000001</v>
      </c>
      <c r="DN9" s="3070">
        <v>2764253109</v>
      </c>
      <c r="DP9" s="3070">
        <v>2764253109</v>
      </c>
    </row>
    <row r="10" spans="1:122">
      <c r="A10" s="3070">
        <v>9</v>
      </c>
      <c r="B10" s="3070" t="s">
        <v>3224</v>
      </c>
      <c r="C10" s="3070">
        <v>1</v>
      </c>
      <c r="E10" s="3070">
        <v>1201</v>
      </c>
      <c r="F10" s="3070" t="s">
        <v>3321</v>
      </c>
      <c r="G10" s="3070" t="s">
        <v>3322</v>
      </c>
      <c r="H10" s="3070">
        <v>1168879</v>
      </c>
      <c r="I10" s="3070">
        <v>1168879</v>
      </c>
      <c r="J10" s="3070">
        <v>93.07</v>
      </c>
      <c r="K10" s="3070">
        <v>66.5</v>
      </c>
      <c r="L10" s="3070">
        <v>0</v>
      </c>
      <c r="M10" s="3070">
        <v>0</v>
      </c>
      <c r="N10" s="3070">
        <v>15694.45</v>
      </c>
      <c r="O10" s="3070">
        <v>1460682</v>
      </c>
      <c r="P10" s="3070">
        <v>12559.14</v>
      </c>
      <c r="Q10" s="3070">
        <v>1168879</v>
      </c>
      <c r="R10" s="3070" t="s">
        <v>3227</v>
      </c>
      <c r="S10" s="3070" t="s">
        <v>3323</v>
      </c>
      <c r="T10" s="3070" t="s">
        <v>3258</v>
      </c>
      <c r="U10" s="3070" t="s">
        <v>3259</v>
      </c>
      <c r="V10" s="3070" t="s">
        <v>3230</v>
      </c>
      <c r="Y10" s="3070">
        <v>358879</v>
      </c>
      <c r="Z10" s="3070">
        <v>358879</v>
      </c>
      <c r="AA10" s="3070">
        <v>358879</v>
      </c>
      <c r="AB10" s="3070">
        <v>0</v>
      </c>
      <c r="AC10" s="3070">
        <v>810000</v>
      </c>
      <c r="AD10" s="3070">
        <v>810000</v>
      </c>
      <c r="AE10" s="3070">
        <v>0</v>
      </c>
      <c r="AI10" s="3070" t="s">
        <v>3227</v>
      </c>
      <c r="AJ10" s="3070">
        <v>0</v>
      </c>
      <c r="AK10" s="3070">
        <v>0</v>
      </c>
      <c r="AL10" s="3070">
        <v>0</v>
      </c>
      <c r="AM10" s="3070">
        <v>12559.14</v>
      </c>
      <c r="AN10" s="3070">
        <v>1168879</v>
      </c>
      <c r="AP10" s="3070">
        <v>1168879</v>
      </c>
      <c r="AQ10" s="3072">
        <v>45138</v>
      </c>
      <c r="AT10" s="3073">
        <v>45678</v>
      </c>
      <c r="AV10" s="3070" t="s">
        <v>3324</v>
      </c>
      <c r="AW10" s="3070" t="s">
        <v>3325</v>
      </c>
      <c r="AX10" s="3070" t="s">
        <v>3326</v>
      </c>
      <c r="AY10" s="3070" t="s">
        <v>3306</v>
      </c>
      <c r="BC10" s="3070" t="s">
        <v>3327</v>
      </c>
      <c r="BD10" s="3070" t="s">
        <v>3077</v>
      </c>
      <c r="BI10" s="3070" t="s">
        <v>3235</v>
      </c>
      <c r="BJ10" s="3070" t="s">
        <v>3328</v>
      </c>
      <c r="BL10" s="3070" t="s">
        <v>3329</v>
      </c>
      <c r="BM10" s="3075">
        <v>44197</v>
      </c>
      <c r="BN10" s="3070">
        <v>201</v>
      </c>
      <c r="BO10" s="3070" t="s">
        <v>3253</v>
      </c>
      <c r="BP10" s="3070" t="s">
        <v>3253</v>
      </c>
      <c r="BR10" s="3070">
        <v>41</v>
      </c>
      <c r="BS10" s="3070" t="s">
        <v>3238</v>
      </c>
      <c r="BT10" s="3070" t="s">
        <v>3086</v>
      </c>
      <c r="BZ10" s="3073">
        <v>44149.780555555553</v>
      </c>
      <c r="CA10" s="3070">
        <v>1</v>
      </c>
      <c r="CB10" s="3070" t="s">
        <v>3086</v>
      </c>
      <c r="CD10" s="3070" t="s">
        <v>3239</v>
      </c>
      <c r="CF10" s="3070" t="s">
        <v>3091</v>
      </c>
      <c r="CH10" s="3070" t="s">
        <v>3240</v>
      </c>
      <c r="CI10" s="3070">
        <v>0</v>
      </c>
      <c r="CJ10" s="3070" t="s">
        <v>3259</v>
      </c>
      <c r="CK10" s="3070" t="s">
        <v>3306</v>
      </c>
      <c r="CL10" s="3070" t="s">
        <v>3306</v>
      </c>
      <c r="CM10" s="3070">
        <v>1072366.06</v>
      </c>
      <c r="CV10" s="3070" t="s">
        <v>3258</v>
      </c>
      <c r="CW10" s="3070" t="s">
        <v>3330</v>
      </c>
      <c r="CX10" s="3070" t="s">
        <v>3311</v>
      </c>
      <c r="CZ10" s="3070">
        <v>213894.57</v>
      </c>
      <c r="DA10" s="3070">
        <v>159426.93</v>
      </c>
      <c r="DB10" s="3070">
        <v>0</v>
      </c>
      <c r="DC10" s="3070">
        <v>0</v>
      </c>
      <c r="DD10" s="3070">
        <v>3290547602</v>
      </c>
      <c r="DE10" s="3070">
        <v>2764253109</v>
      </c>
      <c r="DF10" s="3070">
        <v>1464966739</v>
      </c>
      <c r="DG10" s="3070">
        <v>14938370</v>
      </c>
      <c r="DH10" s="3070">
        <v>1284348000</v>
      </c>
      <c r="DI10" s="3070">
        <v>1278128000</v>
      </c>
      <c r="DJ10" s="3070">
        <v>6220000</v>
      </c>
      <c r="DK10" s="3070">
        <v>0</v>
      </c>
      <c r="DL10" s="3070">
        <v>0</v>
      </c>
      <c r="DM10" s="3070">
        <v>25491817.620000001</v>
      </c>
      <c r="DN10" s="3070">
        <v>2764253109</v>
      </c>
      <c r="DP10" s="3070">
        <v>2764253109</v>
      </c>
    </row>
    <row r="11" spans="1:122">
      <c r="A11" s="3070">
        <v>10</v>
      </c>
      <c r="B11" s="3070" t="s">
        <v>3224</v>
      </c>
      <c r="C11" s="3070">
        <v>1</v>
      </c>
      <c r="E11" s="3070">
        <v>1202</v>
      </c>
      <c r="F11" s="3070" t="s">
        <v>3331</v>
      </c>
      <c r="G11" s="3070" t="s">
        <v>3332</v>
      </c>
      <c r="H11" s="3070">
        <v>1186680</v>
      </c>
      <c r="I11" s="3070">
        <v>1186680</v>
      </c>
      <c r="J11" s="3070">
        <v>93.07</v>
      </c>
      <c r="K11" s="3070">
        <v>66.5</v>
      </c>
      <c r="L11" s="3070">
        <v>0</v>
      </c>
      <c r="M11" s="3070">
        <v>0</v>
      </c>
      <c r="N11" s="3070">
        <v>15694.45</v>
      </c>
      <c r="O11" s="3070">
        <v>1460682</v>
      </c>
      <c r="P11" s="3070">
        <v>12750.4</v>
      </c>
      <c r="Q11" s="3070">
        <v>1186680</v>
      </c>
      <c r="R11" s="3070" t="s">
        <v>3227</v>
      </c>
      <c r="S11" s="3070" t="s">
        <v>3333</v>
      </c>
      <c r="T11" s="3070" t="s">
        <v>3258</v>
      </c>
      <c r="U11" s="3070" t="s">
        <v>3259</v>
      </c>
      <c r="V11" s="3070" t="s">
        <v>3230</v>
      </c>
      <c r="Y11" s="3070">
        <v>356680</v>
      </c>
      <c r="Z11" s="3070">
        <v>118668</v>
      </c>
      <c r="AA11" s="3070">
        <v>356680</v>
      </c>
      <c r="AB11" s="3070">
        <v>0</v>
      </c>
      <c r="AC11" s="3070">
        <v>830000</v>
      </c>
      <c r="AD11" s="3070">
        <v>830000</v>
      </c>
      <c r="AE11" s="3070">
        <v>0</v>
      </c>
      <c r="AI11" s="3070" t="s">
        <v>3227</v>
      </c>
      <c r="AJ11" s="3070">
        <v>0</v>
      </c>
      <c r="AK11" s="3070">
        <v>0</v>
      </c>
      <c r="AL11" s="3070">
        <v>0</v>
      </c>
      <c r="AM11" s="3070">
        <v>12750.4</v>
      </c>
      <c r="AN11" s="3070">
        <v>1186680</v>
      </c>
      <c r="AP11" s="3070">
        <v>1186680</v>
      </c>
      <c r="AQ11" s="3072">
        <v>45138</v>
      </c>
      <c r="AT11" s="3073">
        <v>45678</v>
      </c>
      <c r="AV11" s="3070" t="s">
        <v>3334</v>
      </c>
      <c r="AW11" s="3070" t="s">
        <v>3335</v>
      </c>
      <c r="AX11" s="3070" t="s">
        <v>3336</v>
      </c>
      <c r="AY11" s="3070" t="s">
        <v>3337</v>
      </c>
      <c r="BC11" s="3070" t="s">
        <v>3263</v>
      </c>
      <c r="BD11" s="3070" t="s">
        <v>3077</v>
      </c>
      <c r="BI11" s="3070" t="s">
        <v>3235</v>
      </c>
      <c r="BJ11" s="3070" t="s">
        <v>3338</v>
      </c>
      <c r="BL11" s="3070" t="s">
        <v>3339</v>
      </c>
      <c r="BM11" s="3075">
        <v>44197</v>
      </c>
      <c r="BN11" s="3070">
        <v>202</v>
      </c>
      <c r="BO11" s="3070" t="s">
        <v>3253</v>
      </c>
      <c r="BP11" s="3070" t="s">
        <v>3253</v>
      </c>
      <c r="BR11" s="3070">
        <v>471</v>
      </c>
      <c r="BS11" s="3070" t="s">
        <v>3238</v>
      </c>
      <c r="BT11" s="3070" t="s">
        <v>3086</v>
      </c>
      <c r="BZ11" s="3073">
        <v>44153.817361111112</v>
      </c>
      <c r="CA11" s="3070">
        <v>1</v>
      </c>
      <c r="CB11" s="3070" t="s">
        <v>3086</v>
      </c>
      <c r="CD11" s="3070" t="s">
        <v>3239</v>
      </c>
      <c r="CF11" s="3070" t="s">
        <v>3091</v>
      </c>
      <c r="CH11" s="3070" t="s">
        <v>3240</v>
      </c>
      <c r="CI11" s="3070">
        <v>0</v>
      </c>
      <c r="CJ11" s="3070" t="s">
        <v>3259</v>
      </c>
      <c r="CK11" s="3070" t="s">
        <v>3337</v>
      </c>
      <c r="CL11" s="3070" t="s">
        <v>3337</v>
      </c>
      <c r="CM11" s="3070">
        <v>1088697.24</v>
      </c>
      <c r="CV11" s="3070" t="s">
        <v>3258</v>
      </c>
      <c r="CW11" s="3070" t="s">
        <v>3340</v>
      </c>
      <c r="CZ11" s="3070">
        <v>213894.57</v>
      </c>
      <c r="DA11" s="3070">
        <v>159426.93</v>
      </c>
      <c r="DB11" s="3070">
        <v>0</v>
      </c>
      <c r="DC11" s="3070">
        <v>0</v>
      </c>
      <c r="DD11" s="3070">
        <v>3290547602</v>
      </c>
      <c r="DE11" s="3070">
        <v>2764253109</v>
      </c>
      <c r="DF11" s="3070">
        <v>1464966739</v>
      </c>
      <c r="DG11" s="3070">
        <v>14938370</v>
      </c>
      <c r="DH11" s="3070">
        <v>1284348000</v>
      </c>
      <c r="DI11" s="3070">
        <v>1278128000</v>
      </c>
      <c r="DJ11" s="3070">
        <v>6220000</v>
      </c>
      <c r="DK11" s="3070">
        <v>0</v>
      </c>
      <c r="DL11" s="3070">
        <v>0</v>
      </c>
      <c r="DM11" s="3070">
        <v>25491817.620000001</v>
      </c>
      <c r="DN11" s="3070">
        <v>2764253109</v>
      </c>
      <c r="DP11" s="3070">
        <v>2764253109</v>
      </c>
    </row>
    <row r="12" spans="1:122">
      <c r="A12" s="3070">
        <v>11</v>
      </c>
      <c r="B12" s="3070" t="s">
        <v>3224</v>
      </c>
      <c r="C12" s="3070">
        <v>1</v>
      </c>
      <c r="E12" s="3070">
        <v>1203</v>
      </c>
      <c r="F12" s="3070" t="s">
        <v>3341</v>
      </c>
      <c r="G12" s="3070" t="s">
        <v>3342</v>
      </c>
      <c r="H12" s="3070">
        <v>1174813</v>
      </c>
      <c r="I12" s="3070">
        <v>1174813</v>
      </c>
      <c r="J12" s="3070">
        <v>93.07</v>
      </c>
      <c r="K12" s="3070">
        <v>66.5</v>
      </c>
      <c r="L12" s="3070">
        <v>0</v>
      </c>
      <c r="M12" s="3070">
        <v>0</v>
      </c>
      <c r="N12" s="3070">
        <v>15694.45</v>
      </c>
      <c r="O12" s="3070">
        <v>1460682</v>
      </c>
      <c r="P12" s="3070">
        <v>12622.9</v>
      </c>
      <c r="Q12" s="3070">
        <v>1174813</v>
      </c>
      <c r="R12" s="3070" t="s">
        <v>3227</v>
      </c>
      <c r="S12" s="3070" t="s">
        <v>3343</v>
      </c>
      <c r="T12" s="3070" t="s">
        <v>3229</v>
      </c>
      <c r="V12" s="3070" t="s">
        <v>3230</v>
      </c>
      <c r="Y12" s="3070">
        <v>352444</v>
      </c>
      <c r="Z12" s="3070">
        <v>352444</v>
      </c>
      <c r="AA12" s="3070">
        <v>1174813</v>
      </c>
      <c r="AB12" s="3070">
        <v>0</v>
      </c>
      <c r="AC12" s="3070">
        <v>0</v>
      </c>
      <c r="AD12" s="3070">
        <v>0</v>
      </c>
      <c r="AE12" s="3070">
        <v>0</v>
      </c>
      <c r="AI12" s="3070" t="s">
        <v>3227</v>
      </c>
      <c r="AJ12" s="3070">
        <v>0</v>
      </c>
      <c r="AK12" s="3070">
        <v>0</v>
      </c>
      <c r="AL12" s="3070">
        <v>0</v>
      </c>
      <c r="AM12" s="3070">
        <v>12622.9</v>
      </c>
      <c r="AN12" s="3070">
        <v>1174813</v>
      </c>
      <c r="AP12" s="3070">
        <v>1174813</v>
      </c>
      <c r="AQ12" s="3072">
        <v>45138</v>
      </c>
      <c r="AT12" s="3073">
        <v>45678</v>
      </c>
      <c r="AV12" s="3074">
        <v>3.21E+17</v>
      </c>
      <c r="AW12" s="3070" t="s">
        <v>3344</v>
      </c>
      <c r="AX12" s="3070" t="s">
        <v>3345</v>
      </c>
      <c r="AY12" s="3070" t="s">
        <v>3346</v>
      </c>
      <c r="BC12" s="3070" t="s">
        <v>3347</v>
      </c>
      <c r="BD12" s="3070" t="s">
        <v>3077</v>
      </c>
      <c r="BI12" s="3070" t="s">
        <v>3235</v>
      </c>
      <c r="BL12" s="3070" t="s">
        <v>3348</v>
      </c>
      <c r="BM12" s="3075">
        <v>44197</v>
      </c>
      <c r="BN12" s="3070">
        <v>203</v>
      </c>
      <c r="BR12" s="3070">
        <v>424</v>
      </c>
      <c r="BS12" s="3070" t="s">
        <v>3238</v>
      </c>
      <c r="BT12" s="3070" t="s">
        <v>3086</v>
      </c>
      <c r="BZ12" s="3073">
        <v>44142.597222222219</v>
      </c>
      <c r="CA12" s="3070">
        <v>1</v>
      </c>
      <c r="CB12" s="3070" t="s">
        <v>3086</v>
      </c>
      <c r="CD12" s="3070" t="s">
        <v>3239</v>
      </c>
      <c r="CF12" s="3070" t="s">
        <v>3091</v>
      </c>
      <c r="CH12" s="3070" t="s">
        <v>3240</v>
      </c>
      <c r="CI12" s="3070">
        <v>0</v>
      </c>
      <c r="CK12" s="3070" t="s">
        <v>3346</v>
      </c>
      <c r="CL12" s="3070" t="s">
        <v>3346</v>
      </c>
      <c r="CM12" s="3070">
        <v>1077810.0900000001</v>
      </c>
      <c r="CV12" s="3070" t="s">
        <v>3229</v>
      </c>
      <c r="CW12" s="3070" t="s">
        <v>3349</v>
      </c>
      <c r="CX12" s="3070" t="s">
        <v>3350</v>
      </c>
      <c r="CZ12" s="3070">
        <v>213894.57</v>
      </c>
      <c r="DA12" s="3070">
        <v>159426.93</v>
      </c>
      <c r="DB12" s="3070">
        <v>0</v>
      </c>
      <c r="DC12" s="3070">
        <v>0</v>
      </c>
      <c r="DD12" s="3070">
        <v>3290547602</v>
      </c>
      <c r="DE12" s="3070">
        <v>2764253109</v>
      </c>
      <c r="DF12" s="3070">
        <v>1464966739</v>
      </c>
      <c r="DG12" s="3070">
        <v>14938370</v>
      </c>
      <c r="DH12" s="3070">
        <v>1284348000</v>
      </c>
      <c r="DI12" s="3070">
        <v>1278128000</v>
      </c>
      <c r="DJ12" s="3070">
        <v>6220000</v>
      </c>
      <c r="DK12" s="3070">
        <v>0</v>
      </c>
      <c r="DL12" s="3070">
        <v>0</v>
      </c>
      <c r="DM12" s="3070">
        <v>25491817.620000001</v>
      </c>
      <c r="DN12" s="3070">
        <v>2764253109</v>
      </c>
      <c r="DP12" s="3070">
        <v>2764253109</v>
      </c>
    </row>
    <row r="13" spans="1:122">
      <c r="A13" s="3070">
        <v>12</v>
      </c>
      <c r="B13" s="3070" t="s">
        <v>3224</v>
      </c>
      <c r="C13" s="3070">
        <v>1</v>
      </c>
      <c r="E13" s="3070">
        <v>1204</v>
      </c>
      <c r="F13" s="3070" t="s">
        <v>3351</v>
      </c>
      <c r="G13" s="3070" t="s">
        <v>3352</v>
      </c>
      <c r="H13" s="3070">
        <v>1186680</v>
      </c>
      <c r="I13" s="3070">
        <v>1186680</v>
      </c>
      <c r="J13" s="3070">
        <v>93.07</v>
      </c>
      <c r="K13" s="3070">
        <v>66.5</v>
      </c>
      <c r="L13" s="3070">
        <v>0</v>
      </c>
      <c r="M13" s="3070">
        <v>0</v>
      </c>
      <c r="N13" s="3070">
        <v>15694.45</v>
      </c>
      <c r="O13" s="3070">
        <v>1460682</v>
      </c>
      <c r="P13" s="3070">
        <v>12750.4</v>
      </c>
      <c r="Q13" s="3070">
        <v>1186680</v>
      </c>
      <c r="R13" s="3070" t="s">
        <v>3227</v>
      </c>
      <c r="S13" s="3070" t="s">
        <v>3353</v>
      </c>
      <c r="T13" s="3070" t="s">
        <v>3302</v>
      </c>
      <c r="V13" s="3070" t="s">
        <v>3230</v>
      </c>
      <c r="Y13" s="3070">
        <v>118668</v>
      </c>
      <c r="Z13" s="3070">
        <v>118668</v>
      </c>
      <c r="AA13" s="3070">
        <v>1186680</v>
      </c>
      <c r="AB13" s="3070">
        <v>0</v>
      </c>
      <c r="AC13" s="3070">
        <v>0</v>
      </c>
      <c r="AD13" s="3070">
        <v>0</v>
      </c>
      <c r="AE13" s="3070">
        <v>0</v>
      </c>
      <c r="AI13" s="3070" t="s">
        <v>3227</v>
      </c>
      <c r="AJ13" s="3070">
        <v>0</v>
      </c>
      <c r="AK13" s="3070">
        <v>0</v>
      </c>
      <c r="AL13" s="3070">
        <v>0</v>
      </c>
      <c r="AM13" s="3070">
        <v>12750.4</v>
      </c>
      <c r="AN13" s="3070">
        <v>1186680</v>
      </c>
      <c r="AP13" s="3070">
        <v>1186680</v>
      </c>
      <c r="AQ13" s="3072">
        <v>45138</v>
      </c>
      <c r="AT13" s="3073">
        <v>45678</v>
      </c>
      <c r="AV13" s="3074">
        <v>3.21E+17</v>
      </c>
      <c r="AW13" s="3070" t="s">
        <v>3354</v>
      </c>
      <c r="AX13" s="3070" t="s">
        <v>3355</v>
      </c>
      <c r="AY13" s="3070" t="s">
        <v>3318</v>
      </c>
      <c r="BC13" s="3070" t="s">
        <v>3307</v>
      </c>
      <c r="BD13" s="3070" t="s">
        <v>3077</v>
      </c>
      <c r="BI13" s="3070" t="s">
        <v>3235</v>
      </c>
      <c r="BL13" s="3070" t="s">
        <v>3356</v>
      </c>
      <c r="BM13" s="3075">
        <v>44197</v>
      </c>
      <c r="BN13" s="3070">
        <v>204</v>
      </c>
      <c r="BR13" s="3070">
        <v>916</v>
      </c>
      <c r="BS13" s="3070" t="s">
        <v>3238</v>
      </c>
      <c r="BT13" s="3070" t="s">
        <v>3086</v>
      </c>
      <c r="BZ13" s="3073">
        <v>44153.813888888886</v>
      </c>
      <c r="CA13" s="3070">
        <v>1</v>
      </c>
      <c r="CB13" s="3070" t="s">
        <v>3086</v>
      </c>
      <c r="CD13" s="3070" t="s">
        <v>3239</v>
      </c>
      <c r="CF13" s="3070" t="s">
        <v>3091</v>
      </c>
      <c r="CH13" s="3070" t="s">
        <v>3240</v>
      </c>
      <c r="CI13" s="3070">
        <v>0</v>
      </c>
      <c r="CK13" s="3070" t="s">
        <v>3318</v>
      </c>
      <c r="CL13" s="3070" t="s">
        <v>3318</v>
      </c>
      <c r="CM13" s="3070">
        <v>1088697.25</v>
      </c>
      <c r="CV13" s="3070" t="s">
        <v>3309</v>
      </c>
      <c r="CW13" s="3070" t="s">
        <v>3357</v>
      </c>
      <c r="CX13" s="3070" t="s">
        <v>3242</v>
      </c>
      <c r="CZ13" s="3070">
        <v>213894.57</v>
      </c>
      <c r="DA13" s="3070">
        <v>159426.93</v>
      </c>
      <c r="DB13" s="3070">
        <v>0</v>
      </c>
      <c r="DC13" s="3070">
        <v>0</v>
      </c>
      <c r="DD13" s="3070">
        <v>3290547602</v>
      </c>
      <c r="DE13" s="3070">
        <v>2764253109</v>
      </c>
      <c r="DF13" s="3070">
        <v>1464966739</v>
      </c>
      <c r="DG13" s="3070">
        <v>14938370</v>
      </c>
      <c r="DH13" s="3070">
        <v>1284348000</v>
      </c>
      <c r="DI13" s="3070">
        <v>1278128000</v>
      </c>
      <c r="DJ13" s="3070">
        <v>6220000</v>
      </c>
      <c r="DK13" s="3070">
        <v>0</v>
      </c>
      <c r="DL13" s="3070">
        <v>0</v>
      </c>
      <c r="DM13" s="3070">
        <v>25491817.620000001</v>
      </c>
      <c r="DN13" s="3070">
        <v>2764253109</v>
      </c>
      <c r="DP13" s="3070">
        <v>2764253109</v>
      </c>
    </row>
    <row r="14" spans="1:122">
      <c r="A14" s="3070">
        <v>13</v>
      </c>
      <c r="B14" s="3070" t="s">
        <v>3224</v>
      </c>
      <c r="C14" s="3070">
        <v>1</v>
      </c>
      <c r="E14" s="3070">
        <v>1301</v>
      </c>
      <c r="F14" s="3070" t="s">
        <v>3358</v>
      </c>
      <c r="G14" s="3070" t="s">
        <v>3359</v>
      </c>
      <c r="H14" s="3070">
        <v>1186680</v>
      </c>
      <c r="I14" s="3070">
        <v>1186680</v>
      </c>
      <c r="J14" s="3070">
        <v>93.07</v>
      </c>
      <c r="K14" s="3070">
        <v>66.5</v>
      </c>
      <c r="L14" s="3070">
        <v>0</v>
      </c>
      <c r="M14" s="3070">
        <v>0</v>
      </c>
      <c r="N14" s="3070">
        <v>15694.45</v>
      </c>
      <c r="O14" s="3070">
        <v>1460682</v>
      </c>
      <c r="P14" s="3070">
        <v>12750.4</v>
      </c>
      <c r="Q14" s="3070">
        <v>1186680</v>
      </c>
      <c r="R14" s="3070" t="s">
        <v>3227</v>
      </c>
      <c r="S14" s="3070" t="s">
        <v>3360</v>
      </c>
      <c r="T14" s="3070" t="s">
        <v>3258</v>
      </c>
      <c r="U14" s="3070" t="s">
        <v>3259</v>
      </c>
      <c r="V14" s="3070" t="s">
        <v>3230</v>
      </c>
      <c r="Y14" s="3070">
        <v>356680</v>
      </c>
      <c r="Z14" s="3070">
        <v>330000</v>
      </c>
      <c r="AA14" s="3070">
        <v>356680</v>
      </c>
      <c r="AB14" s="3070">
        <v>0</v>
      </c>
      <c r="AC14" s="3070">
        <v>830000</v>
      </c>
      <c r="AD14" s="3070">
        <v>830000</v>
      </c>
      <c r="AE14" s="3070">
        <v>0</v>
      </c>
      <c r="AI14" s="3070" t="s">
        <v>3227</v>
      </c>
      <c r="AJ14" s="3070">
        <v>0</v>
      </c>
      <c r="AK14" s="3070">
        <v>0</v>
      </c>
      <c r="AL14" s="3070">
        <v>0</v>
      </c>
      <c r="AM14" s="3070">
        <v>12750.4</v>
      </c>
      <c r="AN14" s="3070">
        <v>1186680</v>
      </c>
      <c r="AP14" s="3070">
        <v>1186680</v>
      </c>
      <c r="AQ14" s="3072">
        <v>45138</v>
      </c>
      <c r="AT14" s="3073">
        <v>45678</v>
      </c>
      <c r="AV14" s="3070" t="s">
        <v>3361</v>
      </c>
      <c r="AW14" s="3070" t="s">
        <v>3362</v>
      </c>
      <c r="AX14" s="3070" t="s">
        <v>3363</v>
      </c>
      <c r="AY14" s="3070" t="s">
        <v>3364</v>
      </c>
      <c r="BC14" s="3070" t="s">
        <v>3365</v>
      </c>
      <c r="BD14" s="3070" t="s">
        <v>3077</v>
      </c>
      <c r="BI14" s="3070" t="s">
        <v>3235</v>
      </c>
      <c r="BJ14" s="3070" t="s">
        <v>3296</v>
      </c>
      <c r="BL14" s="3070" t="s">
        <v>3366</v>
      </c>
      <c r="BM14" s="3075">
        <v>44197</v>
      </c>
      <c r="BN14" s="3070">
        <v>301</v>
      </c>
      <c r="BO14" s="3070" t="s">
        <v>3253</v>
      </c>
      <c r="BP14" s="3070" t="s">
        <v>3253</v>
      </c>
      <c r="BR14" s="3070">
        <v>126</v>
      </c>
      <c r="BS14" s="3070" t="s">
        <v>3238</v>
      </c>
      <c r="BT14" s="3070" t="s">
        <v>3086</v>
      </c>
      <c r="BZ14" s="3073">
        <v>44142.616666666669</v>
      </c>
      <c r="CA14" s="3070">
        <v>1</v>
      </c>
      <c r="CB14" s="3070" t="s">
        <v>3086</v>
      </c>
      <c r="CD14" s="3070" t="s">
        <v>3239</v>
      </c>
      <c r="CF14" s="3070" t="s">
        <v>3091</v>
      </c>
      <c r="CH14" s="3070" t="s">
        <v>3240</v>
      </c>
      <c r="CI14" s="3070">
        <v>0</v>
      </c>
      <c r="CJ14" s="3070" t="s">
        <v>3259</v>
      </c>
      <c r="CK14" s="3070" t="s">
        <v>3364</v>
      </c>
      <c r="CL14" s="3070" t="s">
        <v>3364</v>
      </c>
      <c r="CM14" s="3070">
        <v>1088697.24</v>
      </c>
      <c r="CV14" s="3070" t="s">
        <v>3258</v>
      </c>
      <c r="CW14" s="3070" t="s">
        <v>3367</v>
      </c>
      <c r="CZ14" s="3070">
        <v>213894.57</v>
      </c>
      <c r="DA14" s="3070">
        <v>159426.93</v>
      </c>
      <c r="DB14" s="3070">
        <v>0</v>
      </c>
      <c r="DC14" s="3070">
        <v>0</v>
      </c>
      <c r="DD14" s="3070">
        <v>3290547602</v>
      </c>
      <c r="DE14" s="3070">
        <v>2764253109</v>
      </c>
      <c r="DF14" s="3070">
        <v>1464966739</v>
      </c>
      <c r="DG14" s="3070">
        <v>14938370</v>
      </c>
      <c r="DH14" s="3070">
        <v>1284348000</v>
      </c>
      <c r="DI14" s="3070">
        <v>1278128000</v>
      </c>
      <c r="DJ14" s="3070">
        <v>6220000</v>
      </c>
      <c r="DK14" s="3070">
        <v>0</v>
      </c>
      <c r="DL14" s="3070">
        <v>0</v>
      </c>
      <c r="DM14" s="3070">
        <v>25491817.620000001</v>
      </c>
      <c r="DN14" s="3070">
        <v>2764253109</v>
      </c>
      <c r="DP14" s="3070">
        <v>2764253109</v>
      </c>
    </row>
    <row r="15" spans="1:122">
      <c r="A15" s="3070">
        <v>14</v>
      </c>
      <c r="B15" s="3070" t="s">
        <v>3224</v>
      </c>
      <c r="C15" s="3070">
        <v>1</v>
      </c>
      <c r="E15" s="3070">
        <v>1302</v>
      </c>
      <c r="F15" s="3070" t="s">
        <v>3368</v>
      </c>
      <c r="G15" s="3070" t="s">
        <v>3369</v>
      </c>
      <c r="H15" s="3070">
        <v>1186680</v>
      </c>
      <c r="I15" s="3070">
        <v>1186680</v>
      </c>
      <c r="J15" s="3070">
        <v>93.07</v>
      </c>
      <c r="K15" s="3070">
        <v>66.5</v>
      </c>
      <c r="L15" s="3070">
        <v>0</v>
      </c>
      <c r="M15" s="3070">
        <v>0</v>
      </c>
      <c r="N15" s="3070">
        <v>15694.45</v>
      </c>
      <c r="O15" s="3070">
        <v>1460682</v>
      </c>
      <c r="P15" s="3070">
        <v>12750.4</v>
      </c>
      <c r="Q15" s="3070">
        <v>1186680</v>
      </c>
      <c r="R15" s="3070" t="s">
        <v>3227</v>
      </c>
      <c r="S15" s="3070" t="s">
        <v>3370</v>
      </c>
      <c r="T15" s="3070" t="s">
        <v>3246</v>
      </c>
      <c r="U15" s="3070" t="s">
        <v>3371</v>
      </c>
      <c r="V15" s="3070" t="s">
        <v>3230</v>
      </c>
      <c r="Y15" s="3070">
        <v>506680</v>
      </c>
      <c r="Z15" s="3070">
        <v>506680</v>
      </c>
      <c r="AA15" s="3070">
        <v>506680</v>
      </c>
      <c r="AB15" s="3070">
        <v>0</v>
      </c>
      <c r="AC15" s="3070">
        <v>680000</v>
      </c>
      <c r="AD15" s="3070">
        <v>680000</v>
      </c>
      <c r="AE15" s="3070">
        <v>0</v>
      </c>
      <c r="AI15" s="3070" t="s">
        <v>3227</v>
      </c>
      <c r="AJ15" s="3070">
        <v>0</v>
      </c>
      <c r="AK15" s="3070">
        <v>0</v>
      </c>
      <c r="AL15" s="3070">
        <v>0</v>
      </c>
      <c r="AM15" s="3070">
        <v>12750.4</v>
      </c>
      <c r="AN15" s="3070">
        <v>1186680</v>
      </c>
      <c r="AP15" s="3070">
        <v>1186680</v>
      </c>
      <c r="AQ15" s="3072">
        <v>45138</v>
      </c>
      <c r="AT15" s="3073">
        <v>45678</v>
      </c>
      <c r="AV15" s="3070" t="s">
        <v>3372</v>
      </c>
      <c r="AW15" s="3070" t="s">
        <v>3373</v>
      </c>
      <c r="AX15" s="3070" t="s">
        <v>3374</v>
      </c>
      <c r="AY15" s="3070" t="s">
        <v>3375</v>
      </c>
      <c r="BC15" s="3070" t="s">
        <v>3284</v>
      </c>
      <c r="BD15" s="3070" t="s">
        <v>3077</v>
      </c>
      <c r="BI15" s="3070" t="s">
        <v>3235</v>
      </c>
      <c r="BJ15" s="3070" t="s">
        <v>3236</v>
      </c>
      <c r="BL15" s="3070" t="s">
        <v>3376</v>
      </c>
      <c r="BM15" s="3075">
        <v>44197</v>
      </c>
      <c r="BN15" s="3070">
        <v>302</v>
      </c>
      <c r="BO15" s="3070" t="s">
        <v>3253</v>
      </c>
      <c r="BR15" s="3070">
        <v>428</v>
      </c>
      <c r="BS15" s="3070" t="s">
        <v>3238</v>
      </c>
      <c r="BT15" s="3070" t="s">
        <v>3086</v>
      </c>
      <c r="BZ15" s="3073">
        <v>44142.640972222223</v>
      </c>
      <c r="CA15" s="3070">
        <v>1</v>
      </c>
      <c r="CB15" s="3070" t="s">
        <v>3086</v>
      </c>
      <c r="CD15" s="3070" t="s">
        <v>3239</v>
      </c>
      <c r="CF15" s="3070" t="s">
        <v>3091</v>
      </c>
      <c r="CH15" s="3070" t="s">
        <v>3240</v>
      </c>
      <c r="CI15" s="3070">
        <v>0</v>
      </c>
      <c r="CK15" s="3070" t="s">
        <v>3375</v>
      </c>
      <c r="CL15" s="3070" t="s">
        <v>3375</v>
      </c>
      <c r="CM15" s="3070">
        <v>1088697.25</v>
      </c>
      <c r="CV15" s="3070" t="s">
        <v>3246</v>
      </c>
      <c r="CW15" s="3070" t="s">
        <v>3377</v>
      </c>
      <c r="CX15" s="3070" t="s">
        <v>3242</v>
      </c>
      <c r="CZ15" s="3070">
        <v>213894.57</v>
      </c>
      <c r="DA15" s="3070">
        <v>159426.93</v>
      </c>
      <c r="DB15" s="3070">
        <v>0</v>
      </c>
      <c r="DC15" s="3070">
        <v>0</v>
      </c>
      <c r="DD15" s="3070">
        <v>3290547602</v>
      </c>
      <c r="DE15" s="3070">
        <v>2764253109</v>
      </c>
      <c r="DF15" s="3070">
        <v>1464966739</v>
      </c>
      <c r="DG15" s="3070">
        <v>14938370</v>
      </c>
      <c r="DH15" s="3070">
        <v>1284348000</v>
      </c>
      <c r="DI15" s="3070">
        <v>1278128000</v>
      </c>
      <c r="DJ15" s="3070">
        <v>6220000</v>
      </c>
      <c r="DK15" s="3070">
        <v>0</v>
      </c>
      <c r="DL15" s="3070">
        <v>0</v>
      </c>
      <c r="DM15" s="3070">
        <v>25491817.620000001</v>
      </c>
      <c r="DN15" s="3070">
        <v>2764253109</v>
      </c>
      <c r="DP15" s="3070">
        <v>2764253109</v>
      </c>
    </row>
    <row r="16" spans="1:122">
      <c r="A16" s="3070">
        <v>15</v>
      </c>
      <c r="B16" s="3070" t="s">
        <v>3224</v>
      </c>
      <c r="C16" s="3070">
        <v>1</v>
      </c>
      <c r="E16" s="3070">
        <v>1303</v>
      </c>
      <c r="F16" s="3070" t="s">
        <v>3378</v>
      </c>
      <c r="G16" s="3070" t="s">
        <v>3379</v>
      </c>
      <c r="H16" s="3070">
        <v>1186680</v>
      </c>
      <c r="I16" s="3070">
        <v>1186680</v>
      </c>
      <c r="J16" s="3070">
        <v>93.07</v>
      </c>
      <c r="K16" s="3070">
        <v>66.5</v>
      </c>
      <c r="L16" s="3070">
        <v>0</v>
      </c>
      <c r="M16" s="3070">
        <v>0</v>
      </c>
      <c r="N16" s="3070">
        <v>15694.45</v>
      </c>
      <c r="O16" s="3070">
        <v>1460682</v>
      </c>
      <c r="P16" s="3070">
        <v>12750.4</v>
      </c>
      <c r="Q16" s="3070">
        <v>1186680</v>
      </c>
      <c r="R16" s="3070" t="s">
        <v>3227</v>
      </c>
      <c r="S16" s="3070" t="s">
        <v>3380</v>
      </c>
      <c r="T16" s="3070" t="s">
        <v>3246</v>
      </c>
      <c r="U16" s="3070" t="s">
        <v>3381</v>
      </c>
      <c r="V16" s="3070" t="s">
        <v>3230</v>
      </c>
      <c r="Y16" s="3070">
        <v>356680</v>
      </c>
      <c r="Z16" s="3070">
        <v>356680</v>
      </c>
      <c r="AA16" s="3070">
        <v>356680</v>
      </c>
      <c r="AB16" s="3070">
        <v>0</v>
      </c>
      <c r="AC16" s="3070">
        <v>830000</v>
      </c>
      <c r="AD16" s="3070">
        <v>830000</v>
      </c>
      <c r="AE16" s="3070">
        <v>0</v>
      </c>
      <c r="AI16" s="3070" t="s">
        <v>3227</v>
      </c>
      <c r="AJ16" s="3070">
        <v>0</v>
      </c>
      <c r="AK16" s="3070">
        <v>0</v>
      </c>
      <c r="AL16" s="3070">
        <v>0</v>
      </c>
      <c r="AM16" s="3070">
        <v>12750.4</v>
      </c>
      <c r="AN16" s="3070">
        <v>1186680</v>
      </c>
      <c r="AP16" s="3070">
        <v>1186680</v>
      </c>
      <c r="AQ16" s="3072">
        <v>45138</v>
      </c>
      <c r="AT16" s="3073">
        <v>45678</v>
      </c>
      <c r="AV16" s="3070" t="s">
        <v>3382</v>
      </c>
      <c r="AW16" s="3070" t="s">
        <v>3383</v>
      </c>
      <c r="AX16" s="3070" t="s">
        <v>3384</v>
      </c>
      <c r="AY16" s="3070" t="s">
        <v>3385</v>
      </c>
      <c r="BC16" s="3070" t="s">
        <v>3284</v>
      </c>
      <c r="BD16" s="3070" t="s">
        <v>3077</v>
      </c>
      <c r="BI16" s="3070" t="s">
        <v>3235</v>
      </c>
      <c r="BJ16" s="3070" t="s">
        <v>3296</v>
      </c>
      <c r="BL16" s="3070" t="s">
        <v>3386</v>
      </c>
      <c r="BM16" s="3075">
        <v>44197</v>
      </c>
      <c r="BN16" s="3070">
        <v>303</v>
      </c>
      <c r="BO16" s="3070" t="s">
        <v>3253</v>
      </c>
      <c r="BR16" s="3070">
        <v>0</v>
      </c>
      <c r="BS16" s="3070" t="s">
        <v>3238</v>
      </c>
      <c r="BT16" s="3070" t="s">
        <v>3086</v>
      </c>
      <c r="BZ16" s="3073">
        <v>44144.65</v>
      </c>
      <c r="CA16" s="3070">
        <v>1</v>
      </c>
      <c r="CB16" s="3070" t="s">
        <v>3086</v>
      </c>
      <c r="CD16" s="3070" t="s">
        <v>3239</v>
      </c>
      <c r="CF16" s="3070" t="s">
        <v>3091</v>
      </c>
      <c r="CH16" s="3070" t="s">
        <v>3240</v>
      </c>
      <c r="CI16" s="3070">
        <v>0</v>
      </c>
      <c r="CK16" s="3070" t="s">
        <v>3385</v>
      </c>
      <c r="CL16" s="3070" t="s">
        <v>3385</v>
      </c>
      <c r="CM16" s="3070">
        <v>1088697.25</v>
      </c>
      <c r="CV16" s="3070" t="s">
        <v>3246</v>
      </c>
      <c r="CW16" s="3070" t="s">
        <v>3387</v>
      </c>
      <c r="CX16" s="3070" t="s">
        <v>3267</v>
      </c>
      <c r="CZ16" s="3070">
        <v>213894.57</v>
      </c>
      <c r="DA16" s="3070">
        <v>159426.93</v>
      </c>
      <c r="DB16" s="3070">
        <v>0</v>
      </c>
      <c r="DC16" s="3070">
        <v>0</v>
      </c>
      <c r="DD16" s="3070">
        <v>3290547602</v>
      </c>
      <c r="DE16" s="3070">
        <v>2764253109</v>
      </c>
      <c r="DF16" s="3070">
        <v>1464966739</v>
      </c>
      <c r="DG16" s="3070">
        <v>14938370</v>
      </c>
      <c r="DH16" s="3070">
        <v>1284348000</v>
      </c>
      <c r="DI16" s="3070">
        <v>1278128000</v>
      </c>
      <c r="DJ16" s="3070">
        <v>6220000</v>
      </c>
      <c r="DK16" s="3070">
        <v>0</v>
      </c>
      <c r="DL16" s="3070">
        <v>0</v>
      </c>
      <c r="DM16" s="3070">
        <v>25491817.620000001</v>
      </c>
      <c r="DN16" s="3070">
        <v>2764253109</v>
      </c>
      <c r="DP16" s="3070">
        <v>2764253109</v>
      </c>
    </row>
    <row r="17" spans="1:120">
      <c r="A17" s="3070">
        <v>16</v>
      </c>
      <c r="B17" s="3070" t="s">
        <v>3224</v>
      </c>
      <c r="C17" s="3070">
        <v>1</v>
      </c>
      <c r="E17" s="3070">
        <v>1304</v>
      </c>
      <c r="F17" s="3070" t="s">
        <v>3388</v>
      </c>
      <c r="G17" s="3070" t="s">
        <v>3389</v>
      </c>
      <c r="H17" s="3070">
        <v>1151317</v>
      </c>
      <c r="I17" s="3070">
        <v>1151317</v>
      </c>
      <c r="J17" s="3070">
        <v>93.07</v>
      </c>
      <c r="K17" s="3070">
        <v>66.5</v>
      </c>
      <c r="L17" s="3070">
        <v>0</v>
      </c>
      <c r="M17" s="3070">
        <v>0</v>
      </c>
      <c r="N17" s="3070">
        <v>15694.45</v>
      </c>
      <c r="O17" s="3070">
        <v>1460682</v>
      </c>
      <c r="P17" s="3070">
        <v>12370.44</v>
      </c>
      <c r="Q17" s="3070">
        <v>1151317</v>
      </c>
      <c r="R17" s="3070" t="s">
        <v>3227</v>
      </c>
      <c r="S17" s="3070" t="s">
        <v>3390</v>
      </c>
      <c r="T17" s="3070" t="s">
        <v>3258</v>
      </c>
      <c r="U17" s="3070" t="s">
        <v>3259</v>
      </c>
      <c r="V17" s="3070" t="s">
        <v>3230</v>
      </c>
      <c r="Y17" s="3070">
        <v>351317</v>
      </c>
      <c r="Z17" s="3070">
        <v>351317</v>
      </c>
      <c r="AA17" s="3070">
        <v>351317</v>
      </c>
      <c r="AB17" s="3070">
        <v>0</v>
      </c>
      <c r="AC17" s="3070">
        <v>800000</v>
      </c>
      <c r="AD17" s="3070">
        <v>800000</v>
      </c>
      <c r="AE17" s="3070">
        <v>0</v>
      </c>
      <c r="AI17" s="3070" t="s">
        <v>3227</v>
      </c>
      <c r="AJ17" s="3070">
        <v>0</v>
      </c>
      <c r="AK17" s="3070">
        <v>0</v>
      </c>
      <c r="AL17" s="3070">
        <v>0</v>
      </c>
      <c r="AM17" s="3070">
        <v>12370.44</v>
      </c>
      <c r="AN17" s="3070">
        <v>1151317</v>
      </c>
      <c r="AP17" s="3070">
        <v>1151317</v>
      </c>
      <c r="AQ17" s="3072">
        <v>45138</v>
      </c>
      <c r="AT17" s="3073">
        <v>45678</v>
      </c>
      <c r="AV17" s="3074">
        <v>3.21E+17</v>
      </c>
      <c r="AW17" s="3070" t="s">
        <v>3391</v>
      </c>
      <c r="AX17" s="3070" t="s">
        <v>3392</v>
      </c>
      <c r="AY17" s="3070" t="s">
        <v>3393</v>
      </c>
      <c r="BC17" s="3070" t="s">
        <v>3394</v>
      </c>
      <c r="BD17" s="3070" t="s">
        <v>3077</v>
      </c>
      <c r="BI17" s="3070" t="s">
        <v>3235</v>
      </c>
      <c r="BL17" s="3070" t="s">
        <v>3395</v>
      </c>
      <c r="BM17" s="3075">
        <v>44197</v>
      </c>
      <c r="BN17" s="3070">
        <v>304</v>
      </c>
      <c r="BO17" s="3070" t="s">
        <v>3253</v>
      </c>
      <c r="BP17" s="3070" t="s">
        <v>3253</v>
      </c>
      <c r="BR17" s="3070">
        <v>813</v>
      </c>
      <c r="BS17" s="3070" t="s">
        <v>3238</v>
      </c>
      <c r="BT17" s="3070" t="s">
        <v>3086</v>
      </c>
      <c r="BZ17" s="3073">
        <v>44153.808333333334</v>
      </c>
      <c r="CA17" s="3070">
        <v>1</v>
      </c>
      <c r="CB17" s="3070" t="s">
        <v>3086</v>
      </c>
      <c r="CD17" s="3070" t="s">
        <v>3239</v>
      </c>
      <c r="CF17" s="3070" t="s">
        <v>3091</v>
      </c>
      <c r="CH17" s="3070" t="s">
        <v>3240</v>
      </c>
      <c r="CI17" s="3070">
        <v>0</v>
      </c>
      <c r="CJ17" s="3070" t="s">
        <v>3259</v>
      </c>
      <c r="CK17" s="3070" t="s">
        <v>3393</v>
      </c>
      <c r="CL17" s="3070" t="s">
        <v>3393</v>
      </c>
      <c r="CM17" s="3070">
        <v>1056254.1299999999</v>
      </c>
      <c r="CV17" s="3070" t="s">
        <v>3258</v>
      </c>
      <c r="CW17" s="3070" t="s">
        <v>3396</v>
      </c>
      <c r="CX17" s="3070" t="s">
        <v>3267</v>
      </c>
      <c r="CZ17" s="3070">
        <v>213894.57</v>
      </c>
      <c r="DA17" s="3070">
        <v>159426.93</v>
      </c>
      <c r="DB17" s="3070">
        <v>0</v>
      </c>
      <c r="DC17" s="3070">
        <v>0</v>
      </c>
      <c r="DD17" s="3070">
        <v>3290547602</v>
      </c>
      <c r="DE17" s="3070">
        <v>2764253109</v>
      </c>
      <c r="DF17" s="3070">
        <v>1464966739</v>
      </c>
      <c r="DG17" s="3070">
        <v>14938370</v>
      </c>
      <c r="DH17" s="3070">
        <v>1284348000</v>
      </c>
      <c r="DI17" s="3070">
        <v>1278128000</v>
      </c>
      <c r="DJ17" s="3070">
        <v>6220000</v>
      </c>
      <c r="DK17" s="3070">
        <v>0</v>
      </c>
      <c r="DL17" s="3070">
        <v>0</v>
      </c>
      <c r="DM17" s="3070">
        <v>25491817.620000001</v>
      </c>
      <c r="DN17" s="3070">
        <v>2764253109</v>
      </c>
      <c r="DP17" s="3070">
        <v>2764253109</v>
      </c>
    </row>
    <row r="18" spans="1:120">
      <c r="A18" s="3070">
        <v>17</v>
      </c>
      <c r="B18" s="3070" t="s">
        <v>3224</v>
      </c>
      <c r="C18" s="3070">
        <v>1</v>
      </c>
      <c r="E18" s="3070">
        <v>1401</v>
      </c>
      <c r="F18" s="3070" t="s">
        <v>3397</v>
      </c>
      <c r="G18" s="3070" t="s">
        <v>3398</v>
      </c>
      <c r="H18" s="3070">
        <v>1177832</v>
      </c>
      <c r="I18" s="3070">
        <v>1177832</v>
      </c>
      <c r="J18" s="3070">
        <v>93.07</v>
      </c>
      <c r="K18" s="3070">
        <v>66.5</v>
      </c>
      <c r="L18" s="3070">
        <v>0</v>
      </c>
      <c r="M18" s="3070">
        <v>0</v>
      </c>
      <c r="N18" s="3070">
        <v>15594.45</v>
      </c>
      <c r="O18" s="3070">
        <v>1451375</v>
      </c>
      <c r="P18" s="3070">
        <v>12655.33</v>
      </c>
      <c r="Q18" s="3070">
        <v>1177832</v>
      </c>
      <c r="R18" s="3070" t="s">
        <v>3227</v>
      </c>
      <c r="S18" s="3070" t="s">
        <v>3399</v>
      </c>
      <c r="T18" s="3070" t="s">
        <v>3258</v>
      </c>
      <c r="U18" s="3070" t="s">
        <v>3259</v>
      </c>
      <c r="V18" s="3070" t="s">
        <v>3230</v>
      </c>
      <c r="Y18" s="3070">
        <v>477832</v>
      </c>
      <c r="Z18" s="3070">
        <v>117783</v>
      </c>
      <c r="AA18" s="3070">
        <v>477832</v>
      </c>
      <c r="AB18" s="3070">
        <v>0</v>
      </c>
      <c r="AC18" s="3070">
        <v>700000</v>
      </c>
      <c r="AD18" s="3070">
        <v>700000</v>
      </c>
      <c r="AE18" s="3070">
        <v>0</v>
      </c>
      <c r="AI18" s="3070" t="s">
        <v>3227</v>
      </c>
      <c r="AJ18" s="3070">
        <v>0</v>
      </c>
      <c r="AK18" s="3070">
        <v>0</v>
      </c>
      <c r="AL18" s="3070">
        <v>0</v>
      </c>
      <c r="AM18" s="3070">
        <v>12655.33</v>
      </c>
      <c r="AN18" s="3070">
        <v>1177832</v>
      </c>
      <c r="AP18" s="3070">
        <v>1177832</v>
      </c>
      <c r="AQ18" s="3072">
        <v>45138</v>
      </c>
      <c r="AT18" s="3073">
        <v>45678</v>
      </c>
      <c r="AV18" s="3074">
        <v>3.2E+17</v>
      </c>
      <c r="AW18" s="3070" t="s">
        <v>3400</v>
      </c>
      <c r="AX18" s="3070" t="s">
        <v>3401</v>
      </c>
      <c r="AY18" s="3070" t="s">
        <v>3364</v>
      </c>
      <c r="BC18" s="3070" t="s">
        <v>3263</v>
      </c>
      <c r="BD18" s="3070" t="s">
        <v>3077</v>
      </c>
      <c r="BI18" s="3070" t="s">
        <v>3235</v>
      </c>
      <c r="BJ18" s="3070" t="s">
        <v>3296</v>
      </c>
      <c r="BL18" s="3070" t="s">
        <v>3402</v>
      </c>
      <c r="BM18" s="3075">
        <v>44197</v>
      </c>
      <c r="BN18" s="3070">
        <v>401</v>
      </c>
      <c r="BO18" s="3070" t="s">
        <v>3403</v>
      </c>
      <c r="BP18" s="3070" t="s">
        <v>3403</v>
      </c>
      <c r="BR18" s="3070">
        <v>567</v>
      </c>
      <c r="BS18" s="3070" t="s">
        <v>3238</v>
      </c>
      <c r="BT18" s="3070" t="s">
        <v>3404</v>
      </c>
      <c r="BZ18" s="3073">
        <v>44142.636805555558</v>
      </c>
      <c r="CA18" s="3070">
        <v>1</v>
      </c>
      <c r="CB18" s="3070" t="s">
        <v>3404</v>
      </c>
      <c r="CD18" s="3070" t="s">
        <v>3239</v>
      </c>
      <c r="CF18" s="3070" t="s">
        <v>3091</v>
      </c>
      <c r="CH18" s="3070" t="s">
        <v>3240</v>
      </c>
      <c r="CI18" s="3070">
        <v>0</v>
      </c>
      <c r="CJ18" s="3070" t="s">
        <v>3259</v>
      </c>
      <c r="CK18" s="3070" t="s">
        <v>3364</v>
      </c>
      <c r="CL18" s="3070" t="s">
        <v>3364</v>
      </c>
      <c r="CM18" s="3070">
        <v>1080579.82</v>
      </c>
      <c r="CV18" s="3070" t="s">
        <v>3258</v>
      </c>
      <c r="CW18" s="3070" t="s">
        <v>3405</v>
      </c>
      <c r="CZ18" s="3070">
        <v>213894.57</v>
      </c>
      <c r="DA18" s="3070">
        <v>159426.93</v>
      </c>
      <c r="DB18" s="3070">
        <v>0</v>
      </c>
      <c r="DC18" s="3070">
        <v>0</v>
      </c>
      <c r="DD18" s="3070">
        <v>3290547602</v>
      </c>
      <c r="DE18" s="3070">
        <v>2764253109</v>
      </c>
      <c r="DF18" s="3070">
        <v>1464966739</v>
      </c>
      <c r="DG18" s="3070">
        <v>14938370</v>
      </c>
      <c r="DH18" s="3070">
        <v>1284348000</v>
      </c>
      <c r="DI18" s="3070">
        <v>1278128000</v>
      </c>
      <c r="DJ18" s="3070">
        <v>6220000</v>
      </c>
      <c r="DK18" s="3070">
        <v>0</v>
      </c>
      <c r="DL18" s="3070">
        <v>0</v>
      </c>
      <c r="DM18" s="3070">
        <v>25491817.620000001</v>
      </c>
      <c r="DN18" s="3070">
        <v>2764253109</v>
      </c>
      <c r="DP18" s="3070">
        <v>2764253109</v>
      </c>
    </row>
    <row r="19" spans="1:120">
      <c r="A19" s="3070">
        <v>18</v>
      </c>
      <c r="B19" s="3070" t="s">
        <v>3224</v>
      </c>
      <c r="C19" s="3070">
        <v>1</v>
      </c>
      <c r="E19" s="3070">
        <v>1402</v>
      </c>
      <c r="F19" s="3070" t="s">
        <v>3406</v>
      </c>
      <c r="G19" s="3070" t="s">
        <v>3407</v>
      </c>
      <c r="H19" s="3070">
        <v>1177832</v>
      </c>
      <c r="I19" s="3070">
        <v>1177832</v>
      </c>
      <c r="J19" s="3070">
        <v>93.07</v>
      </c>
      <c r="K19" s="3070">
        <v>66.5</v>
      </c>
      <c r="L19" s="3070">
        <v>0</v>
      </c>
      <c r="M19" s="3070">
        <v>0</v>
      </c>
      <c r="N19" s="3070">
        <v>15594.45</v>
      </c>
      <c r="O19" s="3070">
        <v>1451375</v>
      </c>
      <c r="P19" s="3070">
        <v>12655.33</v>
      </c>
      <c r="Q19" s="3070">
        <v>1177832</v>
      </c>
      <c r="R19" s="3070" t="s">
        <v>3227</v>
      </c>
      <c r="S19" s="3070" t="s">
        <v>3408</v>
      </c>
      <c r="T19" s="3070" t="s">
        <v>3258</v>
      </c>
      <c r="U19" s="3070" t="s">
        <v>3259</v>
      </c>
      <c r="V19" s="3070" t="s">
        <v>3230</v>
      </c>
      <c r="Y19" s="3070">
        <v>457832</v>
      </c>
      <c r="Z19" s="3070">
        <v>457832</v>
      </c>
      <c r="AA19" s="3070">
        <v>457832</v>
      </c>
      <c r="AB19" s="3070">
        <v>0</v>
      </c>
      <c r="AC19" s="3070">
        <v>720000</v>
      </c>
      <c r="AD19" s="3070">
        <v>720000</v>
      </c>
      <c r="AE19" s="3070">
        <v>0</v>
      </c>
      <c r="AI19" s="3070" t="s">
        <v>3227</v>
      </c>
      <c r="AJ19" s="3070">
        <v>0</v>
      </c>
      <c r="AK19" s="3070">
        <v>0</v>
      </c>
      <c r="AL19" s="3070">
        <v>0</v>
      </c>
      <c r="AM19" s="3070">
        <v>12655.33</v>
      </c>
      <c r="AN19" s="3070">
        <v>1177832</v>
      </c>
      <c r="AP19" s="3070">
        <v>1177832</v>
      </c>
      <c r="AQ19" s="3072">
        <v>45138</v>
      </c>
      <c r="AT19" s="3073">
        <v>45678</v>
      </c>
      <c r="AV19" s="3074">
        <v>3.21E+17</v>
      </c>
      <c r="AW19" s="3070" t="s">
        <v>3409</v>
      </c>
      <c r="AX19" s="3070" t="s">
        <v>3410</v>
      </c>
      <c r="AY19" s="3070" t="s">
        <v>3411</v>
      </c>
      <c r="BA19" s="3070" t="s">
        <v>3411</v>
      </c>
      <c r="BC19" s="3070" t="s">
        <v>3263</v>
      </c>
      <c r="BD19" s="3070" t="s">
        <v>3077</v>
      </c>
      <c r="BI19" s="3070" t="s">
        <v>3235</v>
      </c>
      <c r="BJ19" s="3070" t="s">
        <v>3296</v>
      </c>
      <c r="BL19" s="3070" t="s">
        <v>3412</v>
      </c>
      <c r="BM19" s="3075">
        <v>44197</v>
      </c>
      <c r="BN19" s="3070">
        <v>402</v>
      </c>
      <c r="BO19" s="3070" t="s">
        <v>3253</v>
      </c>
      <c r="BP19" s="3070" t="s">
        <v>3253</v>
      </c>
      <c r="BR19" s="3070">
        <v>675</v>
      </c>
      <c r="BS19" s="3070" t="s">
        <v>3238</v>
      </c>
      <c r="BT19" s="3070" t="s">
        <v>3086</v>
      </c>
      <c r="BU19" s="3070" t="s">
        <v>3411</v>
      </c>
      <c r="BZ19" s="3073">
        <v>44148.684027777781</v>
      </c>
      <c r="CA19" s="3070">
        <v>1</v>
      </c>
      <c r="CB19" s="3070" t="s">
        <v>3086</v>
      </c>
      <c r="CD19" s="3070" t="s">
        <v>3239</v>
      </c>
      <c r="CF19" s="3070" t="s">
        <v>3091</v>
      </c>
      <c r="CH19" s="3070" t="s">
        <v>3240</v>
      </c>
      <c r="CI19" s="3070">
        <v>0</v>
      </c>
      <c r="CJ19" s="3070" t="s">
        <v>3259</v>
      </c>
      <c r="CK19" s="3070" t="s">
        <v>3411</v>
      </c>
      <c r="CL19" s="3070" t="s">
        <v>3411</v>
      </c>
      <c r="CM19" s="3070">
        <v>1080579.82</v>
      </c>
      <c r="CV19" s="3070" t="s">
        <v>3258</v>
      </c>
      <c r="CW19" s="3070" t="s">
        <v>3413</v>
      </c>
      <c r="CZ19" s="3070">
        <v>213894.57</v>
      </c>
      <c r="DA19" s="3070">
        <v>159426.93</v>
      </c>
      <c r="DB19" s="3070">
        <v>0</v>
      </c>
      <c r="DC19" s="3070">
        <v>0</v>
      </c>
      <c r="DD19" s="3070">
        <v>3290547602</v>
      </c>
      <c r="DE19" s="3070">
        <v>2764253109</v>
      </c>
      <c r="DF19" s="3070">
        <v>1464966739</v>
      </c>
      <c r="DG19" s="3070">
        <v>14938370</v>
      </c>
      <c r="DH19" s="3070">
        <v>1284348000</v>
      </c>
      <c r="DI19" s="3070">
        <v>1278128000</v>
      </c>
      <c r="DJ19" s="3070">
        <v>6220000</v>
      </c>
      <c r="DK19" s="3070">
        <v>0</v>
      </c>
      <c r="DL19" s="3070">
        <v>0</v>
      </c>
      <c r="DM19" s="3070">
        <v>25491817.620000001</v>
      </c>
      <c r="DN19" s="3070">
        <v>2764253109</v>
      </c>
      <c r="DP19" s="3070">
        <v>2764253109</v>
      </c>
    </row>
    <row r="20" spans="1:120">
      <c r="A20" s="3070">
        <v>19</v>
      </c>
      <c r="B20" s="3070" t="s">
        <v>3224</v>
      </c>
      <c r="C20" s="3070">
        <v>1</v>
      </c>
      <c r="E20" s="3070">
        <v>1403</v>
      </c>
      <c r="F20" s="3070" t="s">
        <v>3414</v>
      </c>
      <c r="G20" s="3070" t="s">
        <v>3415</v>
      </c>
      <c r="H20" s="3070">
        <v>1177832</v>
      </c>
      <c r="I20" s="3070">
        <v>1177832</v>
      </c>
      <c r="J20" s="3070">
        <v>93.07</v>
      </c>
      <c r="K20" s="3070">
        <v>66.5</v>
      </c>
      <c r="L20" s="3070">
        <v>0</v>
      </c>
      <c r="M20" s="3070">
        <v>0</v>
      </c>
      <c r="N20" s="3070">
        <v>15594.45</v>
      </c>
      <c r="O20" s="3070">
        <v>1451375</v>
      </c>
      <c r="P20" s="3070">
        <v>12655.33</v>
      </c>
      <c r="Q20" s="3070">
        <v>1177832</v>
      </c>
      <c r="R20" s="3070" t="s">
        <v>3227</v>
      </c>
      <c r="S20" s="3070" t="s">
        <v>3416</v>
      </c>
      <c r="T20" s="3070" t="s">
        <v>3246</v>
      </c>
      <c r="U20" s="3070" t="s">
        <v>3371</v>
      </c>
      <c r="V20" s="3070" t="s">
        <v>3230</v>
      </c>
      <c r="Y20" s="3070">
        <v>377832</v>
      </c>
      <c r="Z20" s="3070">
        <v>377832</v>
      </c>
      <c r="AA20" s="3070">
        <v>377832</v>
      </c>
      <c r="AB20" s="3070">
        <v>0</v>
      </c>
      <c r="AC20" s="3070">
        <v>800000</v>
      </c>
      <c r="AD20" s="3070">
        <v>800000</v>
      </c>
      <c r="AE20" s="3070">
        <v>0</v>
      </c>
      <c r="AI20" s="3070" t="s">
        <v>3227</v>
      </c>
      <c r="AJ20" s="3070">
        <v>0</v>
      </c>
      <c r="AK20" s="3070">
        <v>0</v>
      </c>
      <c r="AL20" s="3070">
        <v>0</v>
      </c>
      <c r="AM20" s="3070">
        <v>12655.33</v>
      </c>
      <c r="AN20" s="3070">
        <v>1177832</v>
      </c>
      <c r="AP20" s="3070">
        <v>1177832</v>
      </c>
      <c r="AQ20" s="3072">
        <v>45138</v>
      </c>
      <c r="AT20" s="3073">
        <v>45678</v>
      </c>
      <c r="AV20" s="3074">
        <v>3.21E+17</v>
      </c>
      <c r="AW20" s="3070" t="s">
        <v>3417</v>
      </c>
      <c r="AX20" s="3070" t="s">
        <v>3418</v>
      </c>
      <c r="AY20" s="3070" t="s">
        <v>3419</v>
      </c>
      <c r="BC20" s="3070" t="s">
        <v>3284</v>
      </c>
      <c r="BD20" s="3070" t="s">
        <v>3077</v>
      </c>
      <c r="BI20" s="3070" t="s">
        <v>3235</v>
      </c>
      <c r="BL20" s="3070" t="s">
        <v>3420</v>
      </c>
      <c r="BM20" s="3075">
        <v>44197</v>
      </c>
      <c r="BN20" s="3070">
        <v>403</v>
      </c>
      <c r="BO20" s="3070" t="s">
        <v>3253</v>
      </c>
      <c r="BR20" s="3070">
        <v>438</v>
      </c>
      <c r="BS20" s="3070" t="s">
        <v>3238</v>
      </c>
      <c r="BT20" s="3070" t="s">
        <v>3086</v>
      </c>
      <c r="BZ20" s="3073">
        <v>44142.634722222225</v>
      </c>
      <c r="CA20" s="3070">
        <v>1</v>
      </c>
      <c r="CB20" s="3070" t="s">
        <v>3086</v>
      </c>
      <c r="CD20" s="3070" t="s">
        <v>3239</v>
      </c>
      <c r="CF20" s="3070" t="s">
        <v>3091</v>
      </c>
      <c r="CH20" s="3070" t="s">
        <v>3240</v>
      </c>
      <c r="CI20" s="3070">
        <v>0</v>
      </c>
      <c r="CK20" s="3070" t="s">
        <v>3419</v>
      </c>
      <c r="CL20" s="3070" t="s">
        <v>3419</v>
      </c>
      <c r="CM20" s="3070">
        <v>1080579.82</v>
      </c>
      <c r="CV20" s="3070" t="s">
        <v>3246</v>
      </c>
      <c r="CW20" s="3070" t="s">
        <v>3421</v>
      </c>
      <c r="CZ20" s="3070">
        <v>213894.57</v>
      </c>
      <c r="DA20" s="3070">
        <v>159426.93</v>
      </c>
      <c r="DB20" s="3070">
        <v>0</v>
      </c>
      <c r="DC20" s="3070">
        <v>0</v>
      </c>
      <c r="DD20" s="3070">
        <v>3290547602</v>
      </c>
      <c r="DE20" s="3070">
        <v>2764253109</v>
      </c>
      <c r="DF20" s="3070">
        <v>1464966739</v>
      </c>
      <c r="DG20" s="3070">
        <v>14938370</v>
      </c>
      <c r="DH20" s="3070">
        <v>1284348000</v>
      </c>
      <c r="DI20" s="3070">
        <v>1278128000</v>
      </c>
      <c r="DJ20" s="3070">
        <v>6220000</v>
      </c>
      <c r="DK20" s="3070">
        <v>0</v>
      </c>
      <c r="DL20" s="3070">
        <v>0</v>
      </c>
      <c r="DM20" s="3070">
        <v>25491817.620000001</v>
      </c>
      <c r="DN20" s="3070">
        <v>2764253109</v>
      </c>
      <c r="DP20" s="3070">
        <v>2764253109</v>
      </c>
    </row>
    <row r="21" spans="1:120">
      <c r="A21" s="3070">
        <v>20</v>
      </c>
      <c r="B21" s="3070" t="s">
        <v>3224</v>
      </c>
      <c r="C21" s="3070">
        <v>1</v>
      </c>
      <c r="E21" s="3070">
        <v>1404</v>
      </c>
      <c r="F21" s="3070" t="s">
        <v>3422</v>
      </c>
      <c r="G21" s="3070" t="s">
        <v>3423</v>
      </c>
      <c r="H21" s="3070">
        <v>1177832</v>
      </c>
      <c r="I21" s="3070">
        <v>1177832</v>
      </c>
      <c r="J21" s="3070">
        <v>93.07</v>
      </c>
      <c r="K21" s="3070">
        <v>66.5</v>
      </c>
      <c r="L21" s="3070">
        <v>0</v>
      </c>
      <c r="M21" s="3070">
        <v>0</v>
      </c>
      <c r="N21" s="3070">
        <v>15594.45</v>
      </c>
      <c r="O21" s="3070">
        <v>1451375</v>
      </c>
      <c r="P21" s="3070">
        <v>12655.33</v>
      </c>
      <c r="Q21" s="3070">
        <v>1177832</v>
      </c>
      <c r="R21" s="3070" t="s">
        <v>3227</v>
      </c>
      <c r="S21" s="3070" t="s">
        <v>3424</v>
      </c>
      <c r="T21" s="3070" t="s">
        <v>3425</v>
      </c>
      <c r="V21" s="3070" t="s">
        <v>3230</v>
      </c>
      <c r="Y21" s="3070">
        <v>767832</v>
      </c>
      <c r="Z21" s="3070">
        <v>507832</v>
      </c>
      <c r="AA21" s="3070">
        <v>767832</v>
      </c>
      <c r="AB21" s="3070">
        <v>0</v>
      </c>
      <c r="AC21" s="3070">
        <v>410000</v>
      </c>
      <c r="AD21" s="3070">
        <v>410000</v>
      </c>
      <c r="AE21" s="3070">
        <v>0</v>
      </c>
      <c r="AI21" s="3070" t="s">
        <v>3227</v>
      </c>
      <c r="AJ21" s="3070">
        <v>0</v>
      </c>
      <c r="AK21" s="3070">
        <v>0</v>
      </c>
      <c r="AL21" s="3070">
        <v>0</v>
      </c>
      <c r="AM21" s="3070">
        <v>12655.33</v>
      </c>
      <c r="AN21" s="3070">
        <v>1177832</v>
      </c>
      <c r="AP21" s="3070">
        <v>1177832</v>
      </c>
      <c r="AQ21" s="3072">
        <v>45138</v>
      </c>
      <c r="AT21" s="3073">
        <v>45678</v>
      </c>
      <c r="AV21" s="3070" t="s">
        <v>3426</v>
      </c>
      <c r="AW21" s="3070" t="s">
        <v>3427</v>
      </c>
      <c r="AX21" s="3070" t="s">
        <v>3428</v>
      </c>
      <c r="AY21" s="3070" t="s">
        <v>3429</v>
      </c>
      <c r="BC21" s="3070" t="s">
        <v>3430</v>
      </c>
      <c r="BD21" s="3070" t="s">
        <v>3077</v>
      </c>
      <c r="BI21" s="3070" t="s">
        <v>3235</v>
      </c>
      <c r="BJ21" s="3070" t="s">
        <v>3296</v>
      </c>
      <c r="BL21" s="3070" t="s">
        <v>3431</v>
      </c>
      <c r="BM21" s="3075">
        <v>44197</v>
      </c>
      <c r="BN21" s="3070">
        <v>404</v>
      </c>
      <c r="BP21" s="3070" t="s">
        <v>3253</v>
      </c>
      <c r="BR21" s="3070">
        <v>57</v>
      </c>
      <c r="BS21" s="3070" t="s">
        <v>3238</v>
      </c>
      <c r="BT21" s="3070" t="s">
        <v>3086</v>
      </c>
      <c r="BZ21" s="3073">
        <v>44142.650694444441</v>
      </c>
      <c r="CA21" s="3070">
        <v>1</v>
      </c>
      <c r="CB21" s="3070" t="s">
        <v>3086</v>
      </c>
      <c r="CD21" s="3070" t="s">
        <v>3239</v>
      </c>
      <c r="CF21" s="3070" t="s">
        <v>3091</v>
      </c>
      <c r="CH21" s="3070" t="s">
        <v>3240</v>
      </c>
      <c r="CI21" s="3070">
        <v>0</v>
      </c>
      <c r="CJ21" s="3070" t="s">
        <v>3259</v>
      </c>
      <c r="CK21" s="3070" t="s">
        <v>3429</v>
      </c>
      <c r="CL21" s="3070" t="s">
        <v>3429</v>
      </c>
      <c r="CM21" s="3070">
        <v>1080579.82</v>
      </c>
      <c r="CV21" s="3070" t="s">
        <v>3425</v>
      </c>
      <c r="CW21" s="3070" t="s">
        <v>3432</v>
      </c>
      <c r="CX21" s="3070" t="s">
        <v>3242</v>
      </c>
      <c r="CZ21" s="3070">
        <v>213894.57</v>
      </c>
      <c r="DA21" s="3070">
        <v>159426.93</v>
      </c>
      <c r="DB21" s="3070">
        <v>0</v>
      </c>
      <c r="DC21" s="3070">
        <v>0</v>
      </c>
      <c r="DD21" s="3070">
        <v>3290547602</v>
      </c>
      <c r="DE21" s="3070">
        <v>2764253109</v>
      </c>
      <c r="DF21" s="3070">
        <v>1464966739</v>
      </c>
      <c r="DG21" s="3070">
        <v>14938370</v>
      </c>
      <c r="DH21" s="3070">
        <v>1284348000</v>
      </c>
      <c r="DI21" s="3070">
        <v>1278128000</v>
      </c>
      <c r="DJ21" s="3070">
        <v>6220000</v>
      </c>
      <c r="DK21" s="3070">
        <v>0</v>
      </c>
      <c r="DL21" s="3070">
        <v>0</v>
      </c>
      <c r="DM21" s="3070">
        <v>25491817.620000001</v>
      </c>
      <c r="DN21" s="3070">
        <v>2764253109</v>
      </c>
      <c r="DP21" s="3070">
        <v>2764253109</v>
      </c>
    </row>
    <row r="22" spans="1:120">
      <c r="A22" s="3070">
        <v>21</v>
      </c>
      <c r="B22" s="3070" t="s">
        <v>3224</v>
      </c>
      <c r="C22" s="3070">
        <v>1</v>
      </c>
      <c r="E22" s="3070">
        <v>1501</v>
      </c>
      <c r="F22" s="3070" t="s">
        <v>3433</v>
      </c>
      <c r="G22" s="3070" t="s">
        <v>3434</v>
      </c>
      <c r="H22" s="3070">
        <v>1182256</v>
      </c>
      <c r="I22" s="3070">
        <v>1182256</v>
      </c>
      <c r="J22" s="3070">
        <v>93.07</v>
      </c>
      <c r="K22" s="3070">
        <v>66.5</v>
      </c>
      <c r="L22" s="3070">
        <v>0</v>
      </c>
      <c r="M22" s="3070">
        <v>0</v>
      </c>
      <c r="N22" s="3070">
        <v>15644.44</v>
      </c>
      <c r="O22" s="3070">
        <v>1456028</v>
      </c>
      <c r="P22" s="3070">
        <v>12702.87</v>
      </c>
      <c r="Q22" s="3070">
        <v>1182256</v>
      </c>
      <c r="R22" s="3070" t="s">
        <v>3227</v>
      </c>
      <c r="S22" s="3070" t="s">
        <v>3435</v>
      </c>
      <c r="T22" s="3070" t="s">
        <v>3246</v>
      </c>
      <c r="U22" s="3070" t="s">
        <v>3259</v>
      </c>
      <c r="V22" s="3070" t="s">
        <v>3230</v>
      </c>
      <c r="Y22" s="3070">
        <v>602256</v>
      </c>
      <c r="Z22" s="3070">
        <v>602256</v>
      </c>
      <c r="AA22" s="3070">
        <v>602256</v>
      </c>
      <c r="AB22" s="3070">
        <v>0</v>
      </c>
      <c r="AC22" s="3070">
        <v>580000</v>
      </c>
      <c r="AD22" s="3070">
        <v>580000</v>
      </c>
      <c r="AE22" s="3070">
        <v>0</v>
      </c>
      <c r="AI22" s="3070" t="s">
        <v>3227</v>
      </c>
      <c r="AJ22" s="3070">
        <v>0</v>
      </c>
      <c r="AK22" s="3070">
        <v>0</v>
      </c>
      <c r="AL22" s="3070">
        <v>0</v>
      </c>
      <c r="AM22" s="3070">
        <v>12702.87</v>
      </c>
      <c r="AN22" s="3070">
        <v>1182256</v>
      </c>
      <c r="AP22" s="3070">
        <v>1182256</v>
      </c>
      <c r="AQ22" s="3072">
        <v>45138</v>
      </c>
      <c r="AT22" s="3073">
        <v>45678</v>
      </c>
      <c r="AV22" s="3074">
        <v>3.21E+17</v>
      </c>
      <c r="AW22" s="3070" t="s">
        <v>3436</v>
      </c>
      <c r="AX22" s="3070" t="s">
        <v>3437</v>
      </c>
      <c r="AY22" s="3070" t="s">
        <v>3346</v>
      </c>
      <c r="BC22" s="3070" t="s">
        <v>3284</v>
      </c>
      <c r="BD22" s="3070" t="s">
        <v>3077</v>
      </c>
      <c r="BI22" s="3070" t="s">
        <v>3235</v>
      </c>
      <c r="BL22" s="3070" t="s">
        <v>3438</v>
      </c>
      <c r="BM22" s="3075">
        <v>44197</v>
      </c>
      <c r="BN22" s="3070">
        <v>501</v>
      </c>
      <c r="BO22" s="3070" t="s">
        <v>3253</v>
      </c>
      <c r="BR22" s="3070">
        <v>939</v>
      </c>
      <c r="BS22" s="3070" t="s">
        <v>3238</v>
      </c>
      <c r="BT22" s="3070" t="s">
        <v>3086</v>
      </c>
      <c r="BZ22" s="3073">
        <v>44143.761111111111</v>
      </c>
      <c r="CA22" s="3070">
        <v>1</v>
      </c>
      <c r="CB22" s="3070" t="s">
        <v>3086</v>
      </c>
      <c r="CD22" s="3070" t="s">
        <v>3239</v>
      </c>
      <c r="CF22" s="3070" t="s">
        <v>3091</v>
      </c>
      <c r="CH22" s="3070" t="s">
        <v>3240</v>
      </c>
      <c r="CI22" s="3070">
        <v>0</v>
      </c>
      <c r="CK22" s="3070" t="s">
        <v>3346</v>
      </c>
      <c r="CL22" s="3070" t="s">
        <v>3346</v>
      </c>
      <c r="CM22" s="3070">
        <v>1084638.53</v>
      </c>
      <c r="CV22" s="3070" t="s">
        <v>3246</v>
      </c>
      <c r="CW22" s="3070" t="s">
        <v>3439</v>
      </c>
      <c r="CX22" s="3070" t="s">
        <v>3350</v>
      </c>
      <c r="CZ22" s="3070">
        <v>213894.57</v>
      </c>
      <c r="DA22" s="3070">
        <v>159426.93</v>
      </c>
      <c r="DB22" s="3070">
        <v>0</v>
      </c>
      <c r="DC22" s="3070">
        <v>0</v>
      </c>
      <c r="DD22" s="3070">
        <v>3290547602</v>
      </c>
      <c r="DE22" s="3070">
        <v>2764253109</v>
      </c>
      <c r="DF22" s="3070">
        <v>1464966739</v>
      </c>
      <c r="DG22" s="3070">
        <v>14938370</v>
      </c>
      <c r="DH22" s="3070">
        <v>1284348000</v>
      </c>
      <c r="DI22" s="3070">
        <v>1278128000</v>
      </c>
      <c r="DJ22" s="3070">
        <v>6220000</v>
      </c>
      <c r="DK22" s="3070">
        <v>0</v>
      </c>
      <c r="DL22" s="3070">
        <v>0</v>
      </c>
      <c r="DM22" s="3070">
        <v>25491817.620000001</v>
      </c>
      <c r="DN22" s="3070">
        <v>2764253109</v>
      </c>
      <c r="DP22" s="3070">
        <v>2764253109</v>
      </c>
    </row>
    <row r="23" spans="1:120">
      <c r="A23" s="3070">
        <v>22</v>
      </c>
      <c r="B23" s="3070" t="s">
        <v>3224</v>
      </c>
      <c r="C23" s="3070">
        <v>1</v>
      </c>
      <c r="E23" s="3070">
        <v>1502</v>
      </c>
      <c r="F23" s="3070" t="s">
        <v>3440</v>
      </c>
      <c r="G23" s="3070" t="s">
        <v>3441</v>
      </c>
      <c r="H23" s="3070">
        <v>1182256</v>
      </c>
      <c r="I23" s="3070">
        <v>1182256</v>
      </c>
      <c r="J23" s="3070">
        <v>93.07</v>
      </c>
      <c r="K23" s="3070">
        <v>66.5</v>
      </c>
      <c r="L23" s="3070">
        <v>0</v>
      </c>
      <c r="M23" s="3070">
        <v>0</v>
      </c>
      <c r="N23" s="3070">
        <v>15644.44</v>
      </c>
      <c r="O23" s="3070">
        <v>1456028</v>
      </c>
      <c r="P23" s="3070">
        <v>12702.87</v>
      </c>
      <c r="Q23" s="3070">
        <v>1182256</v>
      </c>
      <c r="R23" s="3070" t="s">
        <v>3227</v>
      </c>
      <c r="S23" s="3070" t="s">
        <v>3442</v>
      </c>
      <c r="T23" s="3070" t="s">
        <v>3246</v>
      </c>
      <c r="U23" s="3070" t="s">
        <v>3259</v>
      </c>
      <c r="V23" s="3070" t="s">
        <v>3230</v>
      </c>
      <c r="Y23" s="3070">
        <v>362256</v>
      </c>
      <c r="Z23" s="3070">
        <v>362256</v>
      </c>
      <c r="AA23" s="3070">
        <v>362256</v>
      </c>
      <c r="AB23" s="3070">
        <v>0</v>
      </c>
      <c r="AC23" s="3070">
        <v>820000</v>
      </c>
      <c r="AD23" s="3070">
        <v>820000</v>
      </c>
      <c r="AE23" s="3070">
        <v>0</v>
      </c>
      <c r="AI23" s="3070" t="s">
        <v>3227</v>
      </c>
      <c r="AJ23" s="3070">
        <v>0</v>
      </c>
      <c r="AK23" s="3070">
        <v>0</v>
      </c>
      <c r="AL23" s="3070">
        <v>0</v>
      </c>
      <c r="AM23" s="3070">
        <v>12702.87</v>
      </c>
      <c r="AN23" s="3070">
        <v>1182256</v>
      </c>
      <c r="AP23" s="3070">
        <v>1182256</v>
      </c>
      <c r="AQ23" s="3072">
        <v>45138</v>
      </c>
      <c r="AT23" s="3073">
        <v>45678</v>
      </c>
      <c r="AV23" s="3070" t="s">
        <v>3443</v>
      </c>
      <c r="AW23" s="3070" t="s">
        <v>3444</v>
      </c>
      <c r="AX23" s="3070" t="s">
        <v>3445</v>
      </c>
      <c r="AY23" s="3070" t="s">
        <v>3364</v>
      </c>
      <c r="BC23" s="3070" t="s">
        <v>3284</v>
      </c>
      <c r="BD23" s="3070" t="s">
        <v>3077</v>
      </c>
      <c r="BI23" s="3070" t="s">
        <v>3235</v>
      </c>
      <c r="BJ23" s="3070" t="s">
        <v>3296</v>
      </c>
      <c r="BL23" s="3070" t="s">
        <v>3446</v>
      </c>
      <c r="BM23" s="3075">
        <v>44197</v>
      </c>
      <c r="BN23" s="3070">
        <v>502</v>
      </c>
      <c r="BO23" s="3070" t="s">
        <v>3253</v>
      </c>
      <c r="BR23" s="3070">
        <v>69</v>
      </c>
      <c r="BS23" s="3070" t="s">
        <v>3238</v>
      </c>
      <c r="BT23" s="3070" t="s">
        <v>3086</v>
      </c>
      <c r="BZ23" s="3073">
        <v>44144.553472222222</v>
      </c>
      <c r="CA23" s="3070">
        <v>1</v>
      </c>
      <c r="CB23" s="3070" t="s">
        <v>3086</v>
      </c>
      <c r="CD23" s="3070" t="s">
        <v>3239</v>
      </c>
      <c r="CF23" s="3070" t="s">
        <v>3091</v>
      </c>
      <c r="CH23" s="3070" t="s">
        <v>3240</v>
      </c>
      <c r="CI23" s="3070">
        <v>0</v>
      </c>
      <c r="CK23" s="3070" t="s">
        <v>3364</v>
      </c>
      <c r="CL23" s="3070" t="s">
        <v>3364</v>
      </c>
      <c r="CM23" s="3070">
        <v>1084638.53</v>
      </c>
      <c r="CV23" s="3070" t="s">
        <v>3246</v>
      </c>
      <c r="CW23" s="3070" t="s">
        <v>3447</v>
      </c>
      <c r="CZ23" s="3070">
        <v>213894.57</v>
      </c>
      <c r="DA23" s="3070">
        <v>159426.93</v>
      </c>
      <c r="DB23" s="3070">
        <v>0</v>
      </c>
      <c r="DC23" s="3070">
        <v>0</v>
      </c>
      <c r="DD23" s="3070">
        <v>3290547602</v>
      </c>
      <c r="DE23" s="3070">
        <v>2764253109</v>
      </c>
      <c r="DF23" s="3070">
        <v>1464966739</v>
      </c>
      <c r="DG23" s="3070">
        <v>14938370</v>
      </c>
      <c r="DH23" s="3070">
        <v>1284348000</v>
      </c>
      <c r="DI23" s="3070">
        <v>1278128000</v>
      </c>
      <c r="DJ23" s="3070">
        <v>6220000</v>
      </c>
      <c r="DK23" s="3070">
        <v>0</v>
      </c>
      <c r="DL23" s="3070">
        <v>0</v>
      </c>
      <c r="DM23" s="3070">
        <v>25491817.620000001</v>
      </c>
      <c r="DN23" s="3070">
        <v>2764253109</v>
      </c>
      <c r="DP23" s="3070">
        <v>2764253109</v>
      </c>
    </row>
    <row r="24" spans="1:120">
      <c r="A24" s="3070">
        <v>23</v>
      </c>
      <c r="B24" s="3070" t="s">
        <v>3224</v>
      </c>
      <c r="C24" s="3070">
        <v>1</v>
      </c>
      <c r="E24" s="3070">
        <v>1503</v>
      </c>
      <c r="F24" s="3070" t="s">
        <v>3448</v>
      </c>
      <c r="G24" s="3070" t="s">
        <v>3449</v>
      </c>
      <c r="H24" s="3070">
        <v>1170433</v>
      </c>
      <c r="I24" s="3070">
        <v>1170433</v>
      </c>
      <c r="J24" s="3070">
        <v>93.07</v>
      </c>
      <c r="K24" s="3070">
        <v>66.5</v>
      </c>
      <c r="L24" s="3070">
        <v>0</v>
      </c>
      <c r="M24" s="3070">
        <v>0</v>
      </c>
      <c r="N24" s="3070">
        <v>15644.44</v>
      </c>
      <c r="O24" s="3070">
        <v>1456028</v>
      </c>
      <c r="P24" s="3070">
        <v>12575.84</v>
      </c>
      <c r="Q24" s="3070">
        <v>1170433</v>
      </c>
      <c r="R24" s="3070" t="s">
        <v>3227</v>
      </c>
      <c r="S24" s="3070" t="s">
        <v>3450</v>
      </c>
      <c r="T24" s="3070" t="s">
        <v>3229</v>
      </c>
      <c r="V24" s="3070" t="s">
        <v>3230</v>
      </c>
      <c r="Y24" s="3070">
        <v>370433</v>
      </c>
      <c r="Z24" s="3070">
        <v>370433</v>
      </c>
      <c r="AA24" s="3070">
        <v>1170433</v>
      </c>
      <c r="AB24" s="3070">
        <v>0</v>
      </c>
      <c r="AC24" s="3070">
        <v>0</v>
      </c>
      <c r="AD24" s="3070">
        <v>0</v>
      </c>
      <c r="AE24" s="3070">
        <v>0</v>
      </c>
      <c r="AI24" s="3070" t="s">
        <v>3227</v>
      </c>
      <c r="AJ24" s="3070">
        <v>0</v>
      </c>
      <c r="AK24" s="3070">
        <v>0</v>
      </c>
      <c r="AL24" s="3070">
        <v>0</v>
      </c>
      <c r="AM24" s="3070">
        <v>12575.84</v>
      </c>
      <c r="AN24" s="3070">
        <v>1170433</v>
      </c>
      <c r="AP24" s="3070">
        <v>1170433</v>
      </c>
      <c r="AQ24" s="3072">
        <v>45138</v>
      </c>
      <c r="AT24" s="3073">
        <v>45678</v>
      </c>
      <c r="AV24" s="3074">
        <v>3.21E+17</v>
      </c>
      <c r="AW24" s="3070" t="s">
        <v>3451</v>
      </c>
      <c r="AX24" s="3070" t="s">
        <v>3452</v>
      </c>
      <c r="AY24" s="3070" t="s">
        <v>3393</v>
      </c>
      <c r="BC24" s="3070" t="s">
        <v>3347</v>
      </c>
      <c r="BD24" s="3070" t="s">
        <v>3077</v>
      </c>
      <c r="BI24" s="3070" t="s">
        <v>3235</v>
      </c>
      <c r="BL24" s="3070" t="s">
        <v>3453</v>
      </c>
      <c r="BM24" s="3075">
        <v>44197</v>
      </c>
      <c r="BN24" s="3070">
        <v>503</v>
      </c>
      <c r="BR24" s="3070">
        <v>901</v>
      </c>
      <c r="BS24" s="3070" t="s">
        <v>3238</v>
      </c>
      <c r="BT24" s="3070" t="s">
        <v>3086</v>
      </c>
      <c r="BZ24" s="3073">
        <v>44142.643055555556</v>
      </c>
      <c r="CA24" s="3070">
        <v>1</v>
      </c>
      <c r="CB24" s="3070" t="s">
        <v>3086</v>
      </c>
      <c r="CD24" s="3070" t="s">
        <v>3239</v>
      </c>
      <c r="CF24" s="3070" t="s">
        <v>3091</v>
      </c>
      <c r="CH24" s="3070" t="s">
        <v>3240</v>
      </c>
      <c r="CI24" s="3070">
        <v>0</v>
      </c>
      <c r="CK24" s="3070" t="s">
        <v>3393</v>
      </c>
      <c r="CL24" s="3070" t="s">
        <v>3393</v>
      </c>
      <c r="CM24" s="3070">
        <v>1073791.74</v>
      </c>
      <c r="CV24" s="3070" t="s">
        <v>3229</v>
      </c>
      <c r="CW24" s="3070" t="s">
        <v>3454</v>
      </c>
      <c r="CX24" s="3070" t="s">
        <v>3267</v>
      </c>
      <c r="CZ24" s="3070">
        <v>213894.57</v>
      </c>
      <c r="DA24" s="3070">
        <v>159426.93</v>
      </c>
      <c r="DB24" s="3070">
        <v>0</v>
      </c>
      <c r="DC24" s="3070">
        <v>0</v>
      </c>
      <c r="DD24" s="3070">
        <v>3290547602</v>
      </c>
      <c r="DE24" s="3070">
        <v>2764253109</v>
      </c>
      <c r="DF24" s="3070">
        <v>1464966739</v>
      </c>
      <c r="DG24" s="3070">
        <v>14938370</v>
      </c>
      <c r="DH24" s="3070">
        <v>1284348000</v>
      </c>
      <c r="DI24" s="3070">
        <v>1278128000</v>
      </c>
      <c r="DJ24" s="3070">
        <v>6220000</v>
      </c>
      <c r="DK24" s="3070">
        <v>0</v>
      </c>
      <c r="DL24" s="3070">
        <v>0</v>
      </c>
      <c r="DM24" s="3070">
        <v>25491817.620000001</v>
      </c>
      <c r="DN24" s="3070">
        <v>2764253109</v>
      </c>
      <c r="DP24" s="3070">
        <v>2764253109</v>
      </c>
    </row>
    <row r="25" spans="1:120">
      <c r="A25" s="3070">
        <v>24</v>
      </c>
      <c r="B25" s="3070" t="s">
        <v>3224</v>
      </c>
      <c r="C25" s="3070">
        <v>1</v>
      </c>
      <c r="E25" s="3070">
        <v>1504</v>
      </c>
      <c r="F25" s="3070" t="s">
        <v>3455</v>
      </c>
      <c r="G25" s="3070" t="s">
        <v>3456</v>
      </c>
      <c r="H25" s="3070">
        <v>1182256</v>
      </c>
      <c r="I25" s="3070">
        <v>1182256</v>
      </c>
      <c r="J25" s="3070">
        <v>93.07</v>
      </c>
      <c r="K25" s="3070">
        <v>66.5</v>
      </c>
      <c r="L25" s="3070">
        <v>0</v>
      </c>
      <c r="M25" s="3070">
        <v>0</v>
      </c>
      <c r="N25" s="3070">
        <v>15644.44</v>
      </c>
      <c r="O25" s="3070">
        <v>1456028</v>
      </c>
      <c r="P25" s="3070">
        <v>12702.87</v>
      </c>
      <c r="Q25" s="3070">
        <v>1182256</v>
      </c>
      <c r="R25" s="3070" t="s">
        <v>3227</v>
      </c>
      <c r="S25" s="3070" t="s">
        <v>3457</v>
      </c>
      <c r="T25" s="3070" t="s">
        <v>3425</v>
      </c>
      <c r="V25" s="3070" t="s">
        <v>3230</v>
      </c>
      <c r="Y25" s="3070">
        <v>682256</v>
      </c>
      <c r="Z25" s="3070">
        <v>362256</v>
      </c>
      <c r="AA25" s="3070">
        <v>682256</v>
      </c>
      <c r="AB25" s="3070">
        <v>0</v>
      </c>
      <c r="AC25" s="3070">
        <v>500000</v>
      </c>
      <c r="AD25" s="3070">
        <v>500000</v>
      </c>
      <c r="AE25" s="3070">
        <v>0</v>
      </c>
      <c r="AI25" s="3070" t="s">
        <v>3227</v>
      </c>
      <c r="AJ25" s="3070">
        <v>0</v>
      </c>
      <c r="AK25" s="3070">
        <v>0</v>
      </c>
      <c r="AL25" s="3070">
        <v>0</v>
      </c>
      <c r="AM25" s="3070">
        <v>12702.87</v>
      </c>
      <c r="AN25" s="3070">
        <v>1182256</v>
      </c>
      <c r="AP25" s="3070">
        <v>1182256</v>
      </c>
      <c r="AQ25" s="3072">
        <v>45138</v>
      </c>
      <c r="AT25" s="3073">
        <v>45678</v>
      </c>
      <c r="AV25" s="3070" t="s">
        <v>3458</v>
      </c>
      <c r="AW25" s="3070" t="s">
        <v>3459</v>
      </c>
      <c r="AX25" s="3070" t="s">
        <v>3460</v>
      </c>
      <c r="AY25" s="3070" t="s">
        <v>3364</v>
      </c>
      <c r="BC25" s="3070" t="s">
        <v>3461</v>
      </c>
      <c r="BD25" s="3070" t="s">
        <v>3077</v>
      </c>
      <c r="BI25" s="3070" t="s">
        <v>3235</v>
      </c>
      <c r="BJ25" s="3070" t="s">
        <v>3296</v>
      </c>
      <c r="BL25" s="3070" t="s">
        <v>3462</v>
      </c>
      <c r="BM25" s="3075">
        <v>44197</v>
      </c>
      <c r="BN25" s="3070">
        <v>504</v>
      </c>
      <c r="BP25" s="3070" t="s">
        <v>3253</v>
      </c>
      <c r="BR25" s="3070">
        <v>146</v>
      </c>
      <c r="BS25" s="3070" t="s">
        <v>3238</v>
      </c>
      <c r="BT25" s="3070" t="s">
        <v>3086</v>
      </c>
      <c r="BZ25" s="3073">
        <v>44142.60833333333</v>
      </c>
      <c r="CA25" s="3070">
        <v>1</v>
      </c>
      <c r="CB25" s="3070" t="s">
        <v>3086</v>
      </c>
      <c r="CD25" s="3070" t="s">
        <v>3239</v>
      </c>
      <c r="CF25" s="3070" t="s">
        <v>3091</v>
      </c>
      <c r="CH25" s="3070" t="s">
        <v>3240</v>
      </c>
      <c r="CI25" s="3070">
        <v>0</v>
      </c>
      <c r="CJ25" s="3070" t="s">
        <v>3259</v>
      </c>
      <c r="CK25" s="3070" t="s">
        <v>3364</v>
      </c>
      <c r="CL25" s="3070" t="s">
        <v>3364</v>
      </c>
      <c r="CM25" s="3070">
        <v>1084638.53</v>
      </c>
      <c r="CV25" s="3070" t="s">
        <v>3425</v>
      </c>
      <c r="CW25" s="3070" t="s">
        <v>3463</v>
      </c>
      <c r="CZ25" s="3070">
        <v>213894.57</v>
      </c>
      <c r="DA25" s="3070">
        <v>159426.93</v>
      </c>
      <c r="DB25" s="3070">
        <v>0</v>
      </c>
      <c r="DC25" s="3070">
        <v>0</v>
      </c>
      <c r="DD25" s="3070">
        <v>3290547602</v>
      </c>
      <c r="DE25" s="3070">
        <v>2764253109</v>
      </c>
      <c r="DF25" s="3070">
        <v>1464966739</v>
      </c>
      <c r="DG25" s="3070">
        <v>14938370</v>
      </c>
      <c r="DH25" s="3070">
        <v>1284348000</v>
      </c>
      <c r="DI25" s="3070">
        <v>1278128000</v>
      </c>
      <c r="DJ25" s="3070">
        <v>6220000</v>
      </c>
      <c r="DK25" s="3070">
        <v>0</v>
      </c>
      <c r="DL25" s="3070">
        <v>0</v>
      </c>
      <c r="DM25" s="3070">
        <v>25491817.620000001</v>
      </c>
      <c r="DN25" s="3070">
        <v>2764253109</v>
      </c>
      <c r="DP25" s="3070">
        <v>2764253109</v>
      </c>
    </row>
    <row r="26" spans="1:120">
      <c r="A26" s="3070">
        <v>25</v>
      </c>
      <c r="B26" s="3070" t="s">
        <v>3224</v>
      </c>
      <c r="C26" s="3070">
        <v>1</v>
      </c>
      <c r="E26" s="3070">
        <v>1601</v>
      </c>
      <c r="F26" s="3070" t="s">
        <v>3464</v>
      </c>
      <c r="G26" s="3070" t="s">
        <v>3465</v>
      </c>
      <c r="H26" s="3070">
        <v>1182256</v>
      </c>
      <c r="I26" s="3070">
        <v>1182256</v>
      </c>
      <c r="J26" s="3070">
        <v>93.07</v>
      </c>
      <c r="K26" s="3070">
        <v>66.5</v>
      </c>
      <c r="L26" s="3070">
        <v>0</v>
      </c>
      <c r="M26" s="3070">
        <v>0</v>
      </c>
      <c r="N26" s="3070">
        <v>15644.44</v>
      </c>
      <c r="O26" s="3070">
        <v>1456028</v>
      </c>
      <c r="P26" s="3070">
        <v>12702.87</v>
      </c>
      <c r="Q26" s="3070">
        <v>1182256</v>
      </c>
      <c r="R26" s="3070" t="s">
        <v>3227</v>
      </c>
      <c r="S26" s="3070" t="s">
        <v>3466</v>
      </c>
      <c r="T26" s="3070" t="s">
        <v>3246</v>
      </c>
      <c r="U26" s="3070" t="s">
        <v>3467</v>
      </c>
      <c r="V26" s="3070" t="s">
        <v>3230</v>
      </c>
      <c r="Y26" s="3070">
        <v>362256</v>
      </c>
      <c r="Z26" s="3070">
        <v>362256</v>
      </c>
      <c r="AA26" s="3070">
        <v>362256</v>
      </c>
      <c r="AB26" s="3070">
        <v>0</v>
      </c>
      <c r="AC26" s="3070">
        <v>820000</v>
      </c>
      <c r="AD26" s="3070">
        <v>820000</v>
      </c>
      <c r="AE26" s="3070">
        <v>0</v>
      </c>
      <c r="AI26" s="3070" t="s">
        <v>3227</v>
      </c>
      <c r="AJ26" s="3070">
        <v>0</v>
      </c>
      <c r="AK26" s="3070">
        <v>0</v>
      </c>
      <c r="AL26" s="3070">
        <v>0</v>
      </c>
      <c r="AM26" s="3070">
        <v>12702.87</v>
      </c>
      <c r="AN26" s="3070">
        <v>1182256</v>
      </c>
      <c r="AP26" s="3070">
        <v>1182256</v>
      </c>
      <c r="AQ26" s="3072">
        <v>45138</v>
      </c>
      <c r="AT26" s="3073">
        <v>45678</v>
      </c>
      <c r="AV26" s="3070" t="s">
        <v>3468</v>
      </c>
      <c r="AW26" s="3070" t="s">
        <v>3469</v>
      </c>
      <c r="AX26" s="3070" t="s">
        <v>3470</v>
      </c>
      <c r="AY26" s="3070" t="s">
        <v>3429</v>
      </c>
      <c r="BC26" s="3070" t="s">
        <v>3284</v>
      </c>
      <c r="BD26" s="3070" t="s">
        <v>3077</v>
      </c>
      <c r="BI26" s="3070" t="s">
        <v>3235</v>
      </c>
      <c r="BJ26" s="3070" t="s">
        <v>3296</v>
      </c>
      <c r="BL26" s="3070" t="s">
        <v>3471</v>
      </c>
      <c r="BM26" s="3075">
        <v>44197</v>
      </c>
      <c r="BN26" s="3070">
        <v>601</v>
      </c>
      <c r="BO26" s="3070" t="s">
        <v>3253</v>
      </c>
      <c r="BR26" s="3070">
        <v>229</v>
      </c>
      <c r="BS26" s="3070" t="s">
        <v>3238</v>
      </c>
      <c r="BT26" s="3070" t="s">
        <v>3086</v>
      </c>
      <c r="BZ26" s="3073">
        <v>44142.609722222223</v>
      </c>
      <c r="CA26" s="3070">
        <v>1</v>
      </c>
      <c r="CB26" s="3070" t="s">
        <v>3086</v>
      </c>
      <c r="CD26" s="3070" t="s">
        <v>3239</v>
      </c>
      <c r="CF26" s="3070" t="s">
        <v>3091</v>
      </c>
      <c r="CH26" s="3070" t="s">
        <v>3240</v>
      </c>
      <c r="CI26" s="3070">
        <v>0</v>
      </c>
      <c r="CK26" s="3070" t="s">
        <v>3429</v>
      </c>
      <c r="CL26" s="3070" t="s">
        <v>3429</v>
      </c>
      <c r="CM26" s="3070">
        <v>1084638.53</v>
      </c>
      <c r="CV26" s="3070" t="s">
        <v>3246</v>
      </c>
      <c r="CW26" s="3070" t="s">
        <v>3472</v>
      </c>
      <c r="CZ26" s="3070">
        <v>213894.57</v>
      </c>
      <c r="DA26" s="3070">
        <v>159426.93</v>
      </c>
      <c r="DB26" s="3070">
        <v>0</v>
      </c>
      <c r="DC26" s="3070">
        <v>0</v>
      </c>
      <c r="DD26" s="3070">
        <v>3290547602</v>
      </c>
      <c r="DE26" s="3070">
        <v>2764253109</v>
      </c>
      <c r="DF26" s="3070">
        <v>1464966739</v>
      </c>
      <c r="DG26" s="3070">
        <v>14938370</v>
      </c>
      <c r="DH26" s="3070">
        <v>1284348000</v>
      </c>
      <c r="DI26" s="3070">
        <v>1278128000</v>
      </c>
      <c r="DJ26" s="3070">
        <v>6220000</v>
      </c>
      <c r="DK26" s="3070">
        <v>0</v>
      </c>
      <c r="DL26" s="3070">
        <v>0</v>
      </c>
      <c r="DM26" s="3070">
        <v>25491817.620000001</v>
      </c>
      <c r="DN26" s="3070">
        <v>2764253109</v>
      </c>
      <c r="DP26" s="3070">
        <v>2764253109</v>
      </c>
    </row>
    <row r="27" spans="1:120">
      <c r="A27" s="3070">
        <v>26</v>
      </c>
      <c r="B27" s="3070" t="s">
        <v>3224</v>
      </c>
      <c r="C27" s="3070">
        <v>1</v>
      </c>
      <c r="E27" s="3070">
        <v>1602</v>
      </c>
      <c r="F27" s="3070" t="s">
        <v>3473</v>
      </c>
      <c r="G27" s="3070" t="s">
        <v>3474</v>
      </c>
      <c r="H27" s="3070">
        <v>1182256</v>
      </c>
      <c r="I27" s="3070">
        <v>1182256</v>
      </c>
      <c r="J27" s="3070">
        <v>93.07</v>
      </c>
      <c r="K27" s="3070">
        <v>66.5</v>
      </c>
      <c r="L27" s="3070">
        <v>0</v>
      </c>
      <c r="M27" s="3070">
        <v>0</v>
      </c>
      <c r="N27" s="3070">
        <v>15644.44</v>
      </c>
      <c r="O27" s="3070">
        <v>1456028</v>
      </c>
      <c r="P27" s="3070">
        <v>12702.87</v>
      </c>
      <c r="Q27" s="3070">
        <v>1182256</v>
      </c>
      <c r="R27" s="3070" t="s">
        <v>3227</v>
      </c>
      <c r="S27" s="3070" t="s">
        <v>3475</v>
      </c>
      <c r="T27" s="3070" t="s">
        <v>3476</v>
      </c>
      <c r="U27" s="3070" t="s">
        <v>3371</v>
      </c>
      <c r="V27" s="3070" t="s">
        <v>3230</v>
      </c>
      <c r="Y27" s="3070">
        <v>141871</v>
      </c>
      <c r="Z27" s="3070">
        <v>220000</v>
      </c>
      <c r="AA27" s="3070">
        <v>482256</v>
      </c>
      <c r="AB27" s="3070">
        <v>0</v>
      </c>
      <c r="AC27" s="3070">
        <v>700000</v>
      </c>
      <c r="AD27" s="3070">
        <v>700000</v>
      </c>
      <c r="AE27" s="3070">
        <v>0</v>
      </c>
      <c r="AI27" s="3070" t="s">
        <v>3227</v>
      </c>
      <c r="AJ27" s="3070">
        <v>0</v>
      </c>
      <c r="AK27" s="3070">
        <v>0</v>
      </c>
      <c r="AL27" s="3070">
        <v>0</v>
      </c>
      <c r="AM27" s="3070">
        <v>12702.87</v>
      </c>
      <c r="AN27" s="3070">
        <v>1182256</v>
      </c>
      <c r="AP27" s="3070">
        <v>1182256</v>
      </c>
      <c r="AQ27" s="3072">
        <v>45138</v>
      </c>
      <c r="AT27" s="3073">
        <v>45678</v>
      </c>
      <c r="AV27" s="3074">
        <v>4.11E+17</v>
      </c>
      <c r="AW27" s="3070" t="s">
        <v>3477</v>
      </c>
      <c r="AX27" s="3070" t="s">
        <v>3478</v>
      </c>
      <c r="AY27" s="3070" t="s">
        <v>3337</v>
      </c>
      <c r="BC27" s="3070" t="s">
        <v>3479</v>
      </c>
      <c r="BD27" s="3070" t="s">
        <v>3077</v>
      </c>
      <c r="BI27" s="3070" t="s">
        <v>3235</v>
      </c>
      <c r="BJ27" s="3070" t="s">
        <v>3296</v>
      </c>
      <c r="BL27" s="3070" t="s">
        <v>3480</v>
      </c>
      <c r="BM27" s="3075">
        <v>44197</v>
      </c>
      <c r="BN27" s="3070">
        <v>602</v>
      </c>
      <c r="BO27" s="3070" t="s">
        <v>3253</v>
      </c>
      <c r="BR27" s="3070">
        <v>315</v>
      </c>
      <c r="BS27" s="3070" t="s">
        <v>3238</v>
      </c>
      <c r="BT27" s="3070" t="s">
        <v>3481</v>
      </c>
      <c r="BZ27" s="3073">
        <v>44153.805555555555</v>
      </c>
      <c r="CA27" s="3070">
        <v>1</v>
      </c>
      <c r="CB27" s="3070" t="s">
        <v>3481</v>
      </c>
      <c r="CD27" s="3070" t="s">
        <v>3239</v>
      </c>
      <c r="CF27" s="3070" t="s">
        <v>3091</v>
      </c>
      <c r="CH27" s="3070" t="s">
        <v>3240</v>
      </c>
      <c r="CI27" s="3070">
        <v>0</v>
      </c>
      <c r="CK27" s="3070" t="s">
        <v>3337</v>
      </c>
      <c r="CL27" s="3070" t="s">
        <v>3337</v>
      </c>
      <c r="CM27" s="3070">
        <v>1084638.53</v>
      </c>
      <c r="CV27" s="3070" t="s">
        <v>3482</v>
      </c>
      <c r="CW27" s="3070" t="s">
        <v>3483</v>
      </c>
      <c r="CZ27" s="3070">
        <v>213894.57</v>
      </c>
      <c r="DA27" s="3070">
        <v>159426.93</v>
      </c>
      <c r="DB27" s="3070">
        <v>0</v>
      </c>
      <c r="DC27" s="3070">
        <v>0</v>
      </c>
      <c r="DD27" s="3070">
        <v>3290547602</v>
      </c>
      <c r="DE27" s="3070">
        <v>2764253109</v>
      </c>
      <c r="DF27" s="3070">
        <v>1464966739</v>
      </c>
      <c r="DG27" s="3070">
        <v>14938370</v>
      </c>
      <c r="DH27" s="3070">
        <v>1284348000</v>
      </c>
      <c r="DI27" s="3070">
        <v>1278128000</v>
      </c>
      <c r="DJ27" s="3070">
        <v>6220000</v>
      </c>
      <c r="DK27" s="3070">
        <v>0</v>
      </c>
      <c r="DL27" s="3070">
        <v>0</v>
      </c>
      <c r="DM27" s="3070">
        <v>25491817.620000001</v>
      </c>
      <c r="DN27" s="3070">
        <v>2764253109</v>
      </c>
      <c r="DP27" s="3070">
        <v>2764253109</v>
      </c>
    </row>
    <row r="28" spans="1:120">
      <c r="A28" s="3070">
        <v>27</v>
      </c>
      <c r="B28" s="3070" t="s">
        <v>3224</v>
      </c>
      <c r="C28" s="3070">
        <v>1</v>
      </c>
      <c r="E28" s="3070">
        <v>1603</v>
      </c>
      <c r="F28" s="3070" t="s">
        <v>3484</v>
      </c>
      <c r="G28" s="3070" t="s">
        <v>3485</v>
      </c>
      <c r="H28" s="3070">
        <v>1182256</v>
      </c>
      <c r="I28" s="3070">
        <v>1182256</v>
      </c>
      <c r="J28" s="3070">
        <v>93.07</v>
      </c>
      <c r="K28" s="3070">
        <v>66.5</v>
      </c>
      <c r="L28" s="3070">
        <v>0</v>
      </c>
      <c r="M28" s="3070">
        <v>0</v>
      </c>
      <c r="N28" s="3070">
        <v>15644.44</v>
      </c>
      <c r="O28" s="3070">
        <v>1456028</v>
      </c>
      <c r="P28" s="3070">
        <v>12702.87</v>
      </c>
      <c r="Q28" s="3070">
        <v>1182256</v>
      </c>
      <c r="R28" s="3070" t="s">
        <v>3227</v>
      </c>
      <c r="S28" s="3070" t="s">
        <v>3486</v>
      </c>
      <c r="T28" s="3070" t="s">
        <v>3246</v>
      </c>
      <c r="U28" s="3070" t="s">
        <v>3467</v>
      </c>
      <c r="V28" s="3070" t="s">
        <v>3230</v>
      </c>
      <c r="Y28" s="3070">
        <v>362256</v>
      </c>
      <c r="Z28" s="3070">
        <v>118226</v>
      </c>
      <c r="AA28" s="3070">
        <v>362256</v>
      </c>
      <c r="AB28" s="3070">
        <v>0</v>
      </c>
      <c r="AC28" s="3070">
        <v>820000</v>
      </c>
      <c r="AD28" s="3070">
        <v>820000</v>
      </c>
      <c r="AE28" s="3070">
        <v>0</v>
      </c>
      <c r="AI28" s="3070" t="s">
        <v>3227</v>
      </c>
      <c r="AJ28" s="3070">
        <v>0</v>
      </c>
      <c r="AK28" s="3070">
        <v>0</v>
      </c>
      <c r="AL28" s="3070">
        <v>0</v>
      </c>
      <c r="AM28" s="3070">
        <v>12702.87</v>
      </c>
      <c r="AN28" s="3070">
        <v>1182256</v>
      </c>
      <c r="AP28" s="3070">
        <v>1182256</v>
      </c>
      <c r="AQ28" s="3072">
        <v>45138</v>
      </c>
      <c r="AT28" s="3073">
        <v>45678</v>
      </c>
      <c r="AV28" s="3074">
        <v>3.21E+17</v>
      </c>
      <c r="AW28" s="3070" t="s">
        <v>3487</v>
      </c>
      <c r="AX28" s="3070" t="s">
        <v>3488</v>
      </c>
      <c r="AY28" s="3070" t="s">
        <v>3419</v>
      </c>
      <c r="BC28" s="3070" t="s">
        <v>3284</v>
      </c>
      <c r="BD28" s="3070" t="s">
        <v>3077</v>
      </c>
      <c r="BI28" s="3070" t="s">
        <v>3235</v>
      </c>
      <c r="BJ28" s="3070" t="s">
        <v>3338</v>
      </c>
      <c r="BL28" s="3070" t="s">
        <v>3489</v>
      </c>
      <c r="BM28" s="3075">
        <v>44197</v>
      </c>
      <c r="BN28" s="3070">
        <v>603</v>
      </c>
      <c r="BO28" s="3070" t="s">
        <v>3253</v>
      </c>
      <c r="BR28" s="3070">
        <v>13</v>
      </c>
      <c r="BS28" s="3070" t="s">
        <v>3238</v>
      </c>
      <c r="BT28" s="3070" t="s">
        <v>3086</v>
      </c>
      <c r="BZ28" s="3073">
        <v>44148.469444444447</v>
      </c>
      <c r="CA28" s="3070">
        <v>1</v>
      </c>
      <c r="CB28" s="3070" t="s">
        <v>3086</v>
      </c>
      <c r="CD28" s="3070" t="s">
        <v>3239</v>
      </c>
      <c r="CF28" s="3070" t="s">
        <v>3091</v>
      </c>
      <c r="CH28" s="3070" t="s">
        <v>3240</v>
      </c>
      <c r="CI28" s="3070">
        <v>0</v>
      </c>
      <c r="CK28" s="3070" t="s">
        <v>3419</v>
      </c>
      <c r="CL28" s="3070" t="s">
        <v>3419</v>
      </c>
      <c r="CM28" s="3070">
        <v>1084638.53</v>
      </c>
      <c r="CV28" s="3070" t="s">
        <v>3246</v>
      </c>
      <c r="CW28" s="3070" t="s">
        <v>3490</v>
      </c>
      <c r="CZ28" s="3070">
        <v>213894.57</v>
      </c>
      <c r="DA28" s="3070">
        <v>159426.93</v>
      </c>
      <c r="DB28" s="3070">
        <v>0</v>
      </c>
      <c r="DC28" s="3070">
        <v>0</v>
      </c>
      <c r="DD28" s="3070">
        <v>3290547602</v>
      </c>
      <c r="DE28" s="3070">
        <v>2764253109</v>
      </c>
      <c r="DF28" s="3070">
        <v>1464966739</v>
      </c>
      <c r="DG28" s="3070">
        <v>14938370</v>
      </c>
      <c r="DH28" s="3070">
        <v>1284348000</v>
      </c>
      <c r="DI28" s="3070">
        <v>1278128000</v>
      </c>
      <c r="DJ28" s="3070">
        <v>6220000</v>
      </c>
      <c r="DK28" s="3070">
        <v>0</v>
      </c>
      <c r="DL28" s="3070">
        <v>0</v>
      </c>
      <c r="DM28" s="3070">
        <v>25491817.620000001</v>
      </c>
      <c r="DN28" s="3070">
        <v>2764253109</v>
      </c>
      <c r="DP28" s="3070">
        <v>2764253109</v>
      </c>
    </row>
    <row r="29" spans="1:120">
      <c r="A29" s="3070">
        <v>28</v>
      </c>
      <c r="B29" s="3070" t="s">
        <v>3224</v>
      </c>
      <c r="C29" s="3070">
        <v>1</v>
      </c>
      <c r="E29" s="3070">
        <v>1604</v>
      </c>
      <c r="F29" s="3070" t="s">
        <v>3491</v>
      </c>
      <c r="G29" s="3070" t="s">
        <v>3492</v>
      </c>
      <c r="H29" s="3070">
        <v>1158610</v>
      </c>
      <c r="I29" s="3070">
        <v>1158610</v>
      </c>
      <c r="J29" s="3070">
        <v>93.07</v>
      </c>
      <c r="K29" s="3070">
        <v>66.5</v>
      </c>
      <c r="L29" s="3070">
        <v>0</v>
      </c>
      <c r="M29" s="3070">
        <v>0</v>
      </c>
      <c r="N29" s="3070">
        <v>15644.44</v>
      </c>
      <c r="O29" s="3070">
        <v>1456028</v>
      </c>
      <c r="P29" s="3070">
        <v>12448.8</v>
      </c>
      <c r="Q29" s="3070">
        <v>1158610</v>
      </c>
      <c r="R29" s="3070" t="s">
        <v>3227</v>
      </c>
      <c r="S29" s="3070" t="s">
        <v>3493</v>
      </c>
      <c r="T29" s="3070" t="s">
        <v>3494</v>
      </c>
      <c r="V29" s="3070" t="s">
        <v>3230</v>
      </c>
      <c r="Y29" s="3070">
        <v>115861</v>
      </c>
      <c r="Z29" s="3070">
        <v>118226</v>
      </c>
      <c r="AA29" s="3070">
        <v>1158610</v>
      </c>
      <c r="AB29" s="3070">
        <v>0</v>
      </c>
      <c r="AC29" s="3070">
        <v>0</v>
      </c>
      <c r="AD29" s="3070">
        <v>0</v>
      </c>
      <c r="AE29" s="3070">
        <v>0</v>
      </c>
      <c r="AI29" s="3070" t="s">
        <v>3227</v>
      </c>
      <c r="AJ29" s="3070">
        <v>0</v>
      </c>
      <c r="AK29" s="3070">
        <v>0</v>
      </c>
      <c r="AL29" s="3070">
        <v>0</v>
      </c>
      <c r="AM29" s="3070">
        <v>12448.8</v>
      </c>
      <c r="AN29" s="3070">
        <v>1158610</v>
      </c>
      <c r="AP29" s="3070">
        <v>1158610</v>
      </c>
      <c r="AQ29" s="3072">
        <v>45138</v>
      </c>
      <c r="AT29" s="3073">
        <v>45678</v>
      </c>
      <c r="AV29" s="3074">
        <v>3.21E+17</v>
      </c>
      <c r="AW29" s="3070" t="s">
        <v>3495</v>
      </c>
      <c r="AX29" s="3070" t="s">
        <v>3496</v>
      </c>
      <c r="AY29" s="3070" t="s">
        <v>3497</v>
      </c>
      <c r="BC29" s="3070" t="s">
        <v>3498</v>
      </c>
      <c r="BD29" s="3070" t="s">
        <v>3077</v>
      </c>
      <c r="BI29" s="3070" t="s">
        <v>3235</v>
      </c>
      <c r="BL29" s="3070" t="s">
        <v>3499</v>
      </c>
      <c r="BM29" s="3075">
        <v>44197</v>
      </c>
      <c r="BN29" s="3070">
        <v>604</v>
      </c>
      <c r="BR29" s="3070">
        <v>934</v>
      </c>
      <c r="BS29" s="3070" t="s">
        <v>3238</v>
      </c>
      <c r="BT29" s="3070" t="s">
        <v>3086</v>
      </c>
      <c r="BZ29" s="3073">
        <v>44142.893750000003</v>
      </c>
      <c r="CA29" s="3070">
        <v>1</v>
      </c>
      <c r="CB29" s="3070" t="s">
        <v>3086</v>
      </c>
      <c r="CD29" s="3070" t="s">
        <v>3239</v>
      </c>
      <c r="CF29" s="3070" t="s">
        <v>3091</v>
      </c>
      <c r="CH29" s="3070" t="s">
        <v>3240</v>
      </c>
      <c r="CI29" s="3070">
        <v>0</v>
      </c>
      <c r="CK29" s="3070" t="s">
        <v>3497</v>
      </c>
      <c r="CL29" s="3070" t="s">
        <v>3497</v>
      </c>
      <c r="CM29" s="3070">
        <v>1062944.95</v>
      </c>
      <c r="CV29" s="3070" t="s">
        <v>3494</v>
      </c>
      <c r="CW29" s="3070" t="s">
        <v>3500</v>
      </c>
      <c r="CX29" s="3070" t="s">
        <v>3311</v>
      </c>
      <c r="CZ29" s="3070">
        <v>213894.57</v>
      </c>
      <c r="DA29" s="3070">
        <v>159426.93</v>
      </c>
      <c r="DB29" s="3070">
        <v>0</v>
      </c>
      <c r="DC29" s="3070">
        <v>0</v>
      </c>
      <c r="DD29" s="3070">
        <v>3290547602</v>
      </c>
      <c r="DE29" s="3070">
        <v>2764253109</v>
      </c>
      <c r="DF29" s="3070">
        <v>1464966739</v>
      </c>
      <c r="DG29" s="3070">
        <v>14938370</v>
      </c>
      <c r="DH29" s="3070">
        <v>1284348000</v>
      </c>
      <c r="DI29" s="3070">
        <v>1278128000</v>
      </c>
      <c r="DJ29" s="3070">
        <v>6220000</v>
      </c>
      <c r="DK29" s="3070">
        <v>0</v>
      </c>
      <c r="DL29" s="3070">
        <v>0</v>
      </c>
      <c r="DM29" s="3070">
        <v>25491817.620000001</v>
      </c>
      <c r="DN29" s="3070">
        <v>2764253109</v>
      </c>
      <c r="DP29" s="3070">
        <v>2764253109</v>
      </c>
    </row>
    <row r="30" spans="1:120">
      <c r="A30" s="3070">
        <v>29</v>
      </c>
      <c r="B30" s="3070" t="s">
        <v>3224</v>
      </c>
      <c r="C30" s="3070">
        <v>1</v>
      </c>
      <c r="E30" s="3070">
        <v>1701</v>
      </c>
      <c r="F30" s="3070" t="s">
        <v>3501</v>
      </c>
      <c r="G30" s="3070" t="s">
        <v>3502</v>
      </c>
      <c r="H30" s="3070">
        <v>1149940</v>
      </c>
      <c r="I30" s="3070">
        <v>1149940</v>
      </c>
      <c r="J30" s="3070">
        <v>93.07</v>
      </c>
      <c r="K30" s="3070">
        <v>66.5</v>
      </c>
      <c r="L30" s="3070">
        <v>0</v>
      </c>
      <c r="M30" s="3070">
        <v>0</v>
      </c>
      <c r="N30" s="3070">
        <v>15544.44</v>
      </c>
      <c r="O30" s="3070">
        <v>1446721</v>
      </c>
      <c r="P30" s="3070">
        <v>12355.65</v>
      </c>
      <c r="Q30" s="3070">
        <v>1149940</v>
      </c>
      <c r="R30" s="3070" t="s">
        <v>3227</v>
      </c>
      <c r="S30" s="3070" t="s">
        <v>3503</v>
      </c>
      <c r="T30" s="3070" t="s">
        <v>3246</v>
      </c>
      <c r="U30" s="3070" t="s">
        <v>3247</v>
      </c>
      <c r="V30" s="3070" t="s">
        <v>3230</v>
      </c>
      <c r="Y30" s="3070">
        <v>349940</v>
      </c>
      <c r="Z30" s="3070">
        <v>349940</v>
      </c>
      <c r="AA30" s="3070">
        <v>349940</v>
      </c>
      <c r="AB30" s="3070">
        <v>0</v>
      </c>
      <c r="AC30" s="3070">
        <v>800000</v>
      </c>
      <c r="AD30" s="3070">
        <v>800000</v>
      </c>
      <c r="AE30" s="3070">
        <v>0</v>
      </c>
      <c r="AI30" s="3070" t="s">
        <v>3227</v>
      </c>
      <c r="AJ30" s="3070">
        <v>0</v>
      </c>
      <c r="AK30" s="3070">
        <v>0</v>
      </c>
      <c r="AL30" s="3070">
        <v>0</v>
      </c>
      <c r="AM30" s="3070">
        <v>12355.65</v>
      </c>
      <c r="AN30" s="3070">
        <v>1149940</v>
      </c>
      <c r="AP30" s="3070">
        <v>1149940</v>
      </c>
      <c r="AQ30" s="3072">
        <v>45138</v>
      </c>
      <c r="AT30" s="3073">
        <v>45678</v>
      </c>
      <c r="AV30" s="3070" t="s">
        <v>3504</v>
      </c>
      <c r="AW30" s="3070" t="s">
        <v>3505</v>
      </c>
      <c r="AX30" s="3070" t="s">
        <v>3506</v>
      </c>
      <c r="AY30" s="3070" t="s">
        <v>3429</v>
      </c>
      <c r="BC30" s="3070" t="s">
        <v>3507</v>
      </c>
      <c r="BD30" s="3070" t="s">
        <v>3077</v>
      </c>
      <c r="BI30" s="3070" t="s">
        <v>3235</v>
      </c>
      <c r="BJ30" s="3070" t="s">
        <v>3236</v>
      </c>
      <c r="BL30" s="3070" t="s">
        <v>3508</v>
      </c>
      <c r="BM30" s="3075">
        <v>44197</v>
      </c>
      <c r="BN30" s="3070">
        <v>701</v>
      </c>
      <c r="BO30" s="3070" t="s">
        <v>3253</v>
      </c>
      <c r="BR30" s="3070">
        <v>565</v>
      </c>
      <c r="BS30" s="3070" t="s">
        <v>3238</v>
      </c>
      <c r="BT30" s="3070" t="s">
        <v>3086</v>
      </c>
      <c r="BV30" s="3070">
        <v>1092</v>
      </c>
      <c r="BZ30" s="3073">
        <v>44142.59652777778</v>
      </c>
      <c r="CA30" s="3070">
        <v>1</v>
      </c>
      <c r="CB30" s="3070" t="s">
        <v>3086</v>
      </c>
      <c r="CD30" s="3070" t="s">
        <v>3239</v>
      </c>
      <c r="CF30" s="3070" t="s">
        <v>3091</v>
      </c>
      <c r="CH30" s="3070" t="s">
        <v>3240</v>
      </c>
      <c r="CI30" s="3070">
        <v>0</v>
      </c>
      <c r="CK30" s="3070" t="s">
        <v>3429</v>
      </c>
      <c r="CL30" s="3070" t="s">
        <v>3429</v>
      </c>
      <c r="CM30" s="3070">
        <v>1054990.83</v>
      </c>
      <c r="CV30" s="3070" t="s">
        <v>3246</v>
      </c>
      <c r="CW30" s="3070" t="s">
        <v>3509</v>
      </c>
      <c r="CX30" s="3070" t="s">
        <v>3510</v>
      </c>
      <c r="CZ30" s="3070">
        <v>213894.57</v>
      </c>
      <c r="DA30" s="3070">
        <v>159426.93</v>
      </c>
      <c r="DB30" s="3070">
        <v>0</v>
      </c>
      <c r="DC30" s="3070">
        <v>0</v>
      </c>
      <c r="DD30" s="3070">
        <v>3290547602</v>
      </c>
      <c r="DE30" s="3070">
        <v>2764253109</v>
      </c>
      <c r="DF30" s="3070">
        <v>1464966739</v>
      </c>
      <c r="DG30" s="3070">
        <v>14938370</v>
      </c>
      <c r="DH30" s="3070">
        <v>1284348000</v>
      </c>
      <c r="DI30" s="3070">
        <v>1278128000</v>
      </c>
      <c r="DJ30" s="3070">
        <v>6220000</v>
      </c>
      <c r="DK30" s="3070">
        <v>0</v>
      </c>
      <c r="DL30" s="3070">
        <v>0</v>
      </c>
      <c r="DM30" s="3070">
        <v>25491817.620000001</v>
      </c>
      <c r="DN30" s="3070">
        <v>2764253109</v>
      </c>
      <c r="DP30" s="3070">
        <v>2764253109</v>
      </c>
    </row>
    <row r="31" spans="1:120">
      <c r="A31" s="3070">
        <v>30</v>
      </c>
      <c r="B31" s="3070" t="s">
        <v>3224</v>
      </c>
      <c r="C31" s="3070">
        <v>1</v>
      </c>
      <c r="E31" s="3070">
        <v>1702</v>
      </c>
      <c r="F31" s="3070" t="s">
        <v>3511</v>
      </c>
      <c r="G31" s="3070" t="s">
        <v>3512</v>
      </c>
      <c r="H31" s="3070">
        <v>1226129</v>
      </c>
      <c r="I31" s="3070">
        <v>1226129</v>
      </c>
      <c r="J31" s="3070">
        <v>93.07</v>
      </c>
      <c r="K31" s="3070">
        <v>66.5</v>
      </c>
      <c r="L31" s="3070">
        <v>0</v>
      </c>
      <c r="M31" s="3070">
        <v>0</v>
      </c>
      <c r="N31" s="3070">
        <v>15544.44</v>
      </c>
      <c r="O31" s="3070">
        <v>1446721</v>
      </c>
      <c r="P31" s="3070">
        <v>13174.27</v>
      </c>
      <c r="Q31" s="3070">
        <v>1226129</v>
      </c>
      <c r="R31" s="3070" t="s">
        <v>3227</v>
      </c>
      <c r="S31" s="3070" t="s">
        <v>3513</v>
      </c>
      <c r="T31" s="3070" t="s">
        <v>3258</v>
      </c>
      <c r="U31" s="3070" t="s">
        <v>3247</v>
      </c>
      <c r="V31" s="3070" t="s">
        <v>3230</v>
      </c>
      <c r="Y31" s="3070">
        <v>376129</v>
      </c>
      <c r="Z31" s="3070">
        <v>122613</v>
      </c>
      <c r="AA31" s="3070">
        <v>376129</v>
      </c>
      <c r="AB31" s="3070">
        <v>0</v>
      </c>
      <c r="AC31" s="3070">
        <v>850000</v>
      </c>
      <c r="AD31" s="3070">
        <v>850000</v>
      </c>
      <c r="AE31" s="3070">
        <v>0</v>
      </c>
      <c r="AI31" s="3070" t="s">
        <v>3227</v>
      </c>
      <c r="AJ31" s="3070">
        <v>0</v>
      </c>
      <c r="AK31" s="3070">
        <v>0</v>
      </c>
      <c r="AL31" s="3070">
        <v>0</v>
      </c>
      <c r="AM31" s="3070">
        <v>13174.27</v>
      </c>
      <c r="AN31" s="3070">
        <v>1226129</v>
      </c>
      <c r="AP31" s="3070">
        <v>1226129</v>
      </c>
      <c r="AQ31" s="3072">
        <v>45138</v>
      </c>
      <c r="AT31" s="3073">
        <v>45678</v>
      </c>
      <c r="AV31" s="3074">
        <v>3.21E+17</v>
      </c>
      <c r="AW31" s="3070" t="s">
        <v>3514</v>
      </c>
      <c r="AX31" s="3070" t="s">
        <v>3515</v>
      </c>
      <c r="AY31" s="3070" t="s">
        <v>3364</v>
      </c>
      <c r="BC31" s="3070" t="s">
        <v>3516</v>
      </c>
      <c r="BD31" s="3070" t="s">
        <v>3077</v>
      </c>
      <c r="BI31" s="3070" t="s">
        <v>3235</v>
      </c>
      <c r="BJ31" s="3070" t="s">
        <v>3236</v>
      </c>
      <c r="BL31" s="3070" t="s">
        <v>3517</v>
      </c>
      <c r="BM31" s="3075">
        <v>44197</v>
      </c>
      <c r="BN31" s="3070">
        <v>702</v>
      </c>
      <c r="BO31" s="3070" t="s">
        <v>3253</v>
      </c>
      <c r="BP31" s="3070" t="s">
        <v>3253</v>
      </c>
      <c r="BR31" s="3070">
        <v>0</v>
      </c>
      <c r="BS31" s="3070" t="s">
        <v>3238</v>
      </c>
      <c r="BT31" s="3070" t="s">
        <v>3086</v>
      </c>
      <c r="BZ31" s="3073">
        <v>44158.54791666667</v>
      </c>
      <c r="CA31" s="3070">
        <v>1</v>
      </c>
      <c r="CB31" s="3070" t="s">
        <v>3086</v>
      </c>
      <c r="CD31" s="3070" t="s">
        <v>3239</v>
      </c>
      <c r="CF31" s="3070" t="s">
        <v>3091</v>
      </c>
      <c r="CH31" s="3070" t="s">
        <v>3240</v>
      </c>
      <c r="CI31" s="3070">
        <v>0</v>
      </c>
      <c r="CJ31" s="3070" t="s">
        <v>3247</v>
      </c>
      <c r="CK31" s="3070" t="s">
        <v>3364</v>
      </c>
      <c r="CL31" s="3070" t="s">
        <v>3364</v>
      </c>
      <c r="CM31" s="3070">
        <v>1124888.99</v>
      </c>
      <c r="CV31" s="3070" t="s">
        <v>3258</v>
      </c>
      <c r="CW31" s="3070" t="s">
        <v>3518</v>
      </c>
      <c r="CX31" s="3070" t="s">
        <v>3510</v>
      </c>
      <c r="CZ31" s="3070">
        <v>213894.57</v>
      </c>
      <c r="DA31" s="3070">
        <v>159426.93</v>
      </c>
      <c r="DB31" s="3070">
        <v>0</v>
      </c>
      <c r="DC31" s="3070">
        <v>0</v>
      </c>
      <c r="DD31" s="3070">
        <v>3290547602</v>
      </c>
      <c r="DE31" s="3070">
        <v>2764253109</v>
      </c>
      <c r="DF31" s="3070">
        <v>1464966739</v>
      </c>
      <c r="DG31" s="3070">
        <v>14938370</v>
      </c>
      <c r="DH31" s="3070">
        <v>1284348000</v>
      </c>
      <c r="DI31" s="3070">
        <v>1278128000</v>
      </c>
      <c r="DJ31" s="3070">
        <v>6220000</v>
      </c>
      <c r="DK31" s="3070">
        <v>0</v>
      </c>
      <c r="DL31" s="3070">
        <v>0</v>
      </c>
      <c r="DM31" s="3070">
        <v>25491817.620000001</v>
      </c>
      <c r="DN31" s="3070">
        <v>2764253109</v>
      </c>
      <c r="DP31" s="3070">
        <v>2764253109</v>
      </c>
    </row>
    <row r="32" spans="1:120">
      <c r="A32" s="3070">
        <v>31</v>
      </c>
      <c r="B32" s="3070" t="s">
        <v>3224</v>
      </c>
      <c r="C32" s="3070">
        <v>1</v>
      </c>
      <c r="E32" s="3070">
        <v>1703</v>
      </c>
      <c r="F32" s="3070" t="s">
        <v>3519</v>
      </c>
      <c r="G32" s="3070" t="s">
        <v>3520</v>
      </c>
      <c r="H32" s="3070">
        <v>1173408</v>
      </c>
      <c r="I32" s="3070">
        <v>1173408</v>
      </c>
      <c r="J32" s="3070">
        <v>93.07</v>
      </c>
      <c r="K32" s="3070">
        <v>66.5</v>
      </c>
      <c r="L32" s="3070">
        <v>0</v>
      </c>
      <c r="M32" s="3070">
        <v>0</v>
      </c>
      <c r="N32" s="3070">
        <v>15544.44</v>
      </c>
      <c r="O32" s="3070">
        <v>1446721</v>
      </c>
      <c r="P32" s="3070">
        <v>12607.8</v>
      </c>
      <c r="Q32" s="3070">
        <v>1173408</v>
      </c>
      <c r="R32" s="3070" t="s">
        <v>3227</v>
      </c>
      <c r="S32" s="3070" t="s">
        <v>3521</v>
      </c>
      <c r="T32" s="3070" t="s">
        <v>3246</v>
      </c>
      <c r="U32" s="3070" t="s">
        <v>3247</v>
      </c>
      <c r="V32" s="3070" t="s">
        <v>3230</v>
      </c>
      <c r="Y32" s="3070">
        <v>393408</v>
      </c>
      <c r="Z32" s="3070">
        <v>393408</v>
      </c>
      <c r="AA32" s="3070">
        <v>393408</v>
      </c>
      <c r="AB32" s="3070">
        <v>0</v>
      </c>
      <c r="AC32" s="3070">
        <v>780000</v>
      </c>
      <c r="AD32" s="3070">
        <v>780000</v>
      </c>
      <c r="AE32" s="3070">
        <v>0</v>
      </c>
      <c r="AI32" s="3070" t="s">
        <v>3227</v>
      </c>
      <c r="AJ32" s="3070">
        <v>0</v>
      </c>
      <c r="AK32" s="3070">
        <v>0</v>
      </c>
      <c r="AL32" s="3070">
        <v>0</v>
      </c>
      <c r="AM32" s="3070">
        <v>12607.8</v>
      </c>
      <c r="AN32" s="3070">
        <v>1173408</v>
      </c>
      <c r="AP32" s="3070">
        <v>1173408</v>
      </c>
      <c r="AQ32" s="3072">
        <v>45138</v>
      </c>
      <c r="AT32" s="3073">
        <v>45678</v>
      </c>
      <c r="AV32" s="3074">
        <v>3.21E+17</v>
      </c>
      <c r="AW32" s="3070" t="s">
        <v>3522</v>
      </c>
      <c r="AX32" s="3070" t="s">
        <v>3523</v>
      </c>
      <c r="AY32" s="3070" t="s">
        <v>3393</v>
      </c>
      <c r="BC32" s="3070" t="s">
        <v>3284</v>
      </c>
      <c r="BD32" s="3070" t="s">
        <v>3077</v>
      </c>
      <c r="BI32" s="3070" t="s">
        <v>3235</v>
      </c>
      <c r="BJ32" s="3070" t="s">
        <v>3296</v>
      </c>
      <c r="BL32" s="3070" t="s">
        <v>3524</v>
      </c>
      <c r="BM32" s="3075">
        <v>44197</v>
      </c>
      <c r="BN32" s="3070">
        <v>703</v>
      </c>
      <c r="BO32" s="3070" t="s">
        <v>3253</v>
      </c>
      <c r="BR32" s="3070">
        <v>296</v>
      </c>
      <c r="BS32" s="3070" t="s">
        <v>3238</v>
      </c>
      <c r="BT32" s="3070" t="s">
        <v>3086</v>
      </c>
      <c r="BZ32" s="3073">
        <v>44142.613194444442</v>
      </c>
      <c r="CA32" s="3070">
        <v>1</v>
      </c>
      <c r="CB32" s="3070" t="s">
        <v>3086</v>
      </c>
      <c r="CD32" s="3070" t="s">
        <v>3239</v>
      </c>
      <c r="CF32" s="3070" t="s">
        <v>3091</v>
      </c>
      <c r="CH32" s="3070" t="s">
        <v>3240</v>
      </c>
      <c r="CI32" s="3070">
        <v>0</v>
      </c>
      <c r="CK32" s="3070" t="s">
        <v>3393</v>
      </c>
      <c r="CL32" s="3070" t="s">
        <v>3393</v>
      </c>
      <c r="CM32" s="3070">
        <v>1076521.1000000001</v>
      </c>
      <c r="CV32" s="3070" t="s">
        <v>3246</v>
      </c>
      <c r="CW32" s="3070" t="s">
        <v>3525</v>
      </c>
      <c r="CX32" s="3070" t="s">
        <v>3242</v>
      </c>
      <c r="CZ32" s="3070">
        <v>213894.57</v>
      </c>
      <c r="DA32" s="3070">
        <v>159426.93</v>
      </c>
      <c r="DB32" s="3070">
        <v>0</v>
      </c>
      <c r="DC32" s="3070">
        <v>0</v>
      </c>
      <c r="DD32" s="3070">
        <v>3290547602</v>
      </c>
      <c r="DE32" s="3070">
        <v>2764253109</v>
      </c>
      <c r="DF32" s="3070">
        <v>1464966739</v>
      </c>
      <c r="DG32" s="3070">
        <v>14938370</v>
      </c>
      <c r="DH32" s="3070">
        <v>1284348000</v>
      </c>
      <c r="DI32" s="3070">
        <v>1278128000</v>
      </c>
      <c r="DJ32" s="3070">
        <v>6220000</v>
      </c>
      <c r="DK32" s="3070">
        <v>0</v>
      </c>
      <c r="DL32" s="3070">
        <v>0</v>
      </c>
      <c r="DM32" s="3070">
        <v>25491817.620000001</v>
      </c>
      <c r="DN32" s="3070">
        <v>2764253109</v>
      </c>
      <c r="DP32" s="3070">
        <v>2764253109</v>
      </c>
    </row>
    <row r="33" spans="1:120">
      <c r="A33" s="3070">
        <v>32</v>
      </c>
      <c r="B33" s="3070" t="s">
        <v>3224</v>
      </c>
      <c r="C33" s="3070">
        <v>1</v>
      </c>
      <c r="E33" s="3070">
        <v>1704</v>
      </c>
      <c r="F33" s="3070" t="s">
        <v>3526</v>
      </c>
      <c r="G33" s="3070" t="s">
        <v>3527</v>
      </c>
      <c r="H33" s="3070">
        <v>1230439</v>
      </c>
      <c r="I33" s="3070">
        <v>1230439</v>
      </c>
      <c r="J33" s="3070">
        <v>93.07</v>
      </c>
      <c r="K33" s="3070">
        <v>66.5</v>
      </c>
      <c r="L33" s="3070">
        <v>0</v>
      </c>
      <c r="M33" s="3070">
        <v>0</v>
      </c>
      <c r="N33" s="3070">
        <v>15544.44</v>
      </c>
      <c r="O33" s="3070">
        <v>1446721</v>
      </c>
      <c r="P33" s="3070">
        <v>13220.58</v>
      </c>
      <c r="Q33" s="3070">
        <v>1230439</v>
      </c>
      <c r="R33" s="3070" t="s">
        <v>3227</v>
      </c>
      <c r="S33" s="3070" t="s">
        <v>3528</v>
      </c>
      <c r="T33" s="3070" t="s">
        <v>3258</v>
      </c>
      <c r="U33" s="3070" t="s">
        <v>3259</v>
      </c>
      <c r="V33" s="3070" t="s">
        <v>3230</v>
      </c>
      <c r="Y33" s="3070">
        <v>580439</v>
      </c>
      <c r="Z33" s="3070">
        <v>123044</v>
      </c>
      <c r="AA33" s="3070">
        <v>580439</v>
      </c>
      <c r="AB33" s="3070">
        <v>0</v>
      </c>
      <c r="AC33" s="3070">
        <v>650000</v>
      </c>
      <c r="AD33" s="3070">
        <v>650000</v>
      </c>
      <c r="AE33" s="3070">
        <v>0</v>
      </c>
      <c r="AI33" s="3070" t="s">
        <v>3227</v>
      </c>
      <c r="AJ33" s="3070">
        <v>0</v>
      </c>
      <c r="AK33" s="3070">
        <v>0</v>
      </c>
      <c r="AL33" s="3070">
        <v>0</v>
      </c>
      <c r="AM33" s="3070">
        <v>13220.58</v>
      </c>
      <c r="AN33" s="3070">
        <v>1230439</v>
      </c>
      <c r="AP33" s="3070">
        <v>1230439</v>
      </c>
      <c r="AQ33" s="3072">
        <v>45138</v>
      </c>
      <c r="AT33" s="3073">
        <v>45678</v>
      </c>
      <c r="AV33" s="3070" t="s">
        <v>3529</v>
      </c>
      <c r="AW33" s="3070" t="s">
        <v>3530</v>
      </c>
      <c r="AX33" s="3070" t="s">
        <v>3531</v>
      </c>
      <c r="AY33" s="3070" t="s">
        <v>3250</v>
      </c>
      <c r="BA33" s="3070" t="s">
        <v>3250</v>
      </c>
      <c r="BC33" s="3070" t="s">
        <v>3532</v>
      </c>
      <c r="BD33" s="3070" t="s">
        <v>3077</v>
      </c>
      <c r="BI33" s="3070" t="s">
        <v>3295</v>
      </c>
      <c r="BL33" s="3070" t="s">
        <v>3533</v>
      </c>
      <c r="BM33" s="3075">
        <v>44197</v>
      </c>
      <c r="BN33" s="3070">
        <v>704</v>
      </c>
      <c r="BO33" s="3070" t="s">
        <v>3253</v>
      </c>
      <c r="BP33" s="3070" t="s">
        <v>3253</v>
      </c>
      <c r="BR33" s="3070">
        <v>13</v>
      </c>
      <c r="BS33" s="3070" t="s">
        <v>3238</v>
      </c>
      <c r="BT33" s="3070" t="s">
        <v>3086</v>
      </c>
      <c r="BU33" s="3070" t="s">
        <v>3250</v>
      </c>
      <c r="BV33" s="3070" t="s">
        <v>3534</v>
      </c>
      <c r="BZ33" s="3073">
        <v>44167.791666666664</v>
      </c>
      <c r="CA33" s="3070">
        <v>1</v>
      </c>
      <c r="CB33" s="3070" t="s">
        <v>3086</v>
      </c>
      <c r="CD33" s="3070" t="s">
        <v>3239</v>
      </c>
      <c r="CF33" s="3070" t="s">
        <v>3091</v>
      </c>
      <c r="CH33" s="3070" t="s">
        <v>3240</v>
      </c>
      <c r="CI33" s="3070">
        <v>0</v>
      </c>
      <c r="CJ33" s="3070" t="s">
        <v>3259</v>
      </c>
      <c r="CK33" s="3070" t="s">
        <v>3250</v>
      </c>
      <c r="CL33" s="3070" t="s">
        <v>3250</v>
      </c>
      <c r="CM33" s="3070">
        <v>1128843.1200000001</v>
      </c>
      <c r="CV33" s="3070" t="s">
        <v>3258</v>
      </c>
      <c r="CW33" s="3070" t="s">
        <v>3535</v>
      </c>
      <c r="CZ33" s="3070">
        <v>213894.57</v>
      </c>
      <c r="DA33" s="3070">
        <v>159426.93</v>
      </c>
      <c r="DB33" s="3070">
        <v>0</v>
      </c>
      <c r="DC33" s="3070">
        <v>0</v>
      </c>
      <c r="DD33" s="3070">
        <v>3290547602</v>
      </c>
      <c r="DE33" s="3070">
        <v>2764253109</v>
      </c>
      <c r="DF33" s="3070">
        <v>1464966739</v>
      </c>
      <c r="DG33" s="3070">
        <v>14938370</v>
      </c>
      <c r="DH33" s="3070">
        <v>1284348000</v>
      </c>
      <c r="DI33" s="3070">
        <v>1278128000</v>
      </c>
      <c r="DJ33" s="3070">
        <v>6220000</v>
      </c>
      <c r="DK33" s="3070">
        <v>0</v>
      </c>
      <c r="DL33" s="3070">
        <v>0</v>
      </c>
      <c r="DM33" s="3070">
        <v>25491817.620000001</v>
      </c>
      <c r="DN33" s="3070">
        <v>2764253109</v>
      </c>
      <c r="DP33" s="3070">
        <v>2764253109</v>
      </c>
    </row>
    <row r="34" spans="1:120">
      <c r="A34" s="3070">
        <v>33</v>
      </c>
      <c r="B34" s="3070" t="s">
        <v>3224</v>
      </c>
      <c r="C34" s="3070">
        <v>1</v>
      </c>
      <c r="E34" s="3070">
        <v>1801</v>
      </c>
      <c r="F34" s="3070" t="s">
        <v>3536</v>
      </c>
      <c r="G34" s="3070" t="s">
        <v>3537</v>
      </c>
      <c r="H34" s="3070">
        <v>1180648</v>
      </c>
      <c r="I34" s="3070">
        <v>1180648</v>
      </c>
      <c r="J34" s="3070">
        <v>93.07</v>
      </c>
      <c r="K34" s="3070">
        <v>66.5</v>
      </c>
      <c r="L34" s="3070">
        <v>0</v>
      </c>
      <c r="M34" s="3070">
        <v>0</v>
      </c>
      <c r="N34" s="3070">
        <v>15344.44</v>
      </c>
      <c r="O34" s="3070">
        <v>1428107</v>
      </c>
      <c r="P34" s="3070">
        <v>12685.59</v>
      </c>
      <c r="Q34" s="3070">
        <v>1180648</v>
      </c>
      <c r="R34" s="3070" t="s">
        <v>3227</v>
      </c>
      <c r="S34" s="3070" t="s">
        <v>3538</v>
      </c>
      <c r="T34" s="3070" t="s">
        <v>3476</v>
      </c>
      <c r="U34" s="3070" t="s">
        <v>3539</v>
      </c>
      <c r="V34" s="3070" t="s">
        <v>3230</v>
      </c>
      <c r="Y34" s="3070">
        <v>141678</v>
      </c>
      <c r="Z34" s="3070">
        <v>141087</v>
      </c>
      <c r="AA34" s="3070">
        <v>480648</v>
      </c>
      <c r="AB34" s="3070">
        <v>0</v>
      </c>
      <c r="AC34" s="3070">
        <v>700000</v>
      </c>
      <c r="AD34" s="3070">
        <v>700000</v>
      </c>
      <c r="AE34" s="3070">
        <v>0</v>
      </c>
      <c r="AI34" s="3070" t="s">
        <v>3227</v>
      </c>
      <c r="AJ34" s="3070">
        <v>0</v>
      </c>
      <c r="AK34" s="3070">
        <v>0</v>
      </c>
      <c r="AL34" s="3070">
        <v>0</v>
      </c>
      <c r="AM34" s="3070">
        <v>12685.59</v>
      </c>
      <c r="AN34" s="3070">
        <v>1180648</v>
      </c>
      <c r="AP34" s="3070">
        <v>1180648</v>
      </c>
      <c r="AQ34" s="3072">
        <v>45138</v>
      </c>
      <c r="AT34" s="3073">
        <v>45678</v>
      </c>
      <c r="AV34" s="3070" t="s">
        <v>3540</v>
      </c>
      <c r="AW34" s="3070" t="s">
        <v>3541</v>
      </c>
      <c r="AX34" s="3070" t="s">
        <v>3542</v>
      </c>
      <c r="AY34" s="3070" t="s">
        <v>3419</v>
      </c>
      <c r="BA34" s="3070" t="s">
        <v>3419</v>
      </c>
      <c r="BC34" s="3070" t="s">
        <v>3543</v>
      </c>
      <c r="BD34" s="3070" t="s">
        <v>3077</v>
      </c>
      <c r="BI34" s="3070" t="s">
        <v>3235</v>
      </c>
      <c r="BL34" s="3070" t="s">
        <v>3544</v>
      </c>
      <c r="BM34" s="3075">
        <v>44197</v>
      </c>
      <c r="BN34" s="3070">
        <v>801</v>
      </c>
      <c r="BO34" s="3070" t="s">
        <v>3253</v>
      </c>
      <c r="BR34" s="3070">
        <v>16</v>
      </c>
      <c r="BS34" s="3070" t="s">
        <v>3238</v>
      </c>
      <c r="BT34" s="3070" t="s">
        <v>3481</v>
      </c>
      <c r="BU34" s="3070" t="s">
        <v>3419</v>
      </c>
      <c r="BV34" s="3070" t="s">
        <v>3545</v>
      </c>
      <c r="BZ34" s="3073">
        <v>44178.410416666666</v>
      </c>
      <c r="CA34" s="3070">
        <v>1</v>
      </c>
      <c r="CB34" s="3070" t="s">
        <v>3481</v>
      </c>
      <c r="CD34" s="3070" t="s">
        <v>3239</v>
      </c>
      <c r="CF34" s="3070" t="s">
        <v>3091</v>
      </c>
      <c r="CH34" s="3070" t="s">
        <v>3240</v>
      </c>
      <c r="CI34" s="3070">
        <v>0</v>
      </c>
      <c r="CK34" s="3070" t="s">
        <v>3419</v>
      </c>
      <c r="CL34" s="3070" t="s">
        <v>3419</v>
      </c>
      <c r="CM34" s="3070">
        <v>1083163.3</v>
      </c>
      <c r="CV34" s="3070" t="s">
        <v>3482</v>
      </c>
      <c r="CW34" s="3070" t="s">
        <v>3546</v>
      </c>
      <c r="CX34" s="3070" t="s">
        <v>3510</v>
      </c>
      <c r="CZ34" s="3070">
        <v>213894.57</v>
      </c>
      <c r="DA34" s="3070">
        <v>159426.93</v>
      </c>
      <c r="DB34" s="3070">
        <v>0</v>
      </c>
      <c r="DC34" s="3070">
        <v>0</v>
      </c>
      <c r="DD34" s="3070">
        <v>3290547602</v>
      </c>
      <c r="DE34" s="3070">
        <v>2764253109</v>
      </c>
      <c r="DF34" s="3070">
        <v>1464966739</v>
      </c>
      <c r="DG34" s="3070">
        <v>14938370</v>
      </c>
      <c r="DH34" s="3070">
        <v>1284348000</v>
      </c>
      <c r="DI34" s="3070">
        <v>1278128000</v>
      </c>
      <c r="DJ34" s="3070">
        <v>6220000</v>
      </c>
      <c r="DK34" s="3070">
        <v>0</v>
      </c>
      <c r="DL34" s="3070">
        <v>0</v>
      </c>
      <c r="DM34" s="3070">
        <v>25491817.620000001</v>
      </c>
      <c r="DN34" s="3070">
        <v>2764253109</v>
      </c>
      <c r="DP34" s="3070">
        <v>2764253109</v>
      </c>
    </row>
    <row r="35" spans="1:120">
      <c r="A35" s="3070">
        <v>34</v>
      </c>
      <c r="B35" s="3070" t="s">
        <v>3224</v>
      </c>
      <c r="C35" s="3070">
        <v>1</v>
      </c>
      <c r="E35" s="3070">
        <v>1802</v>
      </c>
      <c r="F35" s="3070" t="s">
        <v>3547</v>
      </c>
      <c r="G35" s="3070" t="s">
        <v>3548</v>
      </c>
      <c r="H35" s="3070">
        <v>1213284</v>
      </c>
      <c r="I35" s="3070">
        <v>1213284</v>
      </c>
      <c r="J35" s="3070">
        <v>93.07</v>
      </c>
      <c r="K35" s="3070">
        <v>66.5</v>
      </c>
      <c r="L35" s="3070">
        <v>0</v>
      </c>
      <c r="M35" s="3070">
        <v>0</v>
      </c>
      <c r="N35" s="3070">
        <v>15344.44</v>
      </c>
      <c r="O35" s="3070">
        <v>1428107</v>
      </c>
      <c r="P35" s="3070">
        <v>13036.25</v>
      </c>
      <c r="Q35" s="3070">
        <v>1213284</v>
      </c>
      <c r="R35" s="3070" t="s">
        <v>3227</v>
      </c>
      <c r="S35" s="3070" t="s">
        <v>3549</v>
      </c>
      <c r="T35" s="3070" t="s">
        <v>3258</v>
      </c>
      <c r="U35" s="3070" t="s">
        <v>3259</v>
      </c>
      <c r="V35" s="3070" t="s">
        <v>3230</v>
      </c>
      <c r="Y35" s="3070">
        <v>373284</v>
      </c>
      <c r="Z35" s="3070">
        <v>145594</v>
      </c>
      <c r="AA35" s="3070">
        <v>373284</v>
      </c>
      <c r="AB35" s="3070">
        <v>0</v>
      </c>
      <c r="AC35" s="3070">
        <v>840000</v>
      </c>
      <c r="AD35" s="3070">
        <v>840000</v>
      </c>
      <c r="AE35" s="3070">
        <v>0</v>
      </c>
      <c r="AI35" s="3070" t="s">
        <v>3227</v>
      </c>
      <c r="AJ35" s="3070">
        <v>0</v>
      </c>
      <c r="AK35" s="3070">
        <v>0</v>
      </c>
      <c r="AL35" s="3070">
        <v>0</v>
      </c>
      <c r="AM35" s="3070">
        <v>13036.25</v>
      </c>
      <c r="AN35" s="3070">
        <v>1213284</v>
      </c>
      <c r="AP35" s="3070">
        <v>1213284</v>
      </c>
      <c r="AQ35" s="3072">
        <v>45138</v>
      </c>
      <c r="AT35" s="3073">
        <v>45678</v>
      </c>
      <c r="AV35" s="3070" t="s">
        <v>3550</v>
      </c>
      <c r="AW35" s="3070" t="s">
        <v>3551</v>
      </c>
      <c r="AX35" s="3070" t="s">
        <v>3552</v>
      </c>
      <c r="AY35" s="3070" t="s">
        <v>3346</v>
      </c>
      <c r="BA35" s="3070" t="s">
        <v>3346</v>
      </c>
      <c r="BC35" s="3070" t="s">
        <v>3553</v>
      </c>
      <c r="BD35" s="3070" t="s">
        <v>3077</v>
      </c>
      <c r="BI35" s="3070" t="s">
        <v>3235</v>
      </c>
      <c r="BL35" s="3070" t="s">
        <v>3554</v>
      </c>
      <c r="BM35" s="3075">
        <v>44197</v>
      </c>
      <c r="BN35" s="3070">
        <v>802</v>
      </c>
      <c r="BO35" s="3070" t="s">
        <v>3253</v>
      </c>
      <c r="BP35" s="3070" t="s">
        <v>3253</v>
      </c>
      <c r="BR35" s="3070">
        <v>16</v>
      </c>
      <c r="BS35" s="3070" t="s">
        <v>3238</v>
      </c>
      <c r="BT35" s="3070" t="s">
        <v>3481</v>
      </c>
      <c r="BU35" s="3070" t="s">
        <v>3346</v>
      </c>
      <c r="BV35" s="3070" t="s">
        <v>3555</v>
      </c>
      <c r="BZ35" s="3073">
        <v>44184.851388888892</v>
      </c>
      <c r="CA35" s="3070">
        <v>1</v>
      </c>
      <c r="CB35" s="3070" t="s">
        <v>3481</v>
      </c>
      <c r="CD35" s="3070" t="s">
        <v>3239</v>
      </c>
      <c r="CF35" s="3070" t="s">
        <v>3091</v>
      </c>
      <c r="CH35" s="3070" t="s">
        <v>3240</v>
      </c>
      <c r="CI35" s="3070">
        <v>0</v>
      </c>
      <c r="CJ35" s="3070" t="s">
        <v>3259</v>
      </c>
      <c r="CK35" s="3070" t="s">
        <v>3346</v>
      </c>
      <c r="CL35" s="3070" t="s">
        <v>3346</v>
      </c>
      <c r="CM35" s="3070">
        <v>1113104.5900000001</v>
      </c>
      <c r="CV35" s="3070" t="s">
        <v>3258</v>
      </c>
      <c r="CW35" s="3070" t="s">
        <v>3556</v>
      </c>
      <c r="CZ35" s="3070">
        <v>213894.57</v>
      </c>
      <c r="DA35" s="3070">
        <v>159426.93</v>
      </c>
      <c r="DB35" s="3070">
        <v>0</v>
      </c>
      <c r="DC35" s="3070">
        <v>0</v>
      </c>
      <c r="DD35" s="3070">
        <v>3290547602</v>
      </c>
      <c r="DE35" s="3070">
        <v>2764253109</v>
      </c>
      <c r="DF35" s="3070">
        <v>1464966739</v>
      </c>
      <c r="DG35" s="3070">
        <v>14938370</v>
      </c>
      <c r="DH35" s="3070">
        <v>1284348000</v>
      </c>
      <c r="DI35" s="3070">
        <v>1278128000</v>
      </c>
      <c r="DJ35" s="3070">
        <v>6220000</v>
      </c>
      <c r="DK35" s="3070">
        <v>0</v>
      </c>
      <c r="DL35" s="3070">
        <v>0</v>
      </c>
      <c r="DM35" s="3070">
        <v>25491817.620000001</v>
      </c>
      <c r="DN35" s="3070">
        <v>2764253109</v>
      </c>
      <c r="DP35" s="3070">
        <v>2764253109</v>
      </c>
    </row>
    <row r="36" spans="1:120">
      <c r="A36" s="3070">
        <v>35</v>
      </c>
      <c r="B36" s="3070" t="s">
        <v>3224</v>
      </c>
      <c r="C36" s="3070">
        <v>1</v>
      </c>
      <c r="E36" s="3070">
        <v>1803</v>
      </c>
      <c r="F36" s="3070" t="s">
        <v>3557</v>
      </c>
      <c r="G36" s="3070" t="s">
        <v>3558</v>
      </c>
      <c r="H36" s="3070">
        <v>1155714</v>
      </c>
      <c r="I36" s="3070">
        <v>1155714</v>
      </c>
      <c r="J36" s="3070">
        <v>93.07</v>
      </c>
      <c r="K36" s="3070">
        <v>66.5</v>
      </c>
      <c r="L36" s="3070">
        <v>0</v>
      </c>
      <c r="M36" s="3070">
        <v>0</v>
      </c>
      <c r="N36" s="3070">
        <v>15344.44</v>
      </c>
      <c r="O36" s="3070">
        <v>1428107</v>
      </c>
      <c r="P36" s="3070">
        <v>12417.69</v>
      </c>
      <c r="Q36" s="3070">
        <v>1155714</v>
      </c>
      <c r="R36" s="3070" t="s">
        <v>3227</v>
      </c>
      <c r="S36" s="3070" t="s">
        <v>3559</v>
      </c>
      <c r="T36" s="3070" t="s">
        <v>3246</v>
      </c>
      <c r="U36" s="3070" t="s">
        <v>3279</v>
      </c>
      <c r="V36" s="3070" t="s">
        <v>3230</v>
      </c>
      <c r="Y36" s="3070">
        <v>495714</v>
      </c>
      <c r="Z36" s="3070">
        <v>495714</v>
      </c>
      <c r="AA36" s="3070">
        <v>495714</v>
      </c>
      <c r="AB36" s="3070">
        <v>0</v>
      </c>
      <c r="AC36" s="3070">
        <v>660000</v>
      </c>
      <c r="AD36" s="3070">
        <v>660000</v>
      </c>
      <c r="AE36" s="3070">
        <v>0</v>
      </c>
      <c r="AI36" s="3070" t="s">
        <v>3227</v>
      </c>
      <c r="AJ36" s="3070">
        <v>0</v>
      </c>
      <c r="AK36" s="3070">
        <v>0</v>
      </c>
      <c r="AL36" s="3070">
        <v>0</v>
      </c>
      <c r="AM36" s="3070">
        <v>12417.69</v>
      </c>
      <c r="AN36" s="3070">
        <v>1155714</v>
      </c>
      <c r="AP36" s="3070">
        <v>1155714</v>
      </c>
      <c r="AQ36" s="3072">
        <v>45138</v>
      </c>
      <c r="AT36" s="3073">
        <v>45678</v>
      </c>
      <c r="AV36" s="3070" t="s">
        <v>3560</v>
      </c>
      <c r="AW36" s="3070" t="s">
        <v>3561</v>
      </c>
      <c r="AX36" s="3070" t="s">
        <v>3562</v>
      </c>
      <c r="AY36" s="3070" t="s">
        <v>3419</v>
      </c>
      <c r="BC36" s="3070" t="s">
        <v>3284</v>
      </c>
      <c r="BD36" s="3070" t="s">
        <v>3077</v>
      </c>
      <c r="BI36" s="3070" t="s">
        <v>3295</v>
      </c>
      <c r="BJ36" s="3070" t="s">
        <v>3296</v>
      </c>
      <c r="BL36" s="3070" t="s">
        <v>3563</v>
      </c>
      <c r="BM36" s="3075">
        <v>44197</v>
      </c>
      <c r="BN36" s="3070">
        <v>803</v>
      </c>
      <c r="BO36" s="3070" t="s">
        <v>3253</v>
      </c>
      <c r="BR36" s="3070">
        <v>770</v>
      </c>
      <c r="BS36" s="3070" t="s">
        <v>3238</v>
      </c>
      <c r="BT36" s="3070" t="s">
        <v>3086</v>
      </c>
      <c r="BZ36" s="3073">
        <v>44150.46875</v>
      </c>
      <c r="CA36" s="3070">
        <v>1</v>
      </c>
      <c r="CB36" s="3070" t="s">
        <v>3086</v>
      </c>
      <c r="CD36" s="3070" t="s">
        <v>3239</v>
      </c>
      <c r="CF36" s="3070" t="s">
        <v>3091</v>
      </c>
      <c r="CH36" s="3070" t="s">
        <v>3240</v>
      </c>
      <c r="CI36" s="3070">
        <v>0</v>
      </c>
      <c r="CK36" s="3070" t="s">
        <v>3419</v>
      </c>
      <c r="CL36" s="3070" t="s">
        <v>3419</v>
      </c>
      <c r="CM36" s="3070">
        <v>1060288.07</v>
      </c>
      <c r="CV36" s="3070" t="s">
        <v>3246</v>
      </c>
      <c r="CW36" s="3070" t="s">
        <v>3564</v>
      </c>
      <c r="CZ36" s="3070">
        <v>213894.57</v>
      </c>
      <c r="DA36" s="3070">
        <v>159426.93</v>
      </c>
      <c r="DB36" s="3070">
        <v>0</v>
      </c>
      <c r="DC36" s="3070">
        <v>0</v>
      </c>
      <c r="DD36" s="3070">
        <v>3290547602</v>
      </c>
      <c r="DE36" s="3070">
        <v>2764253109</v>
      </c>
      <c r="DF36" s="3070">
        <v>1464966739</v>
      </c>
      <c r="DG36" s="3070">
        <v>14938370</v>
      </c>
      <c r="DH36" s="3070">
        <v>1284348000</v>
      </c>
      <c r="DI36" s="3070">
        <v>1278128000</v>
      </c>
      <c r="DJ36" s="3070">
        <v>6220000</v>
      </c>
      <c r="DK36" s="3070">
        <v>0</v>
      </c>
      <c r="DL36" s="3070">
        <v>0</v>
      </c>
      <c r="DM36" s="3070">
        <v>25491817.620000001</v>
      </c>
      <c r="DN36" s="3070">
        <v>2764253109</v>
      </c>
      <c r="DP36" s="3070">
        <v>2764253109</v>
      </c>
    </row>
    <row r="37" spans="1:120">
      <c r="A37" s="3070">
        <v>36</v>
      </c>
      <c r="B37" s="3070" t="s">
        <v>3224</v>
      </c>
      <c r="C37" s="3070">
        <v>1</v>
      </c>
      <c r="E37" s="3070">
        <v>1804</v>
      </c>
      <c r="F37" s="3070" t="s">
        <v>3565</v>
      </c>
      <c r="G37" s="3070" t="s">
        <v>3566</v>
      </c>
      <c r="H37" s="3070">
        <v>1213284</v>
      </c>
      <c r="I37" s="3070">
        <v>1213284</v>
      </c>
      <c r="J37" s="3070">
        <v>93.07</v>
      </c>
      <c r="K37" s="3070">
        <v>66.5</v>
      </c>
      <c r="L37" s="3070">
        <v>0</v>
      </c>
      <c r="M37" s="3070">
        <v>0</v>
      </c>
      <c r="N37" s="3070">
        <v>15344.44</v>
      </c>
      <c r="O37" s="3070">
        <v>1428107</v>
      </c>
      <c r="P37" s="3070">
        <v>13036.25</v>
      </c>
      <c r="Q37" s="3070">
        <v>1213284</v>
      </c>
      <c r="R37" s="3070" t="s">
        <v>3227</v>
      </c>
      <c r="S37" s="3070" t="s">
        <v>3567</v>
      </c>
      <c r="T37" s="3070" t="s">
        <v>3258</v>
      </c>
      <c r="U37" s="3070" t="s">
        <v>3259</v>
      </c>
      <c r="V37" s="3070" t="s">
        <v>3230</v>
      </c>
      <c r="Y37" s="3070">
        <v>373284</v>
      </c>
      <c r="Z37" s="3070">
        <v>145594</v>
      </c>
      <c r="AA37" s="3070">
        <v>373284</v>
      </c>
      <c r="AB37" s="3070">
        <v>0</v>
      </c>
      <c r="AC37" s="3070">
        <v>840000</v>
      </c>
      <c r="AD37" s="3070">
        <v>840000</v>
      </c>
      <c r="AE37" s="3070">
        <v>0</v>
      </c>
      <c r="AI37" s="3070" t="s">
        <v>3227</v>
      </c>
      <c r="AJ37" s="3070">
        <v>0</v>
      </c>
      <c r="AK37" s="3070">
        <v>0</v>
      </c>
      <c r="AL37" s="3070">
        <v>0</v>
      </c>
      <c r="AM37" s="3070">
        <v>13036.25</v>
      </c>
      <c r="AN37" s="3070">
        <v>1213284</v>
      </c>
      <c r="AP37" s="3070">
        <v>1213284</v>
      </c>
      <c r="AQ37" s="3072">
        <v>45138</v>
      </c>
      <c r="AT37" s="3073">
        <v>45678</v>
      </c>
      <c r="AV37" s="3070" t="s">
        <v>3568</v>
      </c>
      <c r="AW37" s="3070" t="s">
        <v>3569</v>
      </c>
      <c r="AX37" s="3070" t="s">
        <v>3570</v>
      </c>
      <c r="AY37" s="3070" t="s">
        <v>3346</v>
      </c>
      <c r="BC37" s="3070" t="s">
        <v>3553</v>
      </c>
      <c r="BD37" s="3070" t="s">
        <v>3077</v>
      </c>
      <c r="BI37" s="3070" t="s">
        <v>3235</v>
      </c>
      <c r="BL37" s="3070" t="s">
        <v>3571</v>
      </c>
      <c r="BM37" s="3075">
        <v>44197</v>
      </c>
      <c r="BN37" s="3070">
        <v>804</v>
      </c>
      <c r="BO37" s="3070" t="s">
        <v>3253</v>
      </c>
      <c r="BP37" s="3070" t="s">
        <v>3253</v>
      </c>
      <c r="BR37" s="3070">
        <v>16</v>
      </c>
      <c r="BS37" s="3070" t="s">
        <v>3238</v>
      </c>
      <c r="BT37" s="3070" t="s">
        <v>3481</v>
      </c>
      <c r="BV37" s="3070" t="s">
        <v>3572</v>
      </c>
      <c r="BZ37" s="3073">
        <v>44181.408333333333</v>
      </c>
      <c r="CA37" s="3070">
        <v>1</v>
      </c>
      <c r="CB37" s="3070" t="s">
        <v>3481</v>
      </c>
      <c r="CD37" s="3070" t="s">
        <v>3239</v>
      </c>
      <c r="CF37" s="3070" t="s">
        <v>3091</v>
      </c>
      <c r="CH37" s="3070" t="s">
        <v>3240</v>
      </c>
      <c r="CI37" s="3070">
        <v>0</v>
      </c>
      <c r="CJ37" s="3070" t="s">
        <v>3259</v>
      </c>
      <c r="CK37" s="3070" t="s">
        <v>3346</v>
      </c>
      <c r="CL37" s="3070" t="s">
        <v>3346</v>
      </c>
      <c r="CM37" s="3070">
        <v>1113104.5900000001</v>
      </c>
      <c r="CV37" s="3070" t="s">
        <v>3258</v>
      </c>
      <c r="CW37" s="3070" t="s">
        <v>3573</v>
      </c>
      <c r="CZ37" s="3070">
        <v>213894.57</v>
      </c>
      <c r="DA37" s="3070">
        <v>159426.93</v>
      </c>
      <c r="DB37" s="3070">
        <v>0</v>
      </c>
      <c r="DC37" s="3070">
        <v>0</v>
      </c>
      <c r="DD37" s="3070">
        <v>3290547602</v>
      </c>
      <c r="DE37" s="3070">
        <v>2764253109</v>
      </c>
      <c r="DF37" s="3070">
        <v>1464966739</v>
      </c>
      <c r="DG37" s="3070">
        <v>14938370</v>
      </c>
      <c r="DH37" s="3070">
        <v>1284348000</v>
      </c>
      <c r="DI37" s="3070">
        <v>1278128000</v>
      </c>
      <c r="DJ37" s="3070">
        <v>6220000</v>
      </c>
      <c r="DK37" s="3070">
        <v>0</v>
      </c>
      <c r="DL37" s="3070">
        <v>0</v>
      </c>
      <c r="DM37" s="3070">
        <v>25491817.620000001</v>
      </c>
      <c r="DN37" s="3070">
        <v>2764253109</v>
      </c>
      <c r="DP37" s="3070">
        <v>2764253109</v>
      </c>
    </row>
    <row r="38" spans="1:120">
      <c r="A38" s="3070">
        <v>37</v>
      </c>
      <c r="B38" s="3070" t="s">
        <v>3224</v>
      </c>
      <c r="C38" s="3070">
        <v>1</v>
      </c>
      <c r="E38" s="3070">
        <v>201</v>
      </c>
      <c r="F38" s="3070" t="s">
        <v>3574</v>
      </c>
      <c r="G38" s="3070" t="s">
        <v>3575</v>
      </c>
      <c r="H38" s="3070">
        <v>1142443</v>
      </c>
      <c r="I38" s="3070">
        <v>1142443</v>
      </c>
      <c r="J38" s="3070">
        <v>93.07</v>
      </c>
      <c r="K38" s="3070">
        <v>66.5</v>
      </c>
      <c r="L38" s="3070">
        <v>0</v>
      </c>
      <c r="M38" s="3070">
        <v>0</v>
      </c>
      <c r="N38" s="3070">
        <v>15194.45</v>
      </c>
      <c r="O38" s="3070">
        <v>1414147</v>
      </c>
      <c r="P38" s="3070">
        <v>12275.09</v>
      </c>
      <c r="Q38" s="3070">
        <v>1142443</v>
      </c>
      <c r="R38" s="3070" t="s">
        <v>3227</v>
      </c>
      <c r="S38" s="3070" t="s">
        <v>3576</v>
      </c>
      <c r="T38" s="3070" t="s">
        <v>3246</v>
      </c>
      <c r="U38" s="3070" t="s">
        <v>3371</v>
      </c>
      <c r="V38" s="3070" t="s">
        <v>3230</v>
      </c>
      <c r="Y38" s="3070">
        <v>352443</v>
      </c>
      <c r="Z38" s="3070">
        <v>352443</v>
      </c>
      <c r="AA38" s="3070">
        <v>352443</v>
      </c>
      <c r="AB38" s="3070">
        <v>0</v>
      </c>
      <c r="AC38" s="3070">
        <v>790000</v>
      </c>
      <c r="AD38" s="3070">
        <v>790000</v>
      </c>
      <c r="AE38" s="3070">
        <v>0</v>
      </c>
      <c r="AI38" s="3070" t="s">
        <v>3227</v>
      </c>
      <c r="AJ38" s="3070">
        <v>0</v>
      </c>
      <c r="AK38" s="3070">
        <v>0</v>
      </c>
      <c r="AL38" s="3070">
        <v>0</v>
      </c>
      <c r="AM38" s="3070">
        <v>12275.09</v>
      </c>
      <c r="AN38" s="3070">
        <v>1142443</v>
      </c>
      <c r="AP38" s="3070">
        <v>1142443</v>
      </c>
      <c r="AQ38" s="3072">
        <v>45138</v>
      </c>
      <c r="AT38" s="3073">
        <v>45678</v>
      </c>
      <c r="AV38" s="3070" t="s">
        <v>3577</v>
      </c>
      <c r="AW38" s="3070" t="s">
        <v>3578</v>
      </c>
      <c r="AX38" s="3070" t="s">
        <v>3579</v>
      </c>
      <c r="AY38" s="3070" t="s">
        <v>3375</v>
      </c>
      <c r="BC38" s="3070" t="s">
        <v>3284</v>
      </c>
      <c r="BD38" s="3070" t="s">
        <v>3077</v>
      </c>
      <c r="BI38" s="3070" t="s">
        <v>3235</v>
      </c>
      <c r="BJ38" s="3070" t="s">
        <v>3296</v>
      </c>
      <c r="BL38" s="3070" t="s">
        <v>3580</v>
      </c>
      <c r="BM38" s="3075">
        <v>44198</v>
      </c>
      <c r="BN38" s="3070">
        <v>1</v>
      </c>
      <c r="BO38" s="3070" t="s">
        <v>3253</v>
      </c>
      <c r="BR38" s="3070">
        <v>255</v>
      </c>
      <c r="BS38" s="3070" t="s">
        <v>3238</v>
      </c>
      <c r="BT38" s="3070" t="s">
        <v>3086</v>
      </c>
      <c r="BZ38" s="3073">
        <v>44142.603472222225</v>
      </c>
      <c r="CA38" s="3070">
        <v>1</v>
      </c>
      <c r="CB38" s="3070" t="s">
        <v>3086</v>
      </c>
      <c r="CD38" s="3070" t="s">
        <v>3239</v>
      </c>
      <c r="CF38" s="3070" t="s">
        <v>3091</v>
      </c>
      <c r="CH38" s="3070" t="s">
        <v>3240</v>
      </c>
      <c r="CI38" s="3070">
        <v>0</v>
      </c>
      <c r="CK38" s="3070" t="s">
        <v>3375</v>
      </c>
      <c r="CL38" s="3070" t="s">
        <v>3375</v>
      </c>
      <c r="CM38" s="3070">
        <v>1048112.84</v>
      </c>
      <c r="CV38" s="3070" t="s">
        <v>3246</v>
      </c>
      <c r="CW38" s="3070" t="s">
        <v>3581</v>
      </c>
      <c r="CX38" s="3070" t="s">
        <v>3242</v>
      </c>
      <c r="CZ38" s="3070">
        <v>213894.57</v>
      </c>
      <c r="DA38" s="3070">
        <v>159426.93</v>
      </c>
      <c r="DB38" s="3070">
        <v>0</v>
      </c>
      <c r="DC38" s="3070">
        <v>0</v>
      </c>
      <c r="DD38" s="3070">
        <v>3290547602</v>
      </c>
      <c r="DE38" s="3070">
        <v>2764253109</v>
      </c>
      <c r="DF38" s="3070">
        <v>1464966739</v>
      </c>
      <c r="DG38" s="3070">
        <v>14938370</v>
      </c>
      <c r="DH38" s="3070">
        <v>1284348000</v>
      </c>
      <c r="DI38" s="3070">
        <v>1278128000</v>
      </c>
      <c r="DJ38" s="3070">
        <v>6220000</v>
      </c>
      <c r="DK38" s="3070">
        <v>0</v>
      </c>
      <c r="DL38" s="3070">
        <v>0</v>
      </c>
      <c r="DM38" s="3070">
        <v>25491817.620000001</v>
      </c>
      <c r="DN38" s="3070">
        <v>2764253109</v>
      </c>
      <c r="DP38" s="3070">
        <v>2764253109</v>
      </c>
    </row>
    <row r="39" spans="1:120">
      <c r="A39" s="3070">
        <v>38</v>
      </c>
      <c r="B39" s="3070" t="s">
        <v>3224</v>
      </c>
      <c r="C39" s="3070">
        <v>1</v>
      </c>
      <c r="E39" s="3070">
        <v>202</v>
      </c>
      <c r="F39" s="3070" t="s">
        <v>3582</v>
      </c>
      <c r="G39" s="3070" t="s">
        <v>3583</v>
      </c>
      <c r="H39" s="3070">
        <v>1036750</v>
      </c>
      <c r="I39" s="3070">
        <v>1036750</v>
      </c>
      <c r="J39" s="3070">
        <v>93.07</v>
      </c>
      <c r="K39" s="3070">
        <v>66.5</v>
      </c>
      <c r="L39" s="3070">
        <v>0</v>
      </c>
      <c r="M39" s="3070">
        <v>0</v>
      </c>
      <c r="N39" s="3070">
        <v>15194.45</v>
      </c>
      <c r="O39" s="3070">
        <v>1414147</v>
      </c>
      <c r="P39" s="3070">
        <v>11139.46</v>
      </c>
      <c r="Q39" s="3070">
        <v>1036750</v>
      </c>
      <c r="R39" s="3070" t="s">
        <v>3227</v>
      </c>
      <c r="S39" s="3070" t="s">
        <v>3584</v>
      </c>
      <c r="T39" s="3070" t="s">
        <v>3246</v>
      </c>
      <c r="U39" s="3070" t="s">
        <v>3279</v>
      </c>
      <c r="V39" s="3070" t="s">
        <v>3230</v>
      </c>
      <c r="Y39" s="3070">
        <v>536750</v>
      </c>
      <c r="Z39" s="3070">
        <v>536750</v>
      </c>
      <c r="AA39" s="3070">
        <v>536750</v>
      </c>
      <c r="AB39" s="3070">
        <v>0</v>
      </c>
      <c r="AC39" s="3070">
        <v>500000</v>
      </c>
      <c r="AD39" s="3070">
        <v>500000</v>
      </c>
      <c r="AE39" s="3070">
        <v>0</v>
      </c>
      <c r="AI39" s="3070" t="s">
        <v>3227</v>
      </c>
      <c r="AJ39" s="3070">
        <v>0</v>
      </c>
      <c r="AK39" s="3070">
        <v>0</v>
      </c>
      <c r="AL39" s="3070">
        <v>0</v>
      </c>
      <c r="AM39" s="3070">
        <v>11139.46</v>
      </c>
      <c r="AN39" s="3070">
        <v>1036750</v>
      </c>
      <c r="AP39" s="3070">
        <v>1036750</v>
      </c>
      <c r="AQ39" s="3072">
        <v>45138</v>
      </c>
      <c r="AT39" s="3073">
        <v>45678</v>
      </c>
      <c r="AV39" s="3074">
        <v>3.21E+17</v>
      </c>
      <c r="AW39" s="3070" t="s">
        <v>3585</v>
      </c>
      <c r="AX39" s="3070" t="s">
        <v>3586</v>
      </c>
      <c r="AY39" s="3070" t="s">
        <v>3587</v>
      </c>
      <c r="BA39" s="3070" t="s">
        <v>3587</v>
      </c>
      <c r="BC39" s="3070" t="s">
        <v>3588</v>
      </c>
      <c r="BD39" s="3070" t="s">
        <v>3077</v>
      </c>
      <c r="BI39" s="3070" t="s">
        <v>3235</v>
      </c>
      <c r="BL39" s="3070" t="s">
        <v>3589</v>
      </c>
      <c r="BM39" s="3075">
        <v>44198</v>
      </c>
      <c r="BN39" s="3070">
        <v>2</v>
      </c>
      <c r="BO39" s="3070" t="s">
        <v>3253</v>
      </c>
      <c r="BR39" s="3070">
        <v>21</v>
      </c>
      <c r="BS39" s="3070" t="s">
        <v>3238</v>
      </c>
      <c r="BT39" s="3070" t="s">
        <v>3086</v>
      </c>
      <c r="BU39" s="3070" t="s">
        <v>3587</v>
      </c>
      <c r="BZ39" s="3073">
        <v>44206.634722222225</v>
      </c>
      <c r="CA39" s="3070">
        <v>1</v>
      </c>
      <c r="CB39" s="3070" t="s">
        <v>3086</v>
      </c>
      <c r="CD39" s="3070" t="s">
        <v>3239</v>
      </c>
      <c r="CF39" s="3070" t="s">
        <v>3091</v>
      </c>
      <c r="CH39" s="3070" t="s">
        <v>3240</v>
      </c>
      <c r="CI39" s="3070">
        <v>0</v>
      </c>
      <c r="CK39" s="3070" t="s">
        <v>3587</v>
      </c>
      <c r="CL39" s="3070" t="s">
        <v>3590</v>
      </c>
      <c r="CM39" s="3070">
        <v>951146.79</v>
      </c>
      <c r="CV39" s="3070" t="s">
        <v>3246</v>
      </c>
      <c r="CW39" s="3070" t="s">
        <v>3591</v>
      </c>
      <c r="CX39" s="3070" t="s">
        <v>3267</v>
      </c>
      <c r="CZ39" s="3070">
        <v>213894.57</v>
      </c>
      <c r="DA39" s="3070">
        <v>159426.93</v>
      </c>
      <c r="DB39" s="3070">
        <v>0</v>
      </c>
      <c r="DC39" s="3070">
        <v>0</v>
      </c>
      <c r="DD39" s="3070">
        <v>3290547602</v>
      </c>
      <c r="DE39" s="3070">
        <v>2764253109</v>
      </c>
      <c r="DF39" s="3070">
        <v>1464966739</v>
      </c>
      <c r="DG39" s="3070">
        <v>14938370</v>
      </c>
      <c r="DH39" s="3070">
        <v>1284348000</v>
      </c>
      <c r="DI39" s="3070">
        <v>1278128000</v>
      </c>
      <c r="DJ39" s="3070">
        <v>6220000</v>
      </c>
      <c r="DK39" s="3070">
        <v>0</v>
      </c>
      <c r="DL39" s="3070">
        <v>0</v>
      </c>
      <c r="DM39" s="3070">
        <v>25491817.620000001</v>
      </c>
      <c r="DN39" s="3070">
        <v>2764253109</v>
      </c>
      <c r="DP39" s="3070">
        <v>2764253109</v>
      </c>
    </row>
    <row r="40" spans="1:120">
      <c r="A40" s="3070">
        <v>39</v>
      </c>
      <c r="B40" s="3070" t="s">
        <v>3224</v>
      </c>
      <c r="C40" s="3070">
        <v>1</v>
      </c>
      <c r="E40" s="3070">
        <v>203</v>
      </c>
      <c r="F40" s="3070" t="s">
        <v>3592</v>
      </c>
      <c r="G40" s="3070" t="s">
        <v>3593</v>
      </c>
      <c r="H40" s="3070">
        <v>1142443</v>
      </c>
      <c r="I40" s="3070">
        <v>1142443</v>
      </c>
      <c r="J40" s="3070">
        <v>93.07</v>
      </c>
      <c r="K40" s="3070">
        <v>66.5</v>
      </c>
      <c r="L40" s="3070">
        <v>0</v>
      </c>
      <c r="M40" s="3070">
        <v>0</v>
      </c>
      <c r="N40" s="3070">
        <v>15194.45</v>
      </c>
      <c r="O40" s="3070">
        <v>1414147</v>
      </c>
      <c r="P40" s="3070">
        <v>12275.09</v>
      </c>
      <c r="Q40" s="3070">
        <v>1142443</v>
      </c>
      <c r="R40" s="3070" t="s">
        <v>3227</v>
      </c>
      <c r="S40" s="3070" t="s">
        <v>3594</v>
      </c>
      <c r="T40" s="3070" t="s">
        <v>3425</v>
      </c>
      <c r="V40" s="3070" t="s">
        <v>3230</v>
      </c>
      <c r="Y40" s="3070">
        <v>892443</v>
      </c>
      <c r="Z40" s="3070">
        <v>114244</v>
      </c>
      <c r="AA40" s="3070">
        <v>892443</v>
      </c>
      <c r="AB40" s="3070">
        <v>0</v>
      </c>
      <c r="AC40" s="3070">
        <v>250000</v>
      </c>
      <c r="AD40" s="3070">
        <v>250000</v>
      </c>
      <c r="AE40" s="3070">
        <v>0</v>
      </c>
      <c r="AI40" s="3070" t="s">
        <v>3227</v>
      </c>
      <c r="AJ40" s="3070">
        <v>0</v>
      </c>
      <c r="AK40" s="3070">
        <v>0</v>
      </c>
      <c r="AL40" s="3070">
        <v>0</v>
      </c>
      <c r="AM40" s="3070">
        <v>12275.09</v>
      </c>
      <c r="AN40" s="3070">
        <v>1142443</v>
      </c>
      <c r="AP40" s="3070">
        <v>1142443</v>
      </c>
      <c r="AQ40" s="3072">
        <v>45138</v>
      </c>
      <c r="AT40" s="3073">
        <v>45678</v>
      </c>
      <c r="AV40" s="3074">
        <v>3.21E+17</v>
      </c>
      <c r="AW40" s="3070" t="s">
        <v>3595</v>
      </c>
      <c r="AX40" s="3070" t="s">
        <v>3596</v>
      </c>
      <c r="AY40" s="3070" t="s">
        <v>3597</v>
      </c>
      <c r="BC40" s="3070" t="s">
        <v>3461</v>
      </c>
      <c r="BD40" s="3070" t="s">
        <v>3077</v>
      </c>
      <c r="BI40" s="3070" t="s">
        <v>3235</v>
      </c>
      <c r="BJ40" s="3070" t="s">
        <v>3598</v>
      </c>
      <c r="BL40" s="3070" t="s">
        <v>3599</v>
      </c>
      <c r="BM40" s="3075">
        <v>44198</v>
      </c>
      <c r="BN40" s="3070">
        <v>3</v>
      </c>
      <c r="BP40" s="3070" t="s">
        <v>3253</v>
      </c>
      <c r="BR40" s="3070">
        <v>350</v>
      </c>
      <c r="BS40" s="3070" t="s">
        <v>3238</v>
      </c>
      <c r="BT40" s="3070" t="s">
        <v>3481</v>
      </c>
      <c r="BZ40" s="3073">
        <v>44153.828472222223</v>
      </c>
      <c r="CA40" s="3070">
        <v>1</v>
      </c>
      <c r="CB40" s="3070" t="s">
        <v>3481</v>
      </c>
      <c r="CD40" s="3070" t="s">
        <v>3239</v>
      </c>
      <c r="CF40" s="3070" t="s">
        <v>3091</v>
      </c>
      <c r="CH40" s="3070" t="s">
        <v>3240</v>
      </c>
      <c r="CI40" s="3070">
        <v>0</v>
      </c>
      <c r="CJ40" s="3070" t="s">
        <v>3259</v>
      </c>
      <c r="CK40" s="3070" t="s">
        <v>3597</v>
      </c>
      <c r="CL40" s="3070" t="s">
        <v>3318</v>
      </c>
      <c r="CM40" s="3070">
        <v>1048112.84</v>
      </c>
      <c r="CV40" s="3070" t="s">
        <v>3425</v>
      </c>
      <c r="CW40" s="3070" t="s">
        <v>3600</v>
      </c>
      <c r="CX40" s="3070" t="s">
        <v>3510</v>
      </c>
      <c r="CZ40" s="3070">
        <v>213894.57</v>
      </c>
      <c r="DA40" s="3070">
        <v>159426.93</v>
      </c>
      <c r="DB40" s="3070">
        <v>0</v>
      </c>
      <c r="DC40" s="3070">
        <v>0</v>
      </c>
      <c r="DD40" s="3070">
        <v>3290547602</v>
      </c>
      <c r="DE40" s="3070">
        <v>2764253109</v>
      </c>
      <c r="DF40" s="3070">
        <v>1464966739</v>
      </c>
      <c r="DG40" s="3070">
        <v>14938370</v>
      </c>
      <c r="DH40" s="3070">
        <v>1284348000</v>
      </c>
      <c r="DI40" s="3070">
        <v>1278128000</v>
      </c>
      <c r="DJ40" s="3070">
        <v>6220000</v>
      </c>
      <c r="DK40" s="3070">
        <v>0</v>
      </c>
      <c r="DL40" s="3070">
        <v>0</v>
      </c>
      <c r="DM40" s="3070">
        <v>25491817.620000001</v>
      </c>
      <c r="DN40" s="3070">
        <v>2764253109</v>
      </c>
      <c r="DP40" s="3070">
        <v>2764253109</v>
      </c>
    </row>
    <row r="41" spans="1:120">
      <c r="A41" s="3070">
        <v>40</v>
      </c>
      <c r="B41" s="3070" t="s">
        <v>3224</v>
      </c>
      <c r="C41" s="3070">
        <v>1</v>
      </c>
      <c r="E41" s="3070">
        <v>204</v>
      </c>
      <c r="F41" s="3070" t="s">
        <v>3601</v>
      </c>
      <c r="G41" s="3070" t="s">
        <v>3602</v>
      </c>
      <c r="H41" s="3070">
        <v>1142443</v>
      </c>
      <c r="I41" s="3070">
        <v>1142443</v>
      </c>
      <c r="J41" s="3070">
        <v>93.07</v>
      </c>
      <c r="K41" s="3070">
        <v>66.5</v>
      </c>
      <c r="L41" s="3070">
        <v>0</v>
      </c>
      <c r="M41" s="3070">
        <v>0</v>
      </c>
      <c r="N41" s="3070">
        <v>15194.45</v>
      </c>
      <c r="O41" s="3070">
        <v>1414147</v>
      </c>
      <c r="P41" s="3070">
        <v>12275.09</v>
      </c>
      <c r="Q41" s="3070">
        <v>1142443</v>
      </c>
      <c r="R41" s="3070" t="s">
        <v>3227</v>
      </c>
      <c r="S41" s="3070" t="s">
        <v>3603</v>
      </c>
      <c r="T41" s="3070" t="s">
        <v>3258</v>
      </c>
      <c r="U41" s="3070" t="s">
        <v>3259</v>
      </c>
      <c r="V41" s="3070" t="s">
        <v>3230</v>
      </c>
      <c r="Y41" s="3070">
        <v>352443</v>
      </c>
      <c r="Z41" s="3070">
        <v>352443</v>
      </c>
      <c r="AA41" s="3070">
        <v>352443</v>
      </c>
      <c r="AB41" s="3070">
        <v>0</v>
      </c>
      <c r="AC41" s="3070">
        <v>790000</v>
      </c>
      <c r="AD41" s="3070">
        <v>790000</v>
      </c>
      <c r="AE41" s="3070">
        <v>0</v>
      </c>
      <c r="AI41" s="3070" t="s">
        <v>3227</v>
      </c>
      <c r="AJ41" s="3070">
        <v>0</v>
      </c>
      <c r="AK41" s="3070">
        <v>0</v>
      </c>
      <c r="AL41" s="3070">
        <v>0</v>
      </c>
      <c r="AM41" s="3070">
        <v>12275.09</v>
      </c>
      <c r="AN41" s="3070">
        <v>1142443</v>
      </c>
      <c r="AP41" s="3070">
        <v>1142443</v>
      </c>
      <c r="AQ41" s="3072">
        <v>45138</v>
      </c>
      <c r="AT41" s="3073">
        <v>45678</v>
      </c>
      <c r="AV41" s="3070" t="s">
        <v>3604</v>
      </c>
      <c r="AW41" s="3070" t="s">
        <v>3605</v>
      </c>
      <c r="AX41" s="3070" t="s">
        <v>3606</v>
      </c>
      <c r="AY41" s="3070" t="s">
        <v>3607</v>
      </c>
      <c r="BC41" s="3070" t="s">
        <v>3263</v>
      </c>
      <c r="BD41" s="3070" t="s">
        <v>3077</v>
      </c>
      <c r="BI41" s="3070" t="s">
        <v>3235</v>
      </c>
      <c r="BL41" s="3070" t="s">
        <v>3608</v>
      </c>
      <c r="BM41" s="3075">
        <v>44198</v>
      </c>
      <c r="BN41" s="3070">
        <v>4</v>
      </c>
      <c r="BO41" s="3070" t="s">
        <v>3253</v>
      </c>
      <c r="BP41" s="3070" t="s">
        <v>3253</v>
      </c>
      <c r="BR41" s="3070">
        <v>837</v>
      </c>
      <c r="BS41" s="3070" t="s">
        <v>3238</v>
      </c>
      <c r="BT41" s="3070" t="s">
        <v>3086</v>
      </c>
      <c r="BZ41" s="3073">
        <v>44143.684027777781</v>
      </c>
      <c r="CA41" s="3070">
        <v>1</v>
      </c>
      <c r="CB41" s="3070" t="s">
        <v>3086</v>
      </c>
      <c r="CD41" s="3070" t="s">
        <v>3239</v>
      </c>
      <c r="CF41" s="3070" t="s">
        <v>3091</v>
      </c>
      <c r="CH41" s="3070" t="s">
        <v>3240</v>
      </c>
      <c r="CI41" s="3070">
        <v>0</v>
      </c>
      <c r="CJ41" s="3070" t="s">
        <v>3259</v>
      </c>
      <c r="CK41" s="3070" t="s">
        <v>3607</v>
      </c>
      <c r="CL41" s="3070" t="s">
        <v>3607</v>
      </c>
      <c r="CM41" s="3070">
        <v>1048112.84</v>
      </c>
      <c r="CV41" s="3070" t="s">
        <v>3258</v>
      </c>
      <c r="CW41" s="3070" t="s">
        <v>3609</v>
      </c>
      <c r="CX41" s="3070" t="s">
        <v>3510</v>
      </c>
      <c r="CZ41" s="3070">
        <v>213894.57</v>
      </c>
      <c r="DA41" s="3070">
        <v>159426.93</v>
      </c>
      <c r="DB41" s="3070">
        <v>0</v>
      </c>
      <c r="DC41" s="3070">
        <v>0</v>
      </c>
      <c r="DD41" s="3070">
        <v>3290547602</v>
      </c>
      <c r="DE41" s="3070">
        <v>2764253109</v>
      </c>
      <c r="DF41" s="3070">
        <v>1464966739</v>
      </c>
      <c r="DG41" s="3070">
        <v>14938370</v>
      </c>
      <c r="DH41" s="3070">
        <v>1284348000</v>
      </c>
      <c r="DI41" s="3070">
        <v>1278128000</v>
      </c>
      <c r="DJ41" s="3070">
        <v>6220000</v>
      </c>
      <c r="DK41" s="3070">
        <v>0</v>
      </c>
      <c r="DL41" s="3070">
        <v>0</v>
      </c>
      <c r="DM41" s="3070">
        <v>25491817.620000001</v>
      </c>
      <c r="DN41" s="3070">
        <v>2764253109</v>
      </c>
      <c r="DP41" s="3070">
        <v>2764253109</v>
      </c>
    </row>
    <row r="42" spans="1:120">
      <c r="A42" s="3070">
        <v>41</v>
      </c>
      <c r="B42" s="3070" t="s">
        <v>3224</v>
      </c>
      <c r="C42" s="3070">
        <v>1</v>
      </c>
      <c r="E42" s="3070">
        <v>301</v>
      </c>
      <c r="F42" s="3070" t="s">
        <v>3610</v>
      </c>
      <c r="G42" s="3070" t="s">
        <v>3611</v>
      </c>
      <c r="H42" s="3070">
        <v>1216515</v>
      </c>
      <c r="I42" s="3070">
        <v>1216515</v>
      </c>
      <c r="J42" s="3070">
        <v>93.07</v>
      </c>
      <c r="K42" s="3070">
        <v>66.5</v>
      </c>
      <c r="L42" s="3070">
        <v>0</v>
      </c>
      <c r="M42" s="3070">
        <v>0</v>
      </c>
      <c r="N42" s="3070">
        <v>15294.45</v>
      </c>
      <c r="O42" s="3070">
        <v>1423454</v>
      </c>
      <c r="P42" s="3070">
        <v>13070.97</v>
      </c>
      <c r="Q42" s="3070">
        <v>1216515</v>
      </c>
      <c r="R42" s="3070" t="s">
        <v>3227</v>
      </c>
      <c r="S42" s="3070" t="s">
        <v>3612</v>
      </c>
      <c r="T42" s="3070" t="s">
        <v>3425</v>
      </c>
      <c r="V42" s="3070" t="s">
        <v>3230</v>
      </c>
      <c r="Y42" s="3070">
        <v>806515</v>
      </c>
      <c r="Z42" s="3070">
        <v>121652</v>
      </c>
      <c r="AA42" s="3070">
        <v>806515</v>
      </c>
      <c r="AB42" s="3070">
        <v>0</v>
      </c>
      <c r="AC42" s="3070">
        <v>410000</v>
      </c>
      <c r="AD42" s="3070">
        <v>410000</v>
      </c>
      <c r="AE42" s="3070">
        <v>0</v>
      </c>
      <c r="AI42" s="3070" t="s">
        <v>3227</v>
      </c>
      <c r="AJ42" s="3070">
        <v>0</v>
      </c>
      <c r="AK42" s="3070">
        <v>0</v>
      </c>
      <c r="AL42" s="3070">
        <v>0</v>
      </c>
      <c r="AM42" s="3070">
        <v>13070.97</v>
      </c>
      <c r="AN42" s="3070">
        <v>1216515</v>
      </c>
      <c r="AP42" s="3070">
        <v>1216515</v>
      </c>
      <c r="AQ42" s="3072">
        <v>45138</v>
      </c>
      <c r="AT42" s="3073">
        <v>45678</v>
      </c>
      <c r="AV42" s="3070" t="s">
        <v>3613</v>
      </c>
      <c r="AW42" s="3070" t="s">
        <v>3614</v>
      </c>
      <c r="AX42" s="3070" t="s">
        <v>3615</v>
      </c>
      <c r="AY42" s="3070" t="s">
        <v>3364</v>
      </c>
      <c r="BC42" s="3070" t="s">
        <v>3616</v>
      </c>
      <c r="BD42" s="3070" t="s">
        <v>3077</v>
      </c>
      <c r="BI42" s="3070" t="s">
        <v>3235</v>
      </c>
      <c r="BJ42" s="3070" t="s">
        <v>3296</v>
      </c>
      <c r="BL42" s="3070" t="s">
        <v>3617</v>
      </c>
      <c r="BM42" s="3075">
        <v>44199</v>
      </c>
      <c r="BN42" s="3070">
        <v>1</v>
      </c>
      <c r="BP42" s="3070" t="s">
        <v>3253</v>
      </c>
      <c r="BR42" s="3070">
        <v>174</v>
      </c>
      <c r="BS42" s="3070" t="s">
        <v>3238</v>
      </c>
      <c r="BT42" s="3070" t="s">
        <v>3086</v>
      </c>
      <c r="BZ42" s="3073">
        <v>44156.761111111111</v>
      </c>
      <c r="CA42" s="3070">
        <v>1</v>
      </c>
      <c r="CB42" s="3070" t="s">
        <v>3086</v>
      </c>
      <c r="CD42" s="3070" t="s">
        <v>3239</v>
      </c>
      <c r="CF42" s="3070" t="s">
        <v>3091</v>
      </c>
      <c r="CH42" s="3070" t="s">
        <v>3240</v>
      </c>
      <c r="CI42" s="3070">
        <v>0</v>
      </c>
      <c r="CJ42" s="3070" t="s">
        <v>3259</v>
      </c>
      <c r="CK42" s="3070" t="s">
        <v>3364</v>
      </c>
      <c r="CL42" s="3070" t="s">
        <v>3364</v>
      </c>
      <c r="CM42" s="3070">
        <v>1116068.8</v>
      </c>
      <c r="CV42" s="3070" t="s">
        <v>3425</v>
      </c>
      <c r="CW42" s="3070" t="s">
        <v>3618</v>
      </c>
      <c r="CZ42" s="3070">
        <v>213894.57</v>
      </c>
      <c r="DA42" s="3070">
        <v>159426.93</v>
      </c>
      <c r="DB42" s="3070">
        <v>0</v>
      </c>
      <c r="DC42" s="3070">
        <v>0</v>
      </c>
      <c r="DD42" s="3070">
        <v>3290547602</v>
      </c>
      <c r="DE42" s="3070">
        <v>2764253109</v>
      </c>
      <c r="DF42" s="3070">
        <v>1464966739</v>
      </c>
      <c r="DG42" s="3070">
        <v>14938370</v>
      </c>
      <c r="DH42" s="3070">
        <v>1284348000</v>
      </c>
      <c r="DI42" s="3070">
        <v>1278128000</v>
      </c>
      <c r="DJ42" s="3070">
        <v>6220000</v>
      </c>
      <c r="DK42" s="3070">
        <v>0</v>
      </c>
      <c r="DL42" s="3070">
        <v>0</v>
      </c>
      <c r="DM42" s="3070">
        <v>25491817.620000001</v>
      </c>
      <c r="DN42" s="3070">
        <v>2764253109</v>
      </c>
      <c r="DP42" s="3070">
        <v>2764253109</v>
      </c>
    </row>
    <row r="43" spans="1:120">
      <c r="A43" s="3070">
        <v>42</v>
      </c>
      <c r="B43" s="3070" t="s">
        <v>3224</v>
      </c>
      <c r="C43" s="3070">
        <v>1</v>
      </c>
      <c r="E43" s="3070">
        <v>302</v>
      </c>
      <c r="F43" s="3070" t="s">
        <v>3619</v>
      </c>
      <c r="G43" s="3070" t="s">
        <v>3620</v>
      </c>
      <c r="H43" s="3070">
        <v>1151291</v>
      </c>
      <c r="I43" s="3070">
        <v>1151291</v>
      </c>
      <c r="J43" s="3070">
        <v>93.07</v>
      </c>
      <c r="K43" s="3070">
        <v>66.5</v>
      </c>
      <c r="L43" s="3070">
        <v>0</v>
      </c>
      <c r="M43" s="3070">
        <v>0</v>
      </c>
      <c r="N43" s="3070">
        <v>15294.45</v>
      </c>
      <c r="O43" s="3070">
        <v>1423454</v>
      </c>
      <c r="P43" s="3070">
        <v>12370.16</v>
      </c>
      <c r="Q43" s="3070">
        <v>1151291</v>
      </c>
      <c r="R43" s="3070" t="s">
        <v>3227</v>
      </c>
      <c r="S43" s="3070" t="s">
        <v>3621</v>
      </c>
      <c r="T43" s="3070" t="s">
        <v>3246</v>
      </c>
      <c r="U43" s="3070" t="s">
        <v>3371</v>
      </c>
      <c r="V43" s="3070" t="s">
        <v>3230</v>
      </c>
      <c r="Y43" s="3070">
        <v>501291</v>
      </c>
      <c r="Z43" s="3070">
        <v>501291</v>
      </c>
      <c r="AA43" s="3070">
        <v>501291</v>
      </c>
      <c r="AB43" s="3070">
        <v>0</v>
      </c>
      <c r="AC43" s="3070">
        <v>650000</v>
      </c>
      <c r="AD43" s="3070">
        <v>650000</v>
      </c>
      <c r="AE43" s="3070">
        <v>0</v>
      </c>
      <c r="AI43" s="3070" t="s">
        <v>3227</v>
      </c>
      <c r="AJ43" s="3070">
        <v>0</v>
      </c>
      <c r="AK43" s="3070">
        <v>0</v>
      </c>
      <c r="AL43" s="3070">
        <v>0</v>
      </c>
      <c r="AM43" s="3070">
        <v>12370.16</v>
      </c>
      <c r="AN43" s="3070">
        <v>1151291</v>
      </c>
      <c r="AP43" s="3070">
        <v>1151291</v>
      </c>
      <c r="AQ43" s="3072">
        <v>45138</v>
      </c>
      <c r="AT43" s="3073">
        <v>45678</v>
      </c>
      <c r="AV43" s="3070" t="s">
        <v>3622</v>
      </c>
      <c r="AW43" s="3070" t="s">
        <v>3623</v>
      </c>
      <c r="AX43" s="3070" t="s">
        <v>3624</v>
      </c>
      <c r="AY43" s="3070" t="s">
        <v>3364</v>
      </c>
      <c r="BC43" s="3070" t="s">
        <v>3284</v>
      </c>
      <c r="BD43" s="3070" t="s">
        <v>3077</v>
      </c>
      <c r="BI43" s="3070" t="s">
        <v>3235</v>
      </c>
      <c r="BJ43" s="3070" t="s">
        <v>3296</v>
      </c>
      <c r="BL43" s="3070" t="s">
        <v>3625</v>
      </c>
      <c r="BM43" s="3075">
        <v>44199</v>
      </c>
      <c r="BN43" s="3070">
        <v>2</v>
      </c>
      <c r="BO43" s="3070" t="s">
        <v>3253</v>
      </c>
      <c r="BR43" s="3070">
        <v>132</v>
      </c>
      <c r="BS43" s="3070" t="s">
        <v>3238</v>
      </c>
      <c r="BT43" s="3070" t="s">
        <v>3086</v>
      </c>
      <c r="BZ43" s="3073">
        <v>44143.745138888888</v>
      </c>
      <c r="CA43" s="3070">
        <v>1</v>
      </c>
      <c r="CB43" s="3070" t="s">
        <v>3086</v>
      </c>
      <c r="CD43" s="3070" t="s">
        <v>3239</v>
      </c>
      <c r="CF43" s="3070" t="s">
        <v>3091</v>
      </c>
      <c r="CH43" s="3070" t="s">
        <v>3240</v>
      </c>
      <c r="CI43" s="3070">
        <v>0</v>
      </c>
      <c r="CK43" s="3070" t="s">
        <v>3364</v>
      </c>
      <c r="CL43" s="3070" t="s">
        <v>3364</v>
      </c>
      <c r="CM43" s="3070">
        <v>1056230.28</v>
      </c>
      <c r="CV43" s="3070" t="s">
        <v>3246</v>
      </c>
      <c r="CW43" s="3070" t="s">
        <v>3626</v>
      </c>
      <c r="CZ43" s="3070">
        <v>213894.57</v>
      </c>
      <c r="DA43" s="3070">
        <v>159426.93</v>
      </c>
      <c r="DB43" s="3070">
        <v>0</v>
      </c>
      <c r="DC43" s="3070">
        <v>0</v>
      </c>
      <c r="DD43" s="3070">
        <v>3290547602</v>
      </c>
      <c r="DE43" s="3070">
        <v>2764253109</v>
      </c>
      <c r="DF43" s="3070">
        <v>1464966739</v>
      </c>
      <c r="DG43" s="3070">
        <v>14938370</v>
      </c>
      <c r="DH43" s="3070">
        <v>1284348000</v>
      </c>
      <c r="DI43" s="3070">
        <v>1278128000</v>
      </c>
      <c r="DJ43" s="3070">
        <v>6220000</v>
      </c>
      <c r="DK43" s="3070">
        <v>0</v>
      </c>
      <c r="DL43" s="3070">
        <v>0</v>
      </c>
      <c r="DM43" s="3070">
        <v>25491817.620000001</v>
      </c>
      <c r="DN43" s="3070">
        <v>2764253109</v>
      </c>
      <c r="DP43" s="3070">
        <v>2764253109</v>
      </c>
    </row>
    <row r="44" spans="1:120">
      <c r="A44" s="3070">
        <v>43</v>
      </c>
      <c r="B44" s="3070" t="s">
        <v>3224</v>
      </c>
      <c r="C44" s="3070">
        <v>1</v>
      </c>
      <c r="E44" s="3070">
        <v>303</v>
      </c>
      <c r="F44" s="3070" t="s">
        <v>3627</v>
      </c>
      <c r="G44" s="3070" t="s">
        <v>3628</v>
      </c>
      <c r="H44" s="3070">
        <v>1139778</v>
      </c>
      <c r="I44" s="3070">
        <v>1139778</v>
      </c>
      <c r="J44" s="3070">
        <v>93.07</v>
      </c>
      <c r="K44" s="3070">
        <v>66.5</v>
      </c>
      <c r="L44" s="3070">
        <v>0</v>
      </c>
      <c r="M44" s="3070">
        <v>0</v>
      </c>
      <c r="N44" s="3070">
        <v>15294.45</v>
      </c>
      <c r="O44" s="3070">
        <v>1423454</v>
      </c>
      <c r="P44" s="3070">
        <v>12246.46</v>
      </c>
      <c r="Q44" s="3070">
        <v>1139778</v>
      </c>
      <c r="R44" s="3070" t="s">
        <v>3227</v>
      </c>
      <c r="S44" s="3070" t="s">
        <v>3629</v>
      </c>
      <c r="T44" s="3070" t="s">
        <v>3229</v>
      </c>
      <c r="V44" s="3070" t="s">
        <v>3230</v>
      </c>
      <c r="Y44" s="3070">
        <v>341933</v>
      </c>
      <c r="Z44" s="3070">
        <v>341933</v>
      </c>
      <c r="AA44" s="3070">
        <v>1139778</v>
      </c>
      <c r="AB44" s="3070">
        <v>0</v>
      </c>
      <c r="AC44" s="3070">
        <v>0</v>
      </c>
      <c r="AD44" s="3070">
        <v>0</v>
      </c>
      <c r="AE44" s="3070">
        <v>0</v>
      </c>
      <c r="AI44" s="3070" t="s">
        <v>3227</v>
      </c>
      <c r="AJ44" s="3070">
        <v>0</v>
      </c>
      <c r="AK44" s="3070">
        <v>0</v>
      </c>
      <c r="AL44" s="3070">
        <v>0</v>
      </c>
      <c r="AM44" s="3070">
        <v>12246.46</v>
      </c>
      <c r="AN44" s="3070">
        <v>1139778</v>
      </c>
      <c r="AP44" s="3070">
        <v>1139778</v>
      </c>
      <c r="AQ44" s="3072">
        <v>45138</v>
      </c>
      <c r="AT44" s="3073">
        <v>45678</v>
      </c>
      <c r="AV44" s="3074">
        <v>3.21E+17</v>
      </c>
      <c r="AW44" s="3070" t="s">
        <v>3630</v>
      </c>
      <c r="AX44" s="3070" t="s">
        <v>3631</v>
      </c>
      <c r="AY44" s="3070" t="s">
        <v>3632</v>
      </c>
      <c r="BC44" s="3070" t="s">
        <v>3347</v>
      </c>
      <c r="BD44" s="3070" t="s">
        <v>3077</v>
      </c>
      <c r="BI44" s="3070" t="s">
        <v>3235</v>
      </c>
      <c r="BJ44" s="3070" t="s">
        <v>3338</v>
      </c>
      <c r="BL44" s="3070" t="s">
        <v>3633</v>
      </c>
      <c r="BM44" s="3075">
        <v>44199</v>
      </c>
      <c r="BN44" s="3070">
        <v>3</v>
      </c>
      <c r="BR44" s="3070">
        <v>691</v>
      </c>
      <c r="BS44" s="3070" t="s">
        <v>3238</v>
      </c>
      <c r="BT44" s="3070" t="s">
        <v>3086</v>
      </c>
      <c r="BZ44" s="3073">
        <v>44142.640972222223</v>
      </c>
      <c r="CA44" s="3070">
        <v>1</v>
      </c>
      <c r="CB44" s="3070" t="s">
        <v>3086</v>
      </c>
      <c r="CD44" s="3070" t="s">
        <v>3239</v>
      </c>
      <c r="CF44" s="3070" t="s">
        <v>3091</v>
      </c>
      <c r="CH44" s="3070" t="s">
        <v>3240</v>
      </c>
      <c r="CI44" s="3070">
        <v>0</v>
      </c>
      <c r="CK44" s="3070" t="s">
        <v>3632</v>
      </c>
      <c r="CL44" s="3070" t="s">
        <v>3632</v>
      </c>
      <c r="CM44" s="3070">
        <v>1045667.89</v>
      </c>
      <c r="CV44" s="3070" t="s">
        <v>3229</v>
      </c>
      <c r="CW44" s="3070" t="s">
        <v>3634</v>
      </c>
      <c r="CZ44" s="3070">
        <v>213894.57</v>
      </c>
      <c r="DA44" s="3070">
        <v>159426.93</v>
      </c>
      <c r="DB44" s="3070">
        <v>0</v>
      </c>
      <c r="DC44" s="3070">
        <v>0</v>
      </c>
      <c r="DD44" s="3070">
        <v>3290547602</v>
      </c>
      <c r="DE44" s="3070">
        <v>2764253109</v>
      </c>
      <c r="DF44" s="3070">
        <v>1464966739</v>
      </c>
      <c r="DG44" s="3070">
        <v>14938370</v>
      </c>
      <c r="DH44" s="3070">
        <v>1284348000</v>
      </c>
      <c r="DI44" s="3070">
        <v>1278128000</v>
      </c>
      <c r="DJ44" s="3070">
        <v>6220000</v>
      </c>
      <c r="DK44" s="3070">
        <v>0</v>
      </c>
      <c r="DL44" s="3070">
        <v>0</v>
      </c>
      <c r="DM44" s="3070">
        <v>25491817.620000001</v>
      </c>
      <c r="DN44" s="3070">
        <v>2764253109</v>
      </c>
      <c r="DP44" s="3070">
        <v>2764253109</v>
      </c>
    </row>
    <row r="45" spans="1:120">
      <c r="A45" s="3070">
        <v>44</v>
      </c>
      <c r="B45" s="3070" t="s">
        <v>3224</v>
      </c>
      <c r="C45" s="3070">
        <v>1</v>
      </c>
      <c r="E45" s="3070">
        <v>304</v>
      </c>
      <c r="F45" s="3070" t="s">
        <v>3635</v>
      </c>
      <c r="G45" s="3070" t="s">
        <v>3636</v>
      </c>
      <c r="H45" s="3070">
        <v>1151291</v>
      </c>
      <c r="I45" s="3070">
        <v>1151291</v>
      </c>
      <c r="J45" s="3070">
        <v>93.07</v>
      </c>
      <c r="K45" s="3070">
        <v>66.5</v>
      </c>
      <c r="L45" s="3070">
        <v>0</v>
      </c>
      <c r="M45" s="3070">
        <v>0</v>
      </c>
      <c r="N45" s="3070">
        <v>15294.45</v>
      </c>
      <c r="O45" s="3070">
        <v>1423454</v>
      </c>
      <c r="P45" s="3070">
        <v>12370.16</v>
      </c>
      <c r="Q45" s="3070">
        <v>1151291</v>
      </c>
      <c r="R45" s="3070" t="s">
        <v>3227</v>
      </c>
      <c r="S45" s="3070" t="s">
        <v>3637</v>
      </c>
      <c r="T45" s="3070" t="s">
        <v>3246</v>
      </c>
      <c r="U45" s="3070" t="s">
        <v>3381</v>
      </c>
      <c r="V45" s="3070" t="s">
        <v>3230</v>
      </c>
      <c r="Y45" s="3070">
        <v>351291</v>
      </c>
      <c r="Z45" s="3070">
        <v>351291</v>
      </c>
      <c r="AA45" s="3070">
        <v>351291</v>
      </c>
      <c r="AB45" s="3070">
        <v>0</v>
      </c>
      <c r="AC45" s="3070">
        <v>800000</v>
      </c>
      <c r="AD45" s="3070">
        <v>800000</v>
      </c>
      <c r="AE45" s="3070">
        <v>0</v>
      </c>
      <c r="AI45" s="3070" t="s">
        <v>3227</v>
      </c>
      <c r="AJ45" s="3070">
        <v>0</v>
      </c>
      <c r="AK45" s="3070">
        <v>0</v>
      </c>
      <c r="AL45" s="3070">
        <v>0</v>
      </c>
      <c r="AM45" s="3070">
        <v>12370.16</v>
      </c>
      <c r="AN45" s="3070">
        <v>1151291</v>
      </c>
      <c r="AP45" s="3070">
        <v>1151291</v>
      </c>
      <c r="AQ45" s="3072">
        <v>45138</v>
      </c>
      <c r="AT45" s="3073">
        <v>45678</v>
      </c>
      <c r="AV45" s="3070" t="s">
        <v>3638</v>
      </c>
      <c r="AW45" s="3070" t="s">
        <v>3639</v>
      </c>
      <c r="AX45" s="3070" t="s">
        <v>3640</v>
      </c>
      <c r="AY45" s="3070" t="s">
        <v>3306</v>
      </c>
      <c r="BC45" s="3070" t="s">
        <v>3251</v>
      </c>
      <c r="BD45" s="3070" t="s">
        <v>3077</v>
      </c>
      <c r="BI45" s="3070" t="s">
        <v>3235</v>
      </c>
      <c r="BL45" s="3070" t="s">
        <v>3641</v>
      </c>
      <c r="BM45" s="3075">
        <v>44199</v>
      </c>
      <c r="BN45" s="3070">
        <v>4</v>
      </c>
      <c r="BO45" s="3070" t="s">
        <v>3253</v>
      </c>
      <c r="BR45" s="3070">
        <v>167</v>
      </c>
      <c r="BS45" s="3070" t="s">
        <v>3238</v>
      </c>
      <c r="BT45" s="3070" t="s">
        <v>3086</v>
      </c>
      <c r="BZ45" s="3073">
        <v>44142.640972222223</v>
      </c>
      <c r="CA45" s="3070">
        <v>1</v>
      </c>
      <c r="CB45" s="3070" t="s">
        <v>3086</v>
      </c>
      <c r="CD45" s="3070" t="s">
        <v>3239</v>
      </c>
      <c r="CF45" s="3070" t="s">
        <v>3091</v>
      </c>
      <c r="CH45" s="3070" t="s">
        <v>3240</v>
      </c>
      <c r="CI45" s="3070">
        <v>0</v>
      </c>
      <c r="CK45" s="3070" t="s">
        <v>3306</v>
      </c>
      <c r="CL45" s="3070" t="s">
        <v>3306</v>
      </c>
      <c r="CM45" s="3070">
        <v>1056230.28</v>
      </c>
      <c r="CV45" s="3070" t="s">
        <v>3246</v>
      </c>
      <c r="CW45" s="3070" t="s">
        <v>3642</v>
      </c>
      <c r="CX45" s="3070" t="s">
        <v>3350</v>
      </c>
      <c r="CZ45" s="3070">
        <v>213894.57</v>
      </c>
      <c r="DA45" s="3070">
        <v>159426.93</v>
      </c>
      <c r="DB45" s="3070">
        <v>0</v>
      </c>
      <c r="DC45" s="3070">
        <v>0</v>
      </c>
      <c r="DD45" s="3070">
        <v>3290547602</v>
      </c>
      <c r="DE45" s="3070">
        <v>2764253109</v>
      </c>
      <c r="DF45" s="3070">
        <v>1464966739</v>
      </c>
      <c r="DG45" s="3070">
        <v>14938370</v>
      </c>
      <c r="DH45" s="3070">
        <v>1284348000</v>
      </c>
      <c r="DI45" s="3070">
        <v>1278128000</v>
      </c>
      <c r="DJ45" s="3070">
        <v>6220000</v>
      </c>
      <c r="DK45" s="3070">
        <v>0</v>
      </c>
      <c r="DL45" s="3070">
        <v>0</v>
      </c>
      <c r="DM45" s="3070">
        <v>25491817.620000001</v>
      </c>
      <c r="DN45" s="3070">
        <v>2764253109</v>
      </c>
      <c r="DP45" s="3070">
        <v>2764253109</v>
      </c>
    </row>
    <row r="46" spans="1:120">
      <c r="A46" s="3070">
        <v>45</v>
      </c>
      <c r="B46" s="3070" t="s">
        <v>3224</v>
      </c>
      <c r="C46" s="3070">
        <v>1</v>
      </c>
      <c r="E46" s="3070">
        <v>401</v>
      </c>
      <c r="F46" s="3070" t="s">
        <v>3643</v>
      </c>
      <c r="G46" s="3070" t="s">
        <v>3644</v>
      </c>
      <c r="H46" s="3070">
        <v>1142443</v>
      </c>
      <c r="I46" s="3070">
        <v>1142443</v>
      </c>
      <c r="J46" s="3070">
        <v>93.07</v>
      </c>
      <c r="K46" s="3070">
        <v>66.5</v>
      </c>
      <c r="L46" s="3070">
        <v>0</v>
      </c>
      <c r="M46" s="3070">
        <v>0</v>
      </c>
      <c r="N46" s="3070">
        <v>15194.45</v>
      </c>
      <c r="O46" s="3070">
        <v>1414147</v>
      </c>
      <c r="P46" s="3070">
        <v>12275.09</v>
      </c>
      <c r="Q46" s="3070">
        <v>1142443</v>
      </c>
      <c r="R46" s="3070" t="s">
        <v>3227</v>
      </c>
      <c r="S46" s="3070" t="s">
        <v>3645</v>
      </c>
      <c r="T46" s="3070" t="s">
        <v>3258</v>
      </c>
      <c r="U46" s="3070" t="s">
        <v>3259</v>
      </c>
      <c r="V46" s="3070" t="s">
        <v>3230</v>
      </c>
      <c r="Y46" s="3070">
        <v>352443</v>
      </c>
      <c r="Z46" s="3070">
        <v>352443</v>
      </c>
      <c r="AA46" s="3070">
        <v>352443</v>
      </c>
      <c r="AB46" s="3070">
        <v>0</v>
      </c>
      <c r="AC46" s="3070">
        <v>790000</v>
      </c>
      <c r="AD46" s="3070">
        <v>790000</v>
      </c>
      <c r="AE46" s="3070">
        <v>0</v>
      </c>
      <c r="AI46" s="3070" t="s">
        <v>3227</v>
      </c>
      <c r="AJ46" s="3070">
        <v>0</v>
      </c>
      <c r="AK46" s="3070">
        <v>0</v>
      </c>
      <c r="AL46" s="3070">
        <v>0</v>
      </c>
      <c r="AM46" s="3070">
        <v>12275.09</v>
      </c>
      <c r="AN46" s="3070">
        <v>1142443</v>
      </c>
      <c r="AP46" s="3070">
        <v>1142443</v>
      </c>
      <c r="AQ46" s="3072">
        <v>45138</v>
      </c>
      <c r="AT46" s="3073">
        <v>45678</v>
      </c>
      <c r="AV46" s="3074">
        <v>3.21E+17</v>
      </c>
      <c r="AW46" s="3070" t="s">
        <v>3646</v>
      </c>
      <c r="AX46" s="3070" t="s">
        <v>3647</v>
      </c>
      <c r="AY46" s="3070" t="s">
        <v>3648</v>
      </c>
      <c r="BC46" s="3070" t="s">
        <v>3263</v>
      </c>
      <c r="BD46" s="3070" t="s">
        <v>3077</v>
      </c>
      <c r="BI46" s="3070" t="s">
        <v>3235</v>
      </c>
      <c r="BJ46" s="3070" t="s">
        <v>3338</v>
      </c>
      <c r="BL46" s="3070" t="s">
        <v>3649</v>
      </c>
      <c r="BM46" s="3075">
        <v>44200</v>
      </c>
      <c r="BN46" s="3070">
        <v>1</v>
      </c>
      <c r="BO46" s="3070" t="s">
        <v>3253</v>
      </c>
      <c r="BP46" s="3070" t="s">
        <v>3253</v>
      </c>
      <c r="BR46" s="3070">
        <v>498</v>
      </c>
      <c r="BS46" s="3070" t="s">
        <v>3238</v>
      </c>
      <c r="BT46" s="3070" t="s">
        <v>3086</v>
      </c>
      <c r="BZ46" s="3073">
        <v>44142.636805555558</v>
      </c>
      <c r="CA46" s="3070">
        <v>1</v>
      </c>
      <c r="CB46" s="3070" t="s">
        <v>3086</v>
      </c>
      <c r="CD46" s="3070" t="s">
        <v>3239</v>
      </c>
      <c r="CF46" s="3070" t="s">
        <v>3091</v>
      </c>
      <c r="CH46" s="3070" t="s">
        <v>3240</v>
      </c>
      <c r="CI46" s="3070">
        <v>0</v>
      </c>
      <c r="CJ46" s="3070" t="s">
        <v>3259</v>
      </c>
      <c r="CK46" s="3070" t="s">
        <v>3648</v>
      </c>
      <c r="CL46" s="3070" t="s">
        <v>3648</v>
      </c>
      <c r="CM46" s="3070">
        <v>1048112.84</v>
      </c>
      <c r="CV46" s="3070" t="s">
        <v>3258</v>
      </c>
      <c r="CW46" s="3070" t="s">
        <v>3650</v>
      </c>
      <c r="CZ46" s="3070">
        <v>213894.57</v>
      </c>
      <c r="DA46" s="3070">
        <v>159426.93</v>
      </c>
      <c r="DB46" s="3070">
        <v>0</v>
      </c>
      <c r="DC46" s="3070">
        <v>0</v>
      </c>
      <c r="DD46" s="3070">
        <v>3290547602</v>
      </c>
      <c r="DE46" s="3070">
        <v>2764253109</v>
      </c>
      <c r="DF46" s="3070">
        <v>1464966739</v>
      </c>
      <c r="DG46" s="3070">
        <v>14938370</v>
      </c>
      <c r="DH46" s="3070">
        <v>1284348000</v>
      </c>
      <c r="DI46" s="3070">
        <v>1278128000</v>
      </c>
      <c r="DJ46" s="3070">
        <v>6220000</v>
      </c>
      <c r="DK46" s="3070">
        <v>0</v>
      </c>
      <c r="DL46" s="3070">
        <v>0</v>
      </c>
      <c r="DM46" s="3070">
        <v>25491817.620000001</v>
      </c>
      <c r="DN46" s="3070">
        <v>2764253109</v>
      </c>
      <c r="DP46" s="3070">
        <v>2764253109</v>
      </c>
    </row>
    <row r="47" spans="1:120">
      <c r="A47" s="3070">
        <v>46</v>
      </c>
      <c r="B47" s="3070" t="s">
        <v>3224</v>
      </c>
      <c r="C47" s="3070">
        <v>1</v>
      </c>
      <c r="E47" s="3070">
        <v>402</v>
      </c>
      <c r="F47" s="3070" t="s">
        <v>3651</v>
      </c>
      <c r="G47" s="3070" t="s">
        <v>3652</v>
      </c>
      <c r="H47" s="3070">
        <v>1142443</v>
      </c>
      <c r="I47" s="3070">
        <v>1142443</v>
      </c>
      <c r="J47" s="3070">
        <v>93.07</v>
      </c>
      <c r="K47" s="3070">
        <v>66.5</v>
      </c>
      <c r="L47" s="3070">
        <v>0</v>
      </c>
      <c r="M47" s="3070">
        <v>0</v>
      </c>
      <c r="N47" s="3070">
        <v>15194.45</v>
      </c>
      <c r="O47" s="3070">
        <v>1414147</v>
      </c>
      <c r="P47" s="3070">
        <v>12275.09</v>
      </c>
      <c r="Q47" s="3070">
        <v>1142443</v>
      </c>
      <c r="R47" s="3070" t="s">
        <v>3227</v>
      </c>
      <c r="S47" s="3070" t="s">
        <v>3653</v>
      </c>
      <c r="T47" s="3070" t="s">
        <v>3246</v>
      </c>
      <c r="U47" s="3070" t="s">
        <v>3539</v>
      </c>
      <c r="V47" s="3070" t="s">
        <v>3230</v>
      </c>
      <c r="Y47" s="3070">
        <v>492443</v>
      </c>
      <c r="Z47" s="3070">
        <v>492443</v>
      </c>
      <c r="AA47" s="3070">
        <v>492443</v>
      </c>
      <c r="AB47" s="3070">
        <v>0</v>
      </c>
      <c r="AC47" s="3070">
        <v>650000</v>
      </c>
      <c r="AD47" s="3070">
        <v>650000</v>
      </c>
      <c r="AE47" s="3070">
        <v>0</v>
      </c>
      <c r="AI47" s="3070" t="s">
        <v>3227</v>
      </c>
      <c r="AJ47" s="3070">
        <v>0</v>
      </c>
      <c r="AK47" s="3070">
        <v>0</v>
      </c>
      <c r="AL47" s="3070">
        <v>0</v>
      </c>
      <c r="AM47" s="3070">
        <v>12275.09</v>
      </c>
      <c r="AN47" s="3070">
        <v>1142443</v>
      </c>
      <c r="AP47" s="3070">
        <v>1142443</v>
      </c>
      <c r="AQ47" s="3072">
        <v>45138</v>
      </c>
      <c r="AT47" s="3073">
        <v>45678</v>
      </c>
      <c r="AV47" s="3074">
        <v>3.21E+17</v>
      </c>
      <c r="AW47" s="3070" t="s">
        <v>3654</v>
      </c>
      <c r="AX47" s="3070" t="s">
        <v>3655</v>
      </c>
      <c r="AY47" s="3070" t="s">
        <v>3656</v>
      </c>
      <c r="BC47" s="3070" t="s">
        <v>3284</v>
      </c>
      <c r="BD47" s="3070" t="s">
        <v>3077</v>
      </c>
      <c r="BI47" s="3070" t="s">
        <v>3235</v>
      </c>
      <c r="BJ47" s="3070" t="s">
        <v>3338</v>
      </c>
      <c r="BL47" s="3070" t="s">
        <v>3657</v>
      </c>
      <c r="BM47" s="3075">
        <v>44200</v>
      </c>
      <c r="BN47" s="3070">
        <v>2</v>
      </c>
      <c r="BO47" s="3070" t="s">
        <v>3253</v>
      </c>
      <c r="BR47" s="3070">
        <v>5</v>
      </c>
      <c r="BS47" s="3070" t="s">
        <v>3238</v>
      </c>
      <c r="BT47" s="3070" t="s">
        <v>3086</v>
      </c>
      <c r="BZ47" s="3073">
        <v>44142.621527777781</v>
      </c>
      <c r="CA47" s="3070">
        <v>1</v>
      </c>
      <c r="CB47" s="3070" t="s">
        <v>3086</v>
      </c>
      <c r="CD47" s="3070" t="s">
        <v>3239</v>
      </c>
      <c r="CF47" s="3070" t="s">
        <v>3091</v>
      </c>
      <c r="CH47" s="3070" t="s">
        <v>3240</v>
      </c>
      <c r="CI47" s="3070">
        <v>0</v>
      </c>
      <c r="CK47" s="3070" t="s">
        <v>3656</v>
      </c>
      <c r="CL47" s="3070" t="s">
        <v>3656</v>
      </c>
      <c r="CM47" s="3070">
        <v>1048112.84</v>
      </c>
      <c r="CV47" s="3070" t="s">
        <v>3246</v>
      </c>
      <c r="CW47" s="3070" t="s">
        <v>3658</v>
      </c>
      <c r="CZ47" s="3070">
        <v>213894.57</v>
      </c>
      <c r="DA47" s="3070">
        <v>159426.93</v>
      </c>
      <c r="DB47" s="3070">
        <v>0</v>
      </c>
      <c r="DC47" s="3070">
        <v>0</v>
      </c>
      <c r="DD47" s="3070">
        <v>3290547602</v>
      </c>
      <c r="DE47" s="3070">
        <v>2764253109</v>
      </c>
      <c r="DF47" s="3070">
        <v>1464966739</v>
      </c>
      <c r="DG47" s="3070">
        <v>14938370</v>
      </c>
      <c r="DH47" s="3070">
        <v>1284348000</v>
      </c>
      <c r="DI47" s="3070">
        <v>1278128000</v>
      </c>
      <c r="DJ47" s="3070">
        <v>6220000</v>
      </c>
      <c r="DK47" s="3070">
        <v>0</v>
      </c>
      <c r="DL47" s="3070">
        <v>0</v>
      </c>
      <c r="DM47" s="3070">
        <v>25491817.620000001</v>
      </c>
      <c r="DN47" s="3070">
        <v>2764253109</v>
      </c>
      <c r="DP47" s="3070">
        <v>2764253109</v>
      </c>
    </row>
    <row r="48" spans="1:120">
      <c r="A48" s="3070">
        <v>47</v>
      </c>
      <c r="B48" s="3070" t="s">
        <v>3224</v>
      </c>
      <c r="C48" s="3070">
        <v>1</v>
      </c>
      <c r="E48" s="3070">
        <v>403</v>
      </c>
      <c r="F48" s="3070" t="s">
        <v>3659</v>
      </c>
      <c r="G48" s="3070" t="s">
        <v>3660</v>
      </c>
      <c r="H48" s="3070">
        <v>1142443</v>
      </c>
      <c r="I48" s="3070">
        <v>1142443</v>
      </c>
      <c r="J48" s="3070">
        <v>93.07</v>
      </c>
      <c r="K48" s="3070">
        <v>66.5</v>
      </c>
      <c r="L48" s="3070">
        <v>0</v>
      </c>
      <c r="M48" s="3070">
        <v>0</v>
      </c>
      <c r="N48" s="3070">
        <v>15194.45</v>
      </c>
      <c r="O48" s="3070">
        <v>1414147</v>
      </c>
      <c r="P48" s="3070">
        <v>12275.09</v>
      </c>
      <c r="Q48" s="3070">
        <v>1142443</v>
      </c>
      <c r="R48" s="3070" t="s">
        <v>3227</v>
      </c>
      <c r="S48" s="3070" t="s">
        <v>3661</v>
      </c>
      <c r="T48" s="3070" t="s">
        <v>3246</v>
      </c>
      <c r="U48" s="3070" t="s">
        <v>3467</v>
      </c>
      <c r="V48" s="3070" t="s">
        <v>3230</v>
      </c>
      <c r="Y48" s="3070">
        <v>542443</v>
      </c>
      <c r="Z48" s="3070">
        <v>542443</v>
      </c>
      <c r="AA48" s="3070">
        <v>542443</v>
      </c>
      <c r="AB48" s="3070">
        <v>0</v>
      </c>
      <c r="AC48" s="3070">
        <v>600000</v>
      </c>
      <c r="AD48" s="3070">
        <v>600000</v>
      </c>
      <c r="AE48" s="3070">
        <v>0</v>
      </c>
      <c r="AI48" s="3070" t="s">
        <v>3227</v>
      </c>
      <c r="AJ48" s="3070">
        <v>0</v>
      </c>
      <c r="AK48" s="3070">
        <v>0</v>
      </c>
      <c r="AL48" s="3070">
        <v>0</v>
      </c>
      <c r="AM48" s="3070">
        <v>12275.09</v>
      </c>
      <c r="AN48" s="3070">
        <v>1142443</v>
      </c>
      <c r="AP48" s="3070">
        <v>1142443</v>
      </c>
      <c r="AQ48" s="3072">
        <v>45138</v>
      </c>
      <c r="AT48" s="3073">
        <v>45678</v>
      </c>
      <c r="AV48" s="3070" t="s">
        <v>3662</v>
      </c>
      <c r="AW48" s="3070" t="s">
        <v>3663</v>
      </c>
      <c r="AX48" s="3070" t="s">
        <v>3664</v>
      </c>
      <c r="AY48" s="3070" t="s">
        <v>3429</v>
      </c>
      <c r="BC48" s="3070" t="s">
        <v>3284</v>
      </c>
      <c r="BD48" s="3070" t="s">
        <v>3077</v>
      </c>
      <c r="BI48" s="3070" t="s">
        <v>3235</v>
      </c>
      <c r="BJ48" s="3070" t="s">
        <v>3236</v>
      </c>
      <c r="BL48" s="3070" t="s">
        <v>3665</v>
      </c>
      <c r="BM48" s="3075">
        <v>44200</v>
      </c>
      <c r="BN48" s="3070">
        <v>3</v>
      </c>
      <c r="BO48" s="3070" t="s">
        <v>3253</v>
      </c>
      <c r="BR48" s="3070">
        <v>586</v>
      </c>
      <c r="BS48" s="3070" t="s">
        <v>3238</v>
      </c>
      <c r="BT48" s="3070" t="s">
        <v>3086</v>
      </c>
      <c r="BZ48" s="3073">
        <v>44142.643750000003</v>
      </c>
      <c r="CA48" s="3070">
        <v>1</v>
      </c>
      <c r="CB48" s="3070" t="s">
        <v>3086</v>
      </c>
      <c r="CD48" s="3070" t="s">
        <v>3239</v>
      </c>
      <c r="CF48" s="3070" t="s">
        <v>3091</v>
      </c>
      <c r="CH48" s="3070" t="s">
        <v>3240</v>
      </c>
      <c r="CI48" s="3070">
        <v>0</v>
      </c>
      <c r="CK48" s="3070" t="s">
        <v>3429</v>
      </c>
      <c r="CL48" s="3070" t="s">
        <v>3429</v>
      </c>
      <c r="CM48" s="3070">
        <v>1048112.84</v>
      </c>
      <c r="CV48" s="3070" t="s">
        <v>3246</v>
      </c>
      <c r="CW48" s="3070" t="s">
        <v>3666</v>
      </c>
      <c r="CX48" s="3070" t="s">
        <v>3667</v>
      </c>
      <c r="CZ48" s="3070">
        <v>213894.57</v>
      </c>
      <c r="DA48" s="3070">
        <v>159426.93</v>
      </c>
      <c r="DB48" s="3070">
        <v>0</v>
      </c>
      <c r="DC48" s="3070">
        <v>0</v>
      </c>
      <c r="DD48" s="3070">
        <v>3290547602</v>
      </c>
      <c r="DE48" s="3070">
        <v>2764253109</v>
      </c>
      <c r="DF48" s="3070">
        <v>1464966739</v>
      </c>
      <c r="DG48" s="3070">
        <v>14938370</v>
      </c>
      <c r="DH48" s="3070">
        <v>1284348000</v>
      </c>
      <c r="DI48" s="3070">
        <v>1278128000</v>
      </c>
      <c r="DJ48" s="3070">
        <v>6220000</v>
      </c>
      <c r="DK48" s="3070">
        <v>0</v>
      </c>
      <c r="DL48" s="3070">
        <v>0</v>
      </c>
      <c r="DM48" s="3070">
        <v>25491817.620000001</v>
      </c>
      <c r="DN48" s="3070">
        <v>2764253109</v>
      </c>
      <c r="DP48" s="3070">
        <v>2764253109</v>
      </c>
    </row>
    <row r="49" spans="1:120">
      <c r="A49" s="3070">
        <v>48</v>
      </c>
      <c r="B49" s="3070" t="s">
        <v>3224</v>
      </c>
      <c r="C49" s="3070">
        <v>1</v>
      </c>
      <c r="E49" s="3070">
        <v>404</v>
      </c>
      <c r="F49" s="3070" t="s">
        <v>3668</v>
      </c>
      <c r="G49" s="3070" t="s">
        <v>3669</v>
      </c>
      <c r="H49" s="3070">
        <v>352443</v>
      </c>
      <c r="I49" s="3070">
        <v>1142443</v>
      </c>
      <c r="J49" s="3070">
        <v>93.07</v>
      </c>
      <c r="K49" s="3070">
        <v>66.5</v>
      </c>
      <c r="L49" s="3070">
        <v>0</v>
      </c>
      <c r="M49" s="3070">
        <v>0</v>
      </c>
      <c r="N49" s="3070">
        <v>15194.45</v>
      </c>
      <c r="O49" s="3070">
        <v>1414147</v>
      </c>
      <c r="P49" s="3070">
        <v>12275.09</v>
      </c>
      <c r="Q49" s="3070">
        <v>1142443</v>
      </c>
      <c r="R49" s="3070" t="s">
        <v>3227</v>
      </c>
      <c r="S49" s="3070" t="s">
        <v>3670</v>
      </c>
      <c r="T49" s="3070" t="s">
        <v>3302</v>
      </c>
      <c r="V49" s="3070" t="s">
        <v>3230</v>
      </c>
      <c r="Y49" s="3070">
        <v>114244</v>
      </c>
      <c r="Z49" s="3070">
        <v>114244</v>
      </c>
      <c r="AA49" s="3070">
        <v>352443</v>
      </c>
      <c r="AB49" s="3070">
        <v>790000</v>
      </c>
      <c r="AC49" s="3070">
        <v>0</v>
      </c>
      <c r="AD49" s="3070">
        <v>0</v>
      </c>
      <c r="AE49" s="3070">
        <v>0</v>
      </c>
      <c r="AI49" s="3070" t="s">
        <v>3227</v>
      </c>
      <c r="AJ49" s="3070">
        <v>0</v>
      </c>
      <c r="AK49" s="3070">
        <v>0</v>
      </c>
      <c r="AL49" s="3070">
        <v>0</v>
      </c>
      <c r="AM49" s="3070">
        <v>12275.09</v>
      </c>
      <c r="AN49" s="3070">
        <v>1142443</v>
      </c>
      <c r="AP49" s="3070">
        <v>1142443</v>
      </c>
      <c r="AQ49" s="3072">
        <v>45138</v>
      </c>
      <c r="AT49" s="3073">
        <v>45678</v>
      </c>
      <c r="AV49" s="3074">
        <v>3.21E+17</v>
      </c>
      <c r="AW49" s="3070" t="s">
        <v>3671</v>
      </c>
      <c r="AX49" s="3070" t="s">
        <v>3672</v>
      </c>
      <c r="AY49" s="3070" t="s">
        <v>3393</v>
      </c>
      <c r="BC49" s="3070" t="s">
        <v>3307</v>
      </c>
      <c r="BD49" s="3070" t="s">
        <v>3077</v>
      </c>
      <c r="BI49" s="3070" t="s">
        <v>3295</v>
      </c>
      <c r="BL49" s="3070" t="s">
        <v>3673</v>
      </c>
      <c r="BM49" s="3075">
        <v>44200</v>
      </c>
      <c r="BN49" s="3070">
        <v>4</v>
      </c>
      <c r="BR49" s="3070">
        <v>817</v>
      </c>
      <c r="BS49" s="3070" t="s">
        <v>3238</v>
      </c>
      <c r="BT49" s="3070" t="s">
        <v>3481</v>
      </c>
      <c r="BZ49" s="3073">
        <v>44153.82708333333</v>
      </c>
      <c r="CA49" s="3070">
        <v>1</v>
      </c>
      <c r="CB49" s="3070" t="s">
        <v>3481</v>
      </c>
      <c r="CD49" s="3070" t="s">
        <v>3239</v>
      </c>
      <c r="CF49" s="3070" t="s">
        <v>3091</v>
      </c>
      <c r="CH49" s="3070" t="s">
        <v>3240</v>
      </c>
      <c r="CI49" s="3070">
        <v>0</v>
      </c>
      <c r="CK49" s="3070" t="s">
        <v>3393</v>
      </c>
      <c r="CL49" s="3070" t="s">
        <v>3393</v>
      </c>
      <c r="CM49" s="3070">
        <v>1048112.84</v>
      </c>
      <c r="CV49" s="3070" t="s">
        <v>3309</v>
      </c>
      <c r="CW49" s="3070" t="s">
        <v>3674</v>
      </c>
      <c r="CZ49" s="3070">
        <v>213894.57</v>
      </c>
      <c r="DA49" s="3070">
        <v>159426.93</v>
      </c>
      <c r="DB49" s="3070">
        <v>0</v>
      </c>
      <c r="DC49" s="3070">
        <v>0</v>
      </c>
      <c r="DD49" s="3070">
        <v>3290547602</v>
      </c>
      <c r="DE49" s="3070">
        <v>2764253109</v>
      </c>
      <c r="DF49" s="3070">
        <v>1464966739</v>
      </c>
      <c r="DG49" s="3070">
        <v>14938370</v>
      </c>
      <c r="DH49" s="3070">
        <v>1284348000</v>
      </c>
      <c r="DI49" s="3070">
        <v>1278128000</v>
      </c>
      <c r="DJ49" s="3070">
        <v>6220000</v>
      </c>
      <c r="DK49" s="3070">
        <v>0</v>
      </c>
      <c r="DL49" s="3070">
        <v>0</v>
      </c>
      <c r="DM49" s="3070">
        <v>25491817.620000001</v>
      </c>
      <c r="DN49" s="3070">
        <v>2764253109</v>
      </c>
      <c r="DP49" s="3070">
        <v>2764253109</v>
      </c>
    </row>
    <row r="50" spans="1:120">
      <c r="A50" s="3070">
        <v>49</v>
      </c>
      <c r="B50" s="3070" t="s">
        <v>3224</v>
      </c>
      <c r="C50" s="3070">
        <v>1</v>
      </c>
      <c r="E50" s="3070">
        <v>501</v>
      </c>
      <c r="F50" s="3070" t="s">
        <v>3675</v>
      </c>
      <c r="G50" s="3070" t="s">
        <v>3676</v>
      </c>
      <c r="H50" s="3070">
        <v>1155714</v>
      </c>
      <c r="I50" s="3070">
        <v>1155714</v>
      </c>
      <c r="J50" s="3070">
        <v>93.07</v>
      </c>
      <c r="K50" s="3070">
        <v>66.5</v>
      </c>
      <c r="L50" s="3070">
        <v>0</v>
      </c>
      <c r="M50" s="3070">
        <v>0</v>
      </c>
      <c r="N50" s="3070">
        <v>15344.44</v>
      </c>
      <c r="O50" s="3070">
        <v>1428107</v>
      </c>
      <c r="P50" s="3070">
        <v>12417.69</v>
      </c>
      <c r="Q50" s="3070">
        <v>1155714</v>
      </c>
      <c r="R50" s="3070" t="s">
        <v>3227</v>
      </c>
      <c r="S50" s="3070" t="s">
        <v>3677</v>
      </c>
      <c r="T50" s="3070" t="s">
        <v>3258</v>
      </c>
      <c r="U50" s="3070" t="s">
        <v>3259</v>
      </c>
      <c r="V50" s="3070" t="s">
        <v>3230</v>
      </c>
      <c r="Y50" s="3070">
        <v>375714</v>
      </c>
      <c r="Z50" s="3070">
        <v>375714</v>
      </c>
      <c r="AA50" s="3070">
        <v>375714</v>
      </c>
      <c r="AB50" s="3070">
        <v>0</v>
      </c>
      <c r="AC50" s="3070">
        <v>780000</v>
      </c>
      <c r="AD50" s="3070">
        <v>780000</v>
      </c>
      <c r="AE50" s="3070">
        <v>0</v>
      </c>
      <c r="AI50" s="3070" t="s">
        <v>3227</v>
      </c>
      <c r="AJ50" s="3070">
        <v>0</v>
      </c>
      <c r="AK50" s="3070">
        <v>0</v>
      </c>
      <c r="AL50" s="3070">
        <v>0</v>
      </c>
      <c r="AM50" s="3070">
        <v>12417.69</v>
      </c>
      <c r="AN50" s="3070">
        <v>1155714</v>
      </c>
      <c r="AP50" s="3070">
        <v>1155714</v>
      </c>
      <c r="AQ50" s="3072">
        <v>45138</v>
      </c>
      <c r="AT50" s="3073">
        <v>45678</v>
      </c>
      <c r="AV50" s="3070" t="s">
        <v>3678</v>
      </c>
      <c r="AW50" s="3070" t="s">
        <v>3679</v>
      </c>
      <c r="AX50" s="3070" t="s">
        <v>3680</v>
      </c>
      <c r="AY50" s="3070" t="s">
        <v>3681</v>
      </c>
      <c r="BC50" s="3070" t="s">
        <v>3263</v>
      </c>
      <c r="BD50" s="3070" t="s">
        <v>3077</v>
      </c>
      <c r="BI50" s="3070" t="s">
        <v>3235</v>
      </c>
      <c r="BJ50" s="3070" t="s">
        <v>3682</v>
      </c>
      <c r="BL50" s="3070" t="s">
        <v>3683</v>
      </c>
      <c r="BM50" s="3075">
        <v>44201</v>
      </c>
      <c r="BN50" s="3070">
        <v>1</v>
      </c>
      <c r="BO50" s="3070" t="s">
        <v>3253</v>
      </c>
      <c r="BP50" s="3070" t="s">
        <v>3253</v>
      </c>
      <c r="BR50" s="3070">
        <v>139</v>
      </c>
      <c r="BS50" s="3070" t="s">
        <v>3238</v>
      </c>
      <c r="BT50" s="3070" t="s">
        <v>3086</v>
      </c>
      <c r="BZ50" s="3073">
        <v>44145.373611111114</v>
      </c>
      <c r="CA50" s="3070">
        <v>1</v>
      </c>
      <c r="CB50" s="3070" t="s">
        <v>3086</v>
      </c>
      <c r="CD50" s="3070" t="s">
        <v>3239</v>
      </c>
      <c r="CF50" s="3070" t="s">
        <v>3091</v>
      </c>
      <c r="CH50" s="3070" t="s">
        <v>3240</v>
      </c>
      <c r="CI50" s="3070">
        <v>0</v>
      </c>
      <c r="CJ50" s="3070" t="s">
        <v>3259</v>
      </c>
      <c r="CK50" s="3070" t="s">
        <v>3681</v>
      </c>
      <c r="CL50" s="3070" t="s">
        <v>3681</v>
      </c>
      <c r="CM50" s="3070">
        <v>1060288.07</v>
      </c>
      <c r="CV50" s="3070" t="s">
        <v>3258</v>
      </c>
      <c r="CW50" s="3070" t="s">
        <v>3684</v>
      </c>
      <c r="CX50" s="3070" t="s">
        <v>3510</v>
      </c>
      <c r="CZ50" s="3070">
        <v>213894.57</v>
      </c>
      <c r="DA50" s="3070">
        <v>159426.93</v>
      </c>
      <c r="DB50" s="3070">
        <v>0</v>
      </c>
      <c r="DC50" s="3070">
        <v>0</v>
      </c>
      <c r="DD50" s="3070">
        <v>3290547602</v>
      </c>
      <c r="DE50" s="3070">
        <v>2764253109</v>
      </c>
      <c r="DF50" s="3070">
        <v>1464966739</v>
      </c>
      <c r="DG50" s="3070">
        <v>14938370</v>
      </c>
      <c r="DH50" s="3070">
        <v>1284348000</v>
      </c>
      <c r="DI50" s="3070">
        <v>1278128000</v>
      </c>
      <c r="DJ50" s="3070">
        <v>6220000</v>
      </c>
      <c r="DK50" s="3070">
        <v>0</v>
      </c>
      <c r="DL50" s="3070">
        <v>0</v>
      </c>
      <c r="DM50" s="3070">
        <v>25491817.620000001</v>
      </c>
      <c r="DN50" s="3070">
        <v>2764253109</v>
      </c>
      <c r="DP50" s="3070">
        <v>2764253109</v>
      </c>
    </row>
    <row r="51" spans="1:120">
      <c r="A51" s="3070">
        <v>50</v>
      </c>
      <c r="B51" s="3070" t="s">
        <v>3224</v>
      </c>
      <c r="C51" s="3070">
        <v>1</v>
      </c>
      <c r="E51" s="3070">
        <v>502</v>
      </c>
      <c r="F51" s="3070" t="s">
        <v>3685</v>
      </c>
      <c r="G51" s="3070" t="s">
        <v>3686</v>
      </c>
      <c r="H51" s="3070">
        <v>1155714</v>
      </c>
      <c r="I51" s="3070">
        <v>1155714</v>
      </c>
      <c r="J51" s="3070">
        <v>93.07</v>
      </c>
      <c r="K51" s="3070">
        <v>66.5</v>
      </c>
      <c r="L51" s="3070">
        <v>0</v>
      </c>
      <c r="M51" s="3070">
        <v>0</v>
      </c>
      <c r="N51" s="3070">
        <v>15344.44</v>
      </c>
      <c r="O51" s="3070">
        <v>1428107</v>
      </c>
      <c r="P51" s="3070">
        <v>12417.69</v>
      </c>
      <c r="Q51" s="3070">
        <v>1155714</v>
      </c>
      <c r="R51" s="3070" t="s">
        <v>3227</v>
      </c>
      <c r="S51" s="3070" t="s">
        <v>3687</v>
      </c>
      <c r="T51" s="3070" t="s">
        <v>3258</v>
      </c>
      <c r="U51" s="3070" t="s">
        <v>3259</v>
      </c>
      <c r="V51" s="3070" t="s">
        <v>3230</v>
      </c>
      <c r="Y51" s="3070">
        <v>465714</v>
      </c>
      <c r="Z51" s="3070">
        <v>465714</v>
      </c>
      <c r="AA51" s="3070">
        <v>465714</v>
      </c>
      <c r="AB51" s="3070">
        <v>0</v>
      </c>
      <c r="AC51" s="3070">
        <v>690000</v>
      </c>
      <c r="AD51" s="3070">
        <v>690000</v>
      </c>
      <c r="AE51" s="3070">
        <v>0</v>
      </c>
      <c r="AI51" s="3070" t="s">
        <v>3227</v>
      </c>
      <c r="AJ51" s="3070">
        <v>0</v>
      </c>
      <c r="AK51" s="3070">
        <v>0</v>
      </c>
      <c r="AL51" s="3070">
        <v>0</v>
      </c>
      <c r="AM51" s="3070">
        <v>12417.69</v>
      </c>
      <c r="AN51" s="3070">
        <v>1155714</v>
      </c>
      <c r="AP51" s="3070">
        <v>1155714</v>
      </c>
      <c r="AQ51" s="3072">
        <v>45138</v>
      </c>
      <c r="AT51" s="3073">
        <v>45678</v>
      </c>
      <c r="AV51" s="3070" t="s">
        <v>3688</v>
      </c>
      <c r="AW51" s="3070" t="s">
        <v>3689</v>
      </c>
      <c r="AX51" s="3070" t="s">
        <v>3690</v>
      </c>
      <c r="AY51" s="3070" t="s">
        <v>3597</v>
      </c>
      <c r="BC51" s="3070" t="s">
        <v>3365</v>
      </c>
      <c r="BD51" s="3070" t="s">
        <v>3077</v>
      </c>
      <c r="BI51" s="3070" t="s">
        <v>3235</v>
      </c>
      <c r="BJ51" s="3070" t="s">
        <v>3338</v>
      </c>
      <c r="BL51" s="3070" t="s">
        <v>3691</v>
      </c>
      <c r="BM51" s="3075">
        <v>44201</v>
      </c>
      <c r="BN51" s="3070">
        <v>2</v>
      </c>
      <c r="BO51" s="3070" t="s">
        <v>3253</v>
      </c>
      <c r="BP51" s="3070" t="s">
        <v>3253</v>
      </c>
      <c r="BR51" s="3070">
        <v>249</v>
      </c>
      <c r="BS51" s="3070" t="s">
        <v>3238</v>
      </c>
      <c r="BT51" s="3070" t="s">
        <v>3086</v>
      </c>
      <c r="BZ51" s="3073">
        <v>44153.826388888891</v>
      </c>
      <c r="CA51" s="3070">
        <v>1</v>
      </c>
      <c r="CB51" s="3070" t="s">
        <v>3086</v>
      </c>
      <c r="CD51" s="3070" t="s">
        <v>3239</v>
      </c>
      <c r="CF51" s="3070" t="s">
        <v>3091</v>
      </c>
      <c r="CH51" s="3070" t="s">
        <v>3240</v>
      </c>
      <c r="CI51" s="3070">
        <v>0</v>
      </c>
      <c r="CJ51" s="3070" t="s">
        <v>3259</v>
      </c>
      <c r="CK51" s="3070" t="s">
        <v>3597</v>
      </c>
      <c r="CL51" s="3070" t="s">
        <v>3597</v>
      </c>
      <c r="CM51" s="3070">
        <v>1060288.07</v>
      </c>
      <c r="CV51" s="3070" t="s">
        <v>3258</v>
      </c>
      <c r="CW51" s="3070" t="s">
        <v>3692</v>
      </c>
      <c r="CZ51" s="3070">
        <v>213894.57</v>
      </c>
      <c r="DA51" s="3070">
        <v>159426.93</v>
      </c>
      <c r="DB51" s="3070">
        <v>0</v>
      </c>
      <c r="DC51" s="3070">
        <v>0</v>
      </c>
      <c r="DD51" s="3070">
        <v>3290547602</v>
      </c>
      <c r="DE51" s="3070">
        <v>2764253109</v>
      </c>
      <c r="DF51" s="3070">
        <v>1464966739</v>
      </c>
      <c r="DG51" s="3070">
        <v>14938370</v>
      </c>
      <c r="DH51" s="3070">
        <v>1284348000</v>
      </c>
      <c r="DI51" s="3070">
        <v>1278128000</v>
      </c>
      <c r="DJ51" s="3070">
        <v>6220000</v>
      </c>
      <c r="DK51" s="3070">
        <v>0</v>
      </c>
      <c r="DL51" s="3070">
        <v>0</v>
      </c>
      <c r="DM51" s="3070">
        <v>25491817.620000001</v>
      </c>
      <c r="DN51" s="3070">
        <v>2764253109</v>
      </c>
      <c r="DP51" s="3070">
        <v>2764253109</v>
      </c>
    </row>
    <row r="52" spans="1:120">
      <c r="A52" s="3070">
        <v>51</v>
      </c>
      <c r="B52" s="3070" t="s">
        <v>3224</v>
      </c>
      <c r="C52" s="3070">
        <v>1</v>
      </c>
      <c r="E52" s="3070">
        <v>503</v>
      </c>
      <c r="F52" s="3070" t="s">
        <v>3693</v>
      </c>
      <c r="G52" s="3070" t="s">
        <v>3694</v>
      </c>
      <c r="H52" s="3070">
        <v>1155714</v>
      </c>
      <c r="I52" s="3070">
        <v>1155714</v>
      </c>
      <c r="J52" s="3070">
        <v>93.07</v>
      </c>
      <c r="K52" s="3070">
        <v>66.5</v>
      </c>
      <c r="L52" s="3070">
        <v>0</v>
      </c>
      <c r="M52" s="3070">
        <v>0</v>
      </c>
      <c r="N52" s="3070">
        <v>15344.44</v>
      </c>
      <c r="O52" s="3070">
        <v>1428107</v>
      </c>
      <c r="P52" s="3070">
        <v>12417.69</v>
      </c>
      <c r="Q52" s="3070">
        <v>1155714</v>
      </c>
      <c r="R52" s="3070" t="s">
        <v>3227</v>
      </c>
      <c r="S52" s="3070" t="s">
        <v>3695</v>
      </c>
      <c r="T52" s="3070" t="s">
        <v>3246</v>
      </c>
      <c r="U52" s="3070" t="s">
        <v>3467</v>
      </c>
      <c r="V52" s="3070" t="s">
        <v>3230</v>
      </c>
      <c r="Y52" s="3070">
        <v>355714</v>
      </c>
      <c r="Z52" s="3070">
        <v>355714</v>
      </c>
      <c r="AA52" s="3070">
        <v>355714</v>
      </c>
      <c r="AB52" s="3070">
        <v>0</v>
      </c>
      <c r="AC52" s="3070">
        <v>800000</v>
      </c>
      <c r="AD52" s="3070">
        <v>800000</v>
      </c>
      <c r="AE52" s="3070">
        <v>0</v>
      </c>
      <c r="AI52" s="3070" t="s">
        <v>3227</v>
      </c>
      <c r="AJ52" s="3070">
        <v>0</v>
      </c>
      <c r="AK52" s="3070">
        <v>0</v>
      </c>
      <c r="AL52" s="3070">
        <v>0</v>
      </c>
      <c r="AM52" s="3070">
        <v>12417.69</v>
      </c>
      <c r="AN52" s="3070">
        <v>1155714</v>
      </c>
      <c r="AP52" s="3070">
        <v>1155714</v>
      </c>
      <c r="AQ52" s="3072">
        <v>45138</v>
      </c>
      <c r="AT52" s="3073">
        <v>45678</v>
      </c>
      <c r="AV52" s="3070" t="s">
        <v>3696</v>
      </c>
      <c r="AW52" s="3070" t="s">
        <v>3697</v>
      </c>
      <c r="AX52" s="3070" t="s">
        <v>3698</v>
      </c>
      <c r="AY52" s="3070" t="s">
        <v>3699</v>
      </c>
      <c r="BC52" s="3070" t="s">
        <v>3284</v>
      </c>
      <c r="BD52" s="3070" t="s">
        <v>3077</v>
      </c>
      <c r="BI52" s="3070" t="s">
        <v>3235</v>
      </c>
      <c r="BJ52" s="3070" t="s">
        <v>3236</v>
      </c>
      <c r="BL52" s="3070" t="s">
        <v>3700</v>
      </c>
      <c r="BM52" s="3075">
        <v>44201</v>
      </c>
      <c r="BN52" s="3070">
        <v>3</v>
      </c>
      <c r="BO52" s="3070" t="s">
        <v>3253</v>
      </c>
      <c r="BR52" s="3070">
        <v>417</v>
      </c>
      <c r="BS52" s="3070" t="s">
        <v>3238</v>
      </c>
      <c r="BT52" s="3070" t="s">
        <v>3086</v>
      </c>
      <c r="BZ52" s="3073">
        <v>44142.609722222223</v>
      </c>
      <c r="CA52" s="3070">
        <v>1</v>
      </c>
      <c r="CB52" s="3070" t="s">
        <v>3086</v>
      </c>
      <c r="CD52" s="3070" t="s">
        <v>3239</v>
      </c>
      <c r="CF52" s="3070" t="s">
        <v>3091</v>
      </c>
      <c r="CH52" s="3070" t="s">
        <v>3240</v>
      </c>
      <c r="CI52" s="3070">
        <v>0</v>
      </c>
      <c r="CK52" s="3070" t="s">
        <v>3699</v>
      </c>
      <c r="CL52" s="3070" t="s">
        <v>3699</v>
      </c>
      <c r="CM52" s="3070">
        <v>1060288.07</v>
      </c>
      <c r="CV52" s="3070" t="s">
        <v>3246</v>
      </c>
      <c r="CW52" s="3070" t="s">
        <v>3701</v>
      </c>
      <c r="CX52" s="3070" t="s">
        <v>3510</v>
      </c>
      <c r="CZ52" s="3070">
        <v>213894.57</v>
      </c>
      <c r="DA52" s="3070">
        <v>159426.93</v>
      </c>
      <c r="DB52" s="3070">
        <v>0</v>
      </c>
      <c r="DC52" s="3070">
        <v>0</v>
      </c>
      <c r="DD52" s="3070">
        <v>3290547602</v>
      </c>
      <c r="DE52" s="3070">
        <v>2764253109</v>
      </c>
      <c r="DF52" s="3070">
        <v>1464966739</v>
      </c>
      <c r="DG52" s="3070">
        <v>14938370</v>
      </c>
      <c r="DH52" s="3070">
        <v>1284348000</v>
      </c>
      <c r="DI52" s="3070">
        <v>1278128000</v>
      </c>
      <c r="DJ52" s="3070">
        <v>6220000</v>
      </c>
      <c r="DK52" s="3070">
        <v>0</v>
      </c>
      <c r="DL52" s="3070">
        <v>0</v>
      </c>
      <c r="DM52" s="3070">
        <v>25491817.620000001</v>
      </c>
      <c r="DN52" s="3070">
        <v>2764253109</v>
      </c>
      <c r="DP52" s="3070">
        <v>2764253109</v>
      </c>
    </row>
    <row r="53" spans="1:120">
      <c r="A53" s="3070">
        <v>52</v>
      </c>
      <c r="B53" s="3070" t="s">
        <v>3224</v>
      </c>
      <c r="C53" s="3070">
        <v>1</v>
      </c>
      <c r="E53" s="3070">
        <v>504</v>
      </c>
      <c r="F53" s="3070" t="s">
        <v>3702</v>
      </c>
      <c r="G53" s="3070" t="s">
        <v>3703</v>
      </c>
      <c r="H53" s="3070">
        <v>1155714</v>
      </c>
      <c r="I53" s="3070">
        <v>1155714</v>
      </c>
      <c r="J53" s="3070">
        <v>93.07</v>
      </c>
      <c r="K53" s="3070">
        <v>66.5</v>
      </c>
      <c r="L53" s="3070">
        <v>0</v>
      </c>
      <c r="M53" s="3070">
        <v>0</v>
      </c>
      <c r="N53" s="3070">
        <v>15344.44</v>
      </c>
      <c r="O53" s="3070">
        <v>1428107</v>
      </c>
      <c r="P53" s="3070">
        <v>12417.69</v>
      </c>
      <c r="Q53" s="3070">
        <v>1155714</v>
      </c>
      <c r="R53" s="3070" t="s">
        <v>3227</v>
      </c>
      <c r="S53" s="3070" t="s">
        <v>3704</v>
      </c>
      <c r="T53" s="3070" t="s">
        <v>3258</v>
      </c>
      <c r="U53" s="3070" t="s">
        <v>3259</v>
      </c>
      <c r="V53" s="3070" t="s">
        <v>3230</v>
      </c>
      <c r="Y53" s="3070">
        <v>355714</v>
      </c>
      <c r="Z53" s="3070">
        <v>355714</v>
      </c>
      <c r="AA53" s="3070">
        <v>355714</v>
      </c>
      <c r="AB53" s="3070">
        <v>0</v>
      </c>
      <c r="AC53" s="3070">
        <v>800000</v>
      </c>
      <c r="AD53" s="3070">
        <v>800000</v>
      </c>
      <c r="AE53" s="3070">
        <v>0</v>
      </c>
      <c r="AI53" s="3070" t="s">
        <v>3227</v>
      </c>
      <c r="AJ53" s="3070">
        <v>0</v>
      </c>
      <c r="AK53" s="3070">
        <v>0</v>
      </c>
      <c r="AL53" s="3070">
        <v>0</v>
      </c>
      <c r="AM53" s="3070">
        <v>12417.69</v>
      </c>
      <c r="AN53" s="3070">
        <v>1155714</v>
      </c>
      <c r="AP53" s="3070">
        <v>1155714</v>
      </c>
      <c r="AQ53" s="3072">
        <v>45138</v>
      </c>
      <c r="AT53" s="3073">
        <v>45678</v>
      </c>
      <c r="AV53" s="3074">
        <v>3.21E+17</v>
      </c>
      <c r="AW53" s="3070" t="s">
        <v>3705</v>
      </c>
      <c r="AX53" s="3070" t="s">
        <v>3706</v>
      </c>
      <c r="AY53" s="3070" t="s">
        <v>3607</v>
      </c>
      <c r="BC53" s="3070" t="s">
        <v>3263</v>
      </c>
      <c r="BD53" s="3070" t="s">
        <v>3077</v>
      </c>
      <c r="BI53" s="3070" t="s">
        <v>3235</v>
      </c>
      <c r="BJ53" s="3070" t="s">
        <v>3285</v>
      </c>
      <c r="BL53" s="3070" t="s">
        <v>3707</v>
      </c>
      <c r="BM53" s="3075">
        <v>44201</v>
      </c>
      <c r="BN53" s="3070">
        <v>4</v>
      </c>
      <c r="BO53" s="3070" t="s">
        <v>3253</v>
      </c>
      <c r="BP53" s="3070" t="s">
        <v>3253</v>
      </c>
      <c r="BR53" s="3070">
        <v>697</v>
      </c>
      <c r="BS53" s="3070" t="s">
        <v>3238</v>
      </c>
      <c r="BT53" s="3070" t="s">
        <v>3086</v>
      </c>
      <c r="BZ53" s="3073">
        <v>44142.643055555556</v>
      </c>
      <c r="CA53" s="3070">
        <v>1</v>
      </c>
      <c r="CB53" s="3070" t="s">
        <v>3086</v>
      </c>
      <c r="CD53" s="3070" t="s">
        <v>3239</v>
      </c>
      <c r="CF53" s="3070" t="s">
        <v>3091</v>
      </c>
      <c r="CH53" s="3070" t="s">
        <v>3240</v>
      </c>
      <c r="CI53" s="3070">
        <v>0</v>
      </c>
      <c r="CJ53" s="3070" t="s">
        <v>3259</v>
      </c>
      <c r="CK53" s="3070" t="s">
        <v>3607</v>
      </c>
      <c r="CL53" s="3070" t="s">
        <v>3607</v>
      </c>
      <c r="CM53" s="3070">
        <v>1060288.08</v>
      </c>
      <c r="CV53" s="3070" t="s">
        <v>3258</v>
      </c>
      <c r="CW53" s="3070" t="s">
        <v>3708</v>
      </c>
      <c r="CX53" s="3070" t="s">
        <v>3267</v>
      </c>
      <c r="CZ53" s="3070">
        <v>213894.57</v>
      </c>
      <c r="DA53" s="3070">
        <v>159426.93</v>
      </c>
      <c r="DB53" s="3070">
        <v>0</v>
      </c>
      <c r="DC53" s="3070">
        <v>0</v>
      </c>
      <c r="DD53" s="3070">
        <v>3290547602</v>
      </c>
      <c r="DE53" s="3070">
        <v>2764253109</v>
      </c>
      <c r="DF53" s="3070">
        <v>1464966739</v>
      </c>
      <c r="DG53" s="3070">
        <v>14938370</v>
      </c>
      <c r="DH53" s="3070">
        <v>1284348000</v>
      </c>
      <c r="DI53" s="3070">
        <v>1278128000</v>
      </c>
      <c r="DJ53" s="3070">
        <v>6220000</v>
      </c>
      <c r="DK53" s="3070">
        <v>0</v>
      </c>
      <c r="DL53" s="3070">
        <v>0</v>
      </c>
      <c r="DM53" s="3070">
        <v>25491817.620000001</v>
      </c>
      <c r="DN53" s="3070">
        <v>2764253109</v>
      </c>
      <c r="DP53" s="3070">
        <v>2764253109</v>
      </c>
    </row>
    <row r="54" spans="1:120">
      <c r="A54" s="3070">
        <v>53</v>
      </c>
      <c r="B54" s="3070" t="s">
        <v>3224</v>
      </c>
      <c r="C54" s="3070">
        <v>1</v>
      </c>
      <c r="E54" s="3070">
        <v>601</v>
      </c>
      <c r="F54" s="3070" t="s">
        <v>3709</v>
      </c>
      <c r="G54" s="3070" t="s">
        <v>3710</v>
      </c>
      <c r="H54" s="3070">
        <v>1160138</v>
      </c>
      <c r="I54" s="3070">
        <v>1160138</v>
      </c>
      <c r="J54" s="3070">
        <v>93.07</v>
      </c>
      <c r="K54" s="3070">
        <v>66.5</v>
      </c>
      <c r="L54" s="3070">
        <v>0</v>
      </c>
      <c r="M54" s="3070">
        <v>0</v>
      </c>
      <c r="N54" s="3070">
        <v>15394.45</v>
      </c>
      <c r="O54" s="3070">
        <v>1432761</v>
      </c>
      <c r="P54" s="3070">
        <v>12465.22</v>
      </c>
      <c r="Q54" s="3070">
        <v>1160138</v>
      </c>
      <c r="R54" s="3070" t="s">
        <v>3227</v>
      </c>
      <c r="S54" s="3070" t="s">
        <v>3711</v>
      </c>
      <c r="T54" s="3070" t="s">
        <v>3246</v>
      </c>
      <c r="U54" s="3070" t="s">
        <v>3371</v>
      </c>
      <c r="V54" s="3070" t="s">
        <v>3230</v>
      </c>
      <c r="Y54" s="3070">
        <v>350138</v>
      </c>
      <c r="Z54" s="3070">
        <v>350138</v>
      </c>
      <c r="AA54" s="3070">
        <v>350138</v>
      </c>
      <c r="AB54" s="3070">
        <v>0</v>
      </c>
      <c r="AC54" s="3070">
        <v>810000</v>
      </c>
      <c r="AD54" s="3070">
        <v>810000</v>
      </c>
      <c r="AE54" s="3070">
        <v>0</v>
      </c>
      <c r="AI54" s="3070" t="s">
        <v>3227</v>
      </c>
      <c r="AJ54" s="3070">
        <v>0</v>
      </c>
      <c r="AK54" s="3070">
        <v>0</v>
      </c>
      <c r="AL54" s="3070">
        <v>0</v>
      </c>
      <c r="AM54" s="3070">
        <v>12465.22</v>
      </c>
      <c r="AN54" s="3070">
        <v>1160138</v>
      </c>
      <c r="AP54" s="3070">
        <v>1160138</v>
      </c>
      <c r="AQ54" s="3072">
        <v>45138</v>
      </c>
      <c r="AT54" s="3073">
        <v>45678</v>
      </c>
      <c r="AV54" s="3074">
        <v>3.21E+17</v>
      </c>
      <c r="AW54" s="3070" t="s">
        <v>3712</v>
      </c>
      <c r="AX54" s="3070" t="s">
        <v>3713</v>
      </c>
      <c r="AY54" s="3070" t="s">
        <v>3632</v>
      </c>
      <c r="BC54" s="3070" t="s">
        <v>3284</v>
      </c>
      <c r="BD54" s="3070" t="s">
        <v>3077</v>
      </c>
      <c r="BI54" s="3070" t="s">
        <v>3235</v>
      </c>
      <c r="BJ54" s="3070" t="s">
        <v>3338</v>
      </c>
      <c r="BL54" s="3070" t="s">
        <v>3714</v>
      </c>
      <c r="BM54" s="3075">
        <v>44202</v>
      </c>
      <c r="BN54" s="3070">
        <v>1</v>
      </c>
      <c r="BO54" s="3070" t="s">
        <v>3253</v>
      </c>
      <c r="BR54" s="3070">
        <v>467</v>
      </c>
      <c r="BS54" s="3070" t="s">
        <v>3238</v>
      </c>
      <c r="BT54" s="3070" t="s">
        <v>3086</v>
      </c>
      <c r="BZ54" s="3073">
        <v>44142.598611111112</v>
      </c>
      <c r="CA54" s="3070">
        <v>1</v>
      </c>
      <c r="CB54" s="3070" t="s">
        <v>3086</v>
      </c>
      <c r="CD54" s="3070" t="s">
        <v>3239</v>
      </c>
      <c r="CF54" s="3070" t="s">
        <v>3091</v>
      </c>
      <c r="CH54" s="3070" t="s">
        <v>3240</v>
      </c>
      <c r="CI54" s="3070">
        <v>0</v>
      </c>
      <c r="CK54" s="3070" t="s">
        <v>3632</v>
      </c>
      <c r="CL54" s="3070" t="s">
        <v>3632</v>
      </c>
      <c r="CM54" s="3070">
        <v>1064346.79</v>
      </c>
      <c r="CV54" s="3070" t="s">
        <v>3246</v>
      </c>
      <c r="CW54" s="3070" t="s">
        <v>3715</v>
      </c>
      <c r="CX54" s="3070" t="s">
        <v>3267</v>
      </c>
      <c r="CZ54" s="3070">
        <v>213894.57</v>
      </c>
      <c r="DA54" s="3070">
        <v>159426.93</v>
      </c>
      <c r="DB54" s="3070">
        <v>0</v>
      </c>
      <c r="DC54" s="3070">
        <v>0</v>
      </c>
      <c r="DD54" s="3070">
        <v>3290547602</v>
      </c>
      <c r="DE54" s="3070">
        <v>2764253109</v>
      </c>
      <c r="DF54" s="3070">
        <v>1464966739</v>
      </c>
      <c r="DG54" s="3070">
        <v>14938370</v>
      </c>
      <c r="DH54" s="3070">
        <v>1284348000</v>
      </c>
      <c r="DI54" s="3070">
        <v>1278128000</v>
      </c>
      <c r="DJ54" s="3070">
        <v>6220000</v>
      </c>
      <c r="DK54" s="3070">
        <v>0</v>
      </c>
      <c r="DL54" s="3070">
        <v>0</v>
      </c>
      <c r="DM54" s="3070">
        <v>25491817.620000001</v>
      </c>
      <c r="DN54" s="3070">
        <v>2764253109</v>
      </c>
      <c r="DP54" s="3070">
        <v>2764253109</v>
      </c>
    </row>
    <row r="55" spans="1:120">
      <c r="A55" s="3070">
        <v>54</v>
      </c>
      <c r="B55" s="3070" t="s">
        <v>3224</v>
      </c>
      <c r="C55" s="3070">
        <v>1</v>
      </c>
      <c r="E55" s="3070">
        <v>602</v>
      </c>
      <c r="F55" s="3070" t="s">
        <v>3716</v>
      </c>
      <c r="G55" s="3070" t="s">
        <v>3717</v>
      </c>
      <c r="H55" s="3070">
        <v>1160138</v>
      </c>
      <c r="I55" s="3070">
        <v>1160138</v>
      </c>
      <c r="J55" s="3070">
        <v>93.07</v>
      </c>
      <c r="K55" s="3070">
        <v>66.5</v>
      </c>
      <c r="L55" s="3070">
        <v>0</v>
      </c>
      <c r="M55" s="3070">
        <v>0</v>
      </c>
      <c r="N55" s="3070">
        <v>15394.45</v>
      </c>
      <c r="O55" s="3070">
        <v>1432761</v>
      </c>
      <c r="P55" s="3070">
        <v>12465.22</v>
      </c>
      <c r="Q55" s="3070">
        <v>1160138</v>
      </c>
      <c r="R55" s="3070" t="s">
        <v>3227</v>
      </c>
      <c r="S55" s="3070" t="s">
        <v>3718</v>
      </c>
      <c r="T55" s="3070" t="s">
        <v>3246</v>
      </c>
      <c r="U55" s="3070" t="s">
        <v>3279</v>
      </c>
      <c r="V55" s="3070" t="s">
        <v>3230</v>
      </c>
      <c r="Y55" s="3070">
        <v>630138</v>
      </c>
      <c r="Z55" s="3070">
        <v>630138</v>
      </c>
      <c r="AA55" s="3070">
        <v>630138</v>
      </c>
      <c r="AB55" s="3070">
        <v>0</v>
      </c>
      <c r="AC55" s="3070">
        <v>530000</v>
      </c>
      <c r="AD55" s="3070">
        <v>530000</v>
      </c>
      <c r="AE55" s="3070">
        <v>0</v>
      </c>
      <c r="AI55" s="3070" t="s">
        <v>3227</v>
      </c>
      <c r="AJ55" s="3070">
        <v>0</v>
      </c>
      <c r="AK55" s="3070">
        <v>0</v>
      </c>
      <c r="AL55" s="3070">
        <v>0</v>
      </c>
      <c r="AM55" s="3070">
        <v>12465.22</v>
      </c>
      <c r="AN55" s="3070">
        <v>1160138</v>
      </c>
      <c r="AP55" s="3070">
        <v>1160138</v>
      </c>
      <c r="AQ55" s="3072">
        <v>45138</v>
      </c>
      <c r="AT55" s="3073">
        <v>45678</v>
      </c>
      <c r="AV55" s="3070" t="s">
        <v>3719</v>
      </c>
      <c r="AW55" s="3070" t="s">
        <v>3720</v>
      </c>
      <c r="AX55" s="3070" t="s">
        <v>3721</v>
      </c>
      <c r="AY55" s="3070" t="s">
        <v>3722</v>
      </c>
      <c r="BC55" s="3070" t="s">
        <v>3284</v>
      </c>
      <c r="BD55" s="3070" t="s">
        <v>3077</v>
      </c>
      <c r="BI55" s="3070" t="s">
        <v>3235</v>
      </c>
      <c r="BJ55" s="3070" t="s">
        <v>3338</v>
      </c>
      <c r="BL55" s="3070" t="s">
        <v>3723</v>
      </c>
      <c r="BM55" s="3075">
        <v>44202</v>
      </c>
      <c r="BN55" s="3070">
        <v>2</v>
      </c>
      <c r="BO55" s="3070" t="s">
        <v>3253</v>
      </c>
      <c r="BR55" s="3070">
        <v>642</v>
      </c>
      <c r="BS55" s="3070" t="s">
        <v>3238</v>
      </c>
      <c r="BT55" s="3070" t="s">
        <v>3086</v>
      </c>
      <c r="BZ55" s="3073">
        <v>44142.623611111114</v>
      </c>
      <c r="CA55" s="3070">
        <v>1</v>
      </c>
      <c r="CB55" s="3070" t="s">
        <v>3086</v>
      </c>
      <c r="CD55" s="3070" t="s">
        <v>3239</v>
      </c>
      <c r="CF55" s="3070" t="s">
        <v>3091</v>
      </c>
      <c r="CH55" s="3070" t="s">
        <v>3240</v>
      </c>
      <c r="CI55" s="3070">
        <v>0</v>
      </c>
      <c r="CK55" s="3070" t="s">
        <v>3722</v>
      </c>
      <c r="CL55" s="3070" t="s">
        <v>3722</v>
      </c>
      <c r="CM55" s="3070">
        <v>1064346.78</v>
      </c>
      <c r="CV55" s="3070" t="s">
        <v>3246</v>
      </c>
      <c r="CW55" s="3070" t="s">
        <v>3724</v>
      </c>
      <c r="CZ55" s="3070">
        <v>213894.57</v>
      </c>
      <c r="DA55" s="3070">
        <v>159426.93</v>
      </c>
      <c r="DB55" s="3070">
        <v>0</v>
      </c>
      <c r="DC55" s="3070">
        <v>0</v>
      </c>
      <c r="DD55" s="3070">
        <v>3290547602</v>
      </c>
      <c r="DE55" s="3070">
        <v>2764253109</v>
      </c>
      <c r="DF55" s="3070">
        <v>1464966739</v>
      </c>
      <c r="DG55" s="3070">
        <v>14938370</v>
      </c>
      <c r="DH55" s="3070">
        <v>1284348000</v>
      </c>
      <c r="DI55" s="3070">
        <v>1278128000</v>
      </c>
      <c r="DJ55" s="3070">
        <v>6220000</v>
      </c>
      <c r="DK55" s="3070">
        <v>0</v>
      </c>
      <c r="DL55" s="3070">
        <v>0</v>
      </c>
      <c r="DM55" s="3070">
        <v>25491817.620000001</v>
      </c>
      <c r="DN55" s="3070">
        <v>2764253109</v>
      </c>
      <c r="DP55" s="3070">
        <v>2764253109</v>
      </c>
    </row>
    <row r="56" spans="1:120">
      <c r="A56" s="3070">
        <v>55</v>
      </c>
      <c r="B56" s="3070" t="s">
        <v>3224</v>
      </c>
      <c r="C56" s="3070">
        <v>1</v>
      </c>
      <c r="E56" s="3070">
        <v>603</v>
      </c>
      <c r="F56" s="3070" t="s">
        <v>3725</v>
      </c>
      <c r="G56" s="3070" t="s">
        <v>3726</v>
      </c>
      <c r="H56" s="3070">
        <v>1160138</v>
      </c>
      <c r="I56" s="3070">
        <v>1160138</v>
      </c>
      <c r="J56" s="3070">
        <v>93.07</v>
      </c>
      <c r="K56" s="3070">
        <v>66.5</v>
      </c>
      <c r="L56" s="3070">
        <v>0</v>
      </c>
      <c r="M56" s="3070">
        <v>0</v>
      </c>
      <c r="N56" s="3070">
        <v>15394.45</v>
      </c>
      <c r="O56" s="3070">
        <v>1432761</v>
      </c>
      <c r="P56" s="3070">
        <v>12465.22</v>
      </c>
      <c r="Q56" s="3070">
        <v>1160138</v>
      </c>
      <c r="R56" s="3070" t="s">
        <v>3227</v>
      </c>
      <c r="S56" s="3070" t="s">
        <v>3727</v>
      </c>
      <c r="T56" s="3070" t="s">
        <v>3246</v>
      </c>
      <c r="U56" s="3070" t="s">
        <v>3247</v>
      </c>
      <c r="V56" s="3070" t="s">
        <v>3230</v>
      </c>
      <c r="Y56" s="3070">
        <v>350138</v>
      </c>
      <c r="Z56" s="3070">
        <v>350138</v>
      </c>
      <c r="AA56" s="3070">
        <v>350138</v>
      </c>
      <c r="AB56" s="3070">
        <v>0</v>
      </c>
      <c r="AC56" s="3070">
        <v>810000</v>
      </c>
      <c r="AD56" s="3070">
        <v>810000</v>
      </c>
      <c r="AE56" s="3070">
        <v>0</v>
      </c>
      <c r="AI56" s="3070" t="s">
        <v>3227</v>
      </c>
      <c r="AJ56" s="3070">
        <v>0</v>
      </c>
      <c r="AK56" s="3070">
        <v>0</v>
      </c>
      <c r="AL56" s="3070">
        <v>0</v>
      </c>
      <c r="AM56" s="3070">
        <v>12465.22</v>
      </c>
      <c r="AN56" s="3070">
        <v>1160138</v>
      </c>
      <c r="AP56" s="3070">
        <v>1160138</v>
      </c>
      <c r="AQ56" s="3072">
        <v>45138</v>
      </c>
      <c r="AT56" s="3073">
        <v>45678</v>
      </c>
      <c r="AV56" s="3074">
        <v>3.2E+17</v>
      </c>
      <c r="AW56" s="3070" t="s">
        <v>3728</v>
      </c>
      <c r="AX56" s="3070" t="s">
        <v>3729</v>
      </c>
      <c r="AY56" s="3070" t="s">
        <v>3419</v>
      </c>
      <c r="BC56" s="3070" t="s">
        <v>3284</v>
      </c>
      <c r="BD56" s="3070" t="s">
        <v>3077</v>
      </c>
      <c r="BI56" s="3070" t="s">
        <v>3235</v>
      </c>
      <c r="BJ56" s="3070" t="s">
        <v>3236</v>
      </c>
      <c r="BL56" s="3070" t="s">
        <v>3730</v>
      </c>
      <c r="BM56" s="3075">
        <v>44202</v>
      </c>
      <c r="BN56" s="3070">
        <v>3</v>
      </c>
      <c r="BO56" s="3070" t="s">
        <v>3253</v>
      </c>
      <c r="BR56" s="3070">
        <v>302</v>
      </c>
      <c r="BS56" s="3070" t="s">
        <v>3238</v>
      </c>
      <c r="BT56" s="3070" t="s">
        <v>3086</v>
      </c>
      <c r="BZ56" s="3073">
        <v>44142.618055555555</v>
      </c>
      <c r="CA56" s="3070">
        <v>1</v>
      </c>
      <c r="CB56" s="3070" t="s">
        <v>3086</v>
      </c>
      <c r="CD56" s="3070" t="s">
        <v>3239</v>
      </c>
      <c r="CF56" s="3070" t="s">
        <v>3091</v>
      </c>
      <c r="CH56" s="3070" t="s">
        <v>3240</v>
      </c>
      <c r="CI56" s="3070">
        <v>0</v>
      </c>
      <c r="CK56" s="3070" t="s">
        <v>3419</v>
      </c>
      <c r="CL56" s="3070" t="s">
        <v>3419</v>
      </c>
      <c r="CM56" s="3070">
        <v>1064346.79</v>
      </c>
      <c r="CV56" s="3070" t="s">
        <v>3246</v>
      </c>
      <c r="CW56" s="3070" t="s">
        <v>3731</v>
      </c>
      <c r="CX56" s="3070" t="s">
        <v>3242</v>
      </c>
      <c r="CZ56" s="3070">
        <v>213894.57</v>
      </c>
      <c r="DA56" s="3070">
        <v>159426.93</v>
      </c>
      <c r="DB56" s="3070">
        <v>0</v>
      </c>
      <c r="DC56" s="3070">
        <v>0</v>
      </c>
      <c r="DD56" s="3070">
        <v>3290547602</v>
      </c>
      <c r="DE56" s="3070">
        <v>2764253109</v>
      </c>
      <c r="DF56" s="3070">
        <v>1464966739</v>
      </c>
      <c r="DG56" s="3070">
        <v>14938370</v>
      </c>
      <c r="DH56" s="3070">
        <v>1284348000</v>
      </c>
      <c r="DI56" s="3070">
        <v>1278128000</v>
      </c>
      <c r="DJ56" s="3070">
        <v>6220000</v>
      </c>
      <c r="DK56" s="3070">
        <v>0</v>
      </c>
      <c r="DL56" s="3070">
        <v>0</v>
      </c>
      <c r="DM56" s="3070">
        <v>25491817.620000001</v>
      </c>
      <c r="DN56" s="3070">
        <v>2764253109</v>
      </c>
      <c r="DP56" s="3070">
        <v>2764253109</v>
      </c>
    </row>
    <row r="57" spans="1:120">
      <c r="A57" s="3070">
        <v>56</v>
      </c>
      <c r="B57" s="3070" t="s">
        <v>3224</v>
      </c>
      <c r="C57" s="3070">
        <v>1</v>
      </c>
      <c r="E57" s="3070">
        <v>604</v>
      </c>
      <c r="F57" s="3070" t="s">
        <v>3732</v>
      </c>
      <c r="G57" s="3070" t="s">
        <v>3733</v>
      </c>
      <c r="H57" s="3070">
        <v>1160138</v>
      </c>
      <c r="I57" s="3070">
        <v>1160138</v>
      </c>
      <c r="J57" s="3070">
        <v>93.07</v>
      </c>
      <c r="K57" s="3070">
        <v>66.5</v>
      </c>
      <c r="L57" s="3070">
        <v>0</v>
      </c>
      <c r="M57" s="3070">
        <v>0</v>
      </c>
      <c r="N57" s="3070">
        <v>15394.45</v>
      </c>
      <c r="O57" s="3070">
        <v>1432761</v>
      </c>
      <c r="P57" s="3070">
        <v>12465.22</v>
      </c>
      <c r="Q57" s="3070">
        <v>1160138</v>
      </c>
      <c r="R57" s="3070" t="s">
        <v>3227</v>
      </c>
      <c r="S57" s="3070" t="s">
        <v>3734</v>
      </c>
      <c r="T57" s="3070" t="s">
        <v>3246</v>
      </c>
      <c r="U57" s="3070" t="s">
        <v>3279</v>
      </c>
      <c r="V57" s="3070" t="s">
        <v>3230</v>
      </c>
      <c r="Y57" s="3070">
        <v>350138</v>
      </c>
      <c r="Z57" s="3070">
        <v>350138</v>
      </c>
      <c r="AA57" s="3070">
        <v>350138</v>
      </c>
      <c r="AB57" s="3070">
        <v>0</v>
      </c>
      <c r="AC57" s="3070">
        <v>810000</v>
      </c>
      <c r="AD57" s="3070">
        <v>810000</v>
      </c>
      <c r="AE57" s="3070">
        <v>0</v>
      </c>
      <c r="AI57" s="3070" t="s">
        <v>3227</v>
      </c>
      <c r="AJ57" s="3070">
        <v>0</v>
      </c>
      <c r="AK57" s="3070">
        <v>0</v>
      </c>
      <c r="AL57" s="3070">
        <v>0</v>
      </c>
      <c r="AM57" s="3070">
        <v>12465.22</v>
      </c>
      <c r="AN57" s="3070">
        <v>1160138</v>
      </c>
      <c r="AP57" s="3070">
        <v>1160138</v>
      </c>
      <c r="AQ57" s="3072">
        <v>45138</v>
      </c>
      <c r="AT57" s="3073">
        <v>45678</v>
      </c>
      <c r="AV57" s="3074">
        <v>3.21E+17</v>
      </c>
      <c r="AW57" s="3070" t="s">
        <v>3735</v>
      </c>
      <c r="AX57" s="3070" t="s">
        <v>3736</v>
      </c>
      <c r="AY57" s="3070" t="s">
        <v>3419</v>
      </c>
      <c r="BC57" s="3070" t="s">
        <v>3284</v>
      </c>
      <c r="BD57" s="3070" t="s">
        <v>3077</v>
      </c>
      <c r="BI57" s="3070" t="s">
        <v>3235</v>
      </c>
      <c r="BJ57" s="3070" t="s">
        <v>3338</v>
      </c>
      <c r="BL57" s="3070" t="s">
        <v>3737</v>
      </c>
      <c r="BM57" s="3075">
        <v>44202</v>
      </c>
      <c r="BN57" s="3070">
        <v>4</v>
      </c>
      <c r="BO57" s="3070" t="s">
        <v>3253</v>
      </c>
      <c r="BR57" s="3070">
        <v>905</v>
      </c>
      <c r="BS57" s="3070" t="s">
        <v>3238</v>
      </c>
      <c r="BT57" s="3070" t="s">
        <v>3086</v>
      </c>
      <c r="BZ57" s="3073">
        <v>44142.600694444445</v>
      </c>
      <c r="CA57" s="3070">
        <v>1</v>
      </c>
      <c r="CB57" s="3070" t="s">
        <v>3086</v>
      </c>
      <c r="CD57" s="3070" t="s">
        <v>3239</v>
      </c>
      <c r="CF57" s="3070" t="s">
        <v>3091</v>
      </c>
      <c r="CH57" s="3070" t="s">
        <v>3240</v>
      </c>
      <c r="CI57" s="3070">
        <v>0</v>
      </c>
      <c r="CK57" s="3070" t="s">
        <v>3419</v>
      </c>
      <c r="CL57" s="3070" t="s">
        <v>3419</v>
      </c>
      <c r="CM57" s="3070">
        <v>1064346.79</v>
      </c>
      <c r="CV57" s="3070" t="s">
        <v>3246</v>
      </c>
      <c r="CW57" s="3070" t="s">
        <v>3738</v>
      </c>
      <c r="CZ57" s="3070">
        <v>213894.57</v>
      </c>
      <c r="DA57" s="3070">
        <v>159426.93</v>
      </c>
      <c r="DB57" s="3070">
        <v>0</v>
      </c>
      <c r="DC57" s="3070">
        <v>0</v>
      </c>
      <c r="DD57" s="3070">
        <v>3290547602</v>
      </c>
      <c r="DE57" s="3070">
        <v>2764253109</v>
      </c>
      <c r="DF57" s="3070">
        <v>1464966739</v>
      </c>
      <c r="DG57" s="3070">
        <v>14938370</v>
      </c>
      <c r="DH57" s="3070">
        <v>1284348000</v>
      </c>
      <c r="DI57" s="3070">
        <v>1278128000</v>
      </c>
      <c r="DJ57" s="3070">
        <v>6220000</v>
      </c>
      <c r="DK57" s="3070">
        <v>0</v>
      </c>
      <c r="DL57" s="3070">
        <v>0</v>
      </c>
      <c r="DM57" s="3070">
        <v>25491817.620000001</v>
      </c>
      <c r="DN57" s="3070">
        <v>2764253109</v>
      </c>
      <c r="DP57" s="3070">
        <v>2764253109</v>
      </c>
    </row>
    <row r="58" spans="1:120">
      <c r="A58" s="3070">
        <v>57</v>
      </c>
      <c r="B58" s="3070" t="s">
        <v>3224</v>
      </c>
      <c r="C58" s="3070">
        <v>1</v>
      </c>
      <c r="E58" s="3070">
        <v>701</v>
      </c>
      <c r="F58" s="3070" t="s">
        <v>3739</v>
      </c>
      <c r="G58" s="3070" t="s">
        <v>3740</v>
      </c>
      <c r="H58" s="3070">
        <v>1164561</v>
      </c>
      <c r="I58" s="3070">
        <v>1164561</v>
      </c>
      <c r="J58" s="3070">
        <v>93.07</v>
      </c>
      <c r="K58" s="3070">
        <v>66.5</v>
      </c>
      <c r="L58" s="3070">
        <v>0</v>
      </c>
      <c r="M58" s="3070">
        <v>0</v>
      </c>
      <c r="N58" s="3070">
        <v>15444.44</v>
      </c>
      <c r="O58" s="3070">
        <v>1437414</v>
      </c>
      <c r="P58" s="3070">
        <v>12512.74</v>
      </c>
      <c r="Q58" s="3070">
        <v>1164561</v>
      </c>
      <c r="R58" s="3070" t="s">
        <v>3227</v>
      </c>
      <c r="S58" s="3070" t="s">
        <v>3741</v>
      </c>
      <c r="T58" s="3070" t="s">
        <v>3246</v>
      </c>
      <c r="U58" s="3070" t="s">
        <v>3247</v>
      </c>
      <c r="V58" s="3070" t="s">
        <v>3230</v>
      </c>
      <c r="Y58" s="3070">
        <v>924561</v>
      </c>
      <c r="Z58" s="3070">
        <v>924561</v>
      </c>
      <c r="AA58" s="3070">
        <v>924561</v>
      </c>
      <c r="AB58" s="3070">
        <v>0</v>
      </c>
      <c r="AC58" s="3070">
        <v>240000</v>
      </c>
      <c r="AD58" s="3070">
        <v>240000</v>
      </c>
      <c r="AE58" s="3070">
        <v>0</v>
      </c>
      <c r="AI58" s="3070" t="s">
        <v>3227</v>
      </c>
      <c r="AJ58" s="3070">
        <v>0</v>
      </c>
      <c r="AK58" s="3070">
        <v>0</v>
      </c>
      <c r="AL58" s="3070">
        <v>0</v>
      </c>
      <c r="AM58" s="3070">
        <v>12512.74</v>
      </c>
      <c r="AN58" s="3070">
        <v>1164561</v>
      </c>
      <c r="AP58" s="3070">
        <v>1164561</v>
      </c>
      <c r="AQ58" s="3072">
        <v>45138</v>
      </c>
      <c r="AT58" s="3073">
        <v>45678</v>
      </c>
      <c r="AV58" s="3074">
        <v>3.21E+17</v>
      </c>
      <c r="AW58" s="3070" t="s">
        <v>3742</v>
      </c>
      <c r="AX58" s="3070" t="s">
        <v>3743</v>
      </c>
      <c r="AY58" s="3070" t="s">
        <v>3306</v>
      </c>
      <c r="BC58" s="3070" t="s">
        <v>3284</v>
      </c>
      <c r="BD58" s="3070" t="s">
        <v>3077</v>
      </c>
      <c r="BI58" s="3070" t="s">
        <v>3295</v>
      </c>
      <c r="BL58" s="3070" t="s">
        <v>3744</v>
      </c>
      <c r="BM58" s="3075">
        <v>44203</v>
      </c>
      <c r="BN58" s="3070">
        <v>1</v>
      </c>
      <c r="BO58" s="3070" t="s">
        <v>3253</v>
      </c>
      <c r="BR58" s="3070">
        <v>587</v>
      </c>
      <c r="BS58" s="3070" t="s">
        <v>3238</v>
      </c>
      <c r="BT58" s="3070" t="s">
        <v>3086</v>
      </c>
      <c r="BZ58" s="3073">
        <v>44142.59097222222</v>
      </c>
      <c r="CA58" s="3070">
        <v>1</v>
      </c>
      <c r="CB58" s="3070" t="s">
        <v>3086</v>
      </c>
      <c r="CD58" s="3070" t="s">
        <v>3239</v>
      </c>
      <c r="CF58" s="3070" t="s">
        <v>3091</v>
      </c>
      <c r="CH58" s="3070" t="s">
        <v>3240</v>
      </c>
      <c r="CI58" s="3070">
        <v>0</v>
      </c>
      <c r="CK58" s="3070" t="s">
        <v>3306</v>
      </c>
      <c r="CL58" s="3070" t="s">
        <v>3306</v>
      </c>
      <c r="CM58" s="3070">
        <v>1068404.5900000001</v>
      </c>
      <c r="CV58" s="3070" t="s">
        <v>3246</v>
      </c>
      <c r="CW58" s="3070" t="s">
        <v>3745</v>
      </c>
      <c r="CZ58" s="3070">
        <v>213894.57</v>
      </c>
      <c r="DA58" s="3070">
        <v>159426.93</v>
      </c>
      <c r="DB58" s="3070">
        <v>0</v>
      </c>
      <c r="DC58" s="3070">
        <v>0</v>
      </c>
      <c r="DD58" s="3070">
        <v>3290547602</v>
      </c>
      <c r="DE58" s="3070">
        <v>2764253109</v>
      </c>
      <c r="DF58" s="3070">
        <v>1464966739</v>
      </c>
      <c r="DG58" s="3070">
        <v>14938370</v>
      </c>
      <c r="DH58" s="3070">
        <v>1284348000</v>
      </c>
      <c r="DI58" s="3070">
        <v>1278128000</v>
      </c>
      <c r="DJ58" s="3070">
        <v>6220000</v>
      </c>
      <c r="DK58" s="3070">
        <v>0</v>
      </c>
      <c r="DL58" s="3070">
        <v>0</v>
      </c>
      <c r="DM58" s="3070">
        <v>25491817.620000001</v>
      </c>
      <c r="DN58" s="3070">
        <v>2764253109</v>
      </c>
      <c r="DP58" s="3070">
        <v>2764253109</v>
      </c>
    </row>
    <row r="59" spans="1:120">
      <c r="A59" s="3070">
        <v>58</v>
      </c>
      <c r="B59" s="3070" t="s">
        <v>3224</v>
      </c>
      <c r="C59" s="3070">
        <v>1</v>
      </c>
      <c r="E59" s="3070">
        <v>702</v>
      </c>
      <c r="F59" s="3070" t="s">
        <v>3746</v>
      </c>
      <c r="G59" s="3070" t="s">
        <v>3747</v>
      </c>
      <c r="H59" s="3070">
        <v>1164561</v>
      </c>
      <c r="I59" s="3070">
        <v>1164561</v>
      </c>
      <c r="J59" s="3070">
        <v>93.07</v>
      </c>
      <c r="K59" s="3070">
        <v>66.5</v>
      </c>
      <c r="L59" s="3070">
        <v>0</v>
      </c>
      <c r="M59" s="3070">
        <v>0</v>
      </c>
      <c r="N59" s="3070">
        <v>15444.44</v>
      </c>
      <c r="O59" s="3070">
        <v>1437414</v>
      </c>
      <c r="P59" s="3070">
        <v>12512.74</v>
      </c>
      <c r="Q59" s="3070">
        <v>1164561</v>
      </c>
      <c r="R59" s="3070" t="s">
        <v>3227</v>
      </c>
      <c r="S59" s="3070" t="s">
        <v>3748</v>
      </c>
      <c r="T59" s="3070" t="s">
        <v>3246</v>
      </c>
      <c r="U59" s="3070" t="s">
        <v>3247</v>
      </c>
      <c r="V59" s="3070" t="s">
        <v>3230</v>
      </c>
      <c r="Y59" s="3070">
        <v>354561</v>
      </c>
      <c r="Z59" s="3070">
        <v>354561</v>
      </c>
      <c r="AA59" s="3070">
        <v>354561</v>
      </c>
      <c r="AB59" s="3070">
        <v>0</v>
      </c>
      <c r="AC59" s="3070">
        <v>810000</v>
      </c>
      <c r="AD59" s="3070">
        <v>810000</v>
      </c>
      <c r="AE59" s="3070">
        <v>0</v>
      </c>
      <c r="AI59" s="3070" t="s">
        <v>3227</v>
      </c>
      <c r="AJ59" s="3070">
        <v>0</v>
      </c>
      <c r="AK59" s="3070">
        <v>0</v>
      </c>
      <c r="AL59" s="3070">
        <v>0</v>
      </c>
      <c r="AM59" s="3070">
        <v>12512.74</v>
      </c>
      <c r="AN59" s="3070">
        <v>1164561</v>
      </c>
      <c r="AP59" s="3070">
        <v>1164561</v>
      </c>
      <c r="AQ59" s="3072">
        <v>45138</v>
      </c>
      <c r="AT59" s="3073">
        <v>45678</v>
      </c>
      <c r="AV59" s="3070" t="s">
        <v>3749</v>
      </c>
      <c r="AW59" s="3070" t="s">
        <v>3750</v>
      </c>
      <c r="AX59" s="3070" t="s">
        <v>3751</v>
      </c>
      <c r="AY59" s="3070" t="s">
        <v>3393</v>
      </c>
      <c r="BC59" s="3070" t="s">
        <v>3284</v>
      </c>
      <c r="BD59" s="3070" t="s">
        <v>3077</v>
      </c>
      <c r="BI59" s="3070" t="s">
        <v>3235</v>
      </c>
      <c r="BJ59" s="3070" t="s">
        <v>3285</v>
      </c>
      <c r="BL59" s="3070" t="s">
        <v>3752</v>
      </c>
      <c r="BM59" s="3075">
        <v>44203</v>
      </c>
      <c r="BN59" s="3070">
        <v>2</v>
      </c>
      <c r="BO59" s="3070" t="s">
        <v>3253</v>
      </c>
      <c r="BR59" s="3070">
        <v>673</v>
      </c>
      <c r="BS59" s="3070" t="s">
        <v>3238</v>
      </c>
      <c r="BT59" s="3070" t="s">
        <v>3086</v>
      </c>
      <c r="BZ59" s="3073">
        <v>44153.822222222225</v>
      </c>
      <c r="CA59" s="3070">
        <v>1</v>
      </c>
      <c r="CB59" s="3070" t="s">
        <v>3086</v>
      </c>
      <c r="CD59" s="3070" t="s">
        <v>3239</v>
      </c>
      <c r="CF59" s="3070" t="s">
        <v>3091</v>
      </c>
      <c r="CH59" s="3070" t="s">
        <v>3240</v>
      </c>
      <c r="CI59" s="3070">
        <v>0</v>
      </c>
      <c r="CK59" s="3070" t="s">
        <v>3393</v>
      </c>
      <c r="CL59" s="3070" t="s">
        <v>3393</v>
      </c>
      <c r="CM59" s="3070">
        <v>1068404.5900000001</v>
      </c>
      <c r="CV59" s="3070" t="s">
        <v>3246</v>
      </c>
      <c r="CW59" s="3070" t="s">
        <v>3753</v>
      </c>
      <c r="CX59" s="3070" t="s">
        <v>3510</v>
      </c>
      <c r="CZ59" s="3070">
        <v>213894.57</v>
      </c>
      <c r="DA59" s="3070">
        <v>159426.93</v>
      </c>
      <c r="DB59" s="3070">
        <v>0</v>
      </c>
      <c r="DC59" s="3070">
        <v>0</v>
      </c>
      <c r="DD59" s="3070">
        <v>3290547602</v>
      </c>
      <c r="DE59" s="3070">
        <v>2764253109</v>
      </c>
      <c r="DF59" s="3070">
        <v>1464966739</v>
      </c>
      <c r="DG59" s="3070">
        <v>14938370</v>
      </c>
      <c r="DH59" s="3070">
        <v>1284348000</v>
      </c>
      <c r="DI59" s="3070">
        <v>1278128000</v>
      </c>
      <c r="DJ59" s="3070">
        <v>6220000</v>
      </c>
      <c r="DK59" s="3070">
        <v>0</v>
      </c>
      <c r="DL59" s="3070">
        <v>0</v>
      </c>
      <c r="DM59" s="3070">
        <v>25491817.620000001</v>
      </c>
      <c r="DN59" s="3070">
        <v>2764253109</v>
      </c>
      <c r="DP59" s="3070">
        <v>2764253109</v>
      </c>
    </row>
    <row r="60" spans="1:120">
      <c r="A60" s="3070">
        <v>59</v>
      </c>
      <c r="B60" s="3070" t="s">
        <v>3224</v>
      </c>
      <c r="C60" s="3070">
        <v>1</v>
      </c>
      <c r="E60" s="3070">
        <v>703</v>
      </c>
      <c r="F60" s="3070" t="s">
        <v>3754</v>
      </c>
      <c r="G60" s="3070" t="s">
        <v>3755</v>
      </c>
      <c r="H60" s="3070">
        <v>1164561</v>
      </c>
      <c r="I60" s="3070">
        <v>1164561</v>
      </c>
      <c r="J60" s="3070">
        <v>93.07</v>
      </c>
      <c r="K60" s="3070">
        <v>66.5</v>
      </c>
      <c r="L60" s="3070">
        <v>0</v>
      </c>
      <c r="M60" s="3070">
        <v>0</v>
      </c>
      <c r="N60" s="3070">
        <v>15444.44</v>
      </c>
      <c r="O60" s="3070">
        <v>1437414</v>
      </c>
      <c r="P60" s="3070">
        <v>12512.74</v>
      </c>
      <c r="Q60" s="3070">
        <v>1164561</v>
      </c>
      <c r="R60" s="3070" t="s">
        <v>3227</v>
      </c>
      <c r="S60" s="3070" t="s">
        <v>3756</v>
      </c>
      <c r="T60" s="3070" t="s">
        <v>3246</v>
      </c>
      <c r="U60" s="3070" t="s">
        <v>3381</v>
      </c>
      <c r="V60" s="3070" t="s">
        <v>3230</v>
      </c>
      <c r="Y60" s="3070">
        <v>364561</v>
      </c>
      <c r="Z60" s="3070">
        <v>344561</v>
      </c>
      <c r="AA60" s="3070">
        <v>364561</v>
      </c>
      <c r="AB60" s="3070">
        <v>0</v>
      </c>
      <c r="AC60" s="3070">
        <v>800000</v>
      </c>
      <c r="AD60" s="3070">
        <v>800000</v>
      </c>
      <c r="AE60" s="3070">
        <v>0</v>
      </c>
      <c r="AI60" s="3070" t="s">
        <v>3227</v>
      </c>
      <c r="AJ60" s="3070">
        <v>0</v>
      </c>
      <c r="AK60" s="3070">
        <v>0</v>
      </c>
      <c r="AL60" s="3070">
        <v>0</v>
      </c>
      <c r="AM60" s="3070">
        <v>12512.74</v>
      </c>
      <c r="AN60" s="3070">
        <v>1164561</v>
      </c>
      <c r="AP60" s="3070">
        <v>1164561</v>
      </c>
      <c r="AQ60" s="3072">
        <v>45138</v>
      </c>
      <c r="AT60" s="3073">
        <v>45678</v>
      </c>
      <c r="AV60" s="3070" t="s">
        <v>3757</v>
      </c>
      <c r="AW60" s="3070" t="s">
        <v>3758</v>
      </c>
      <c r="AX60" s="3070" t="s">
        <v>3759</v>
      </c>
      <c r="AY60" s="3070" t="s">
        <v>3760</v>
      </c>
      <c r="BC60" s="3070" t="s">
        <v>3251</v>
      </c>
      <c r="BD60" s="3070" t="s">
        <v>3077</v>
      </c>
      <c r="BI60" s="3070" t="s">
        <v>3235</v>
      </c>
      <c r="BL60" s="3070" t="s">
        <v>3761</v>
      </c>
      <c r="BM60" s="3075">
        <v>44203</v>
      </c>
      <c r="BN60" s="3070">
        <v>3</v>
      </c>
      <c r="BO60" s="3070" t="s">
        <v>3253</v>
      </c>
      <c r="BR60" s="3070">
        <v>743</v>
      </c>
      <c r="BS60" s="3070" t="s">
        <v>3238</v>
      </c>
      <c r="BT60" s="3070" t="s">
        <v>3086</v>
      </c>
      <c r="BZ60" s="3073">
        <v>44142.624305555553</v>
      </c>
      <c r="CA60" s="3070">
        <v>1</v>
      </c>
      <c r="CB60" s="3070" t="s">
        <v>3086</v>
      </c>
      <c r="CD60" s="3070" t="s">
        <v>3239</v>
      </c>
      <c r="CF60" s="3070" t="s">
        <v>3091</v>
      </c>
      <c r="CH60" s="3070" t="s">
        <v>3240</v>
      </c>
      <c r="CI60" s="3070">
        <v>0</v>
      </c>
      <c r="CK60" s="3070" t="s">
        <v>3760</v>
      </c>
      <c r="CL60" s="3070" t="s">
        <v>3760</v>
      </c>
      <c r="CM60" s="3070">
        <v>1068404.58</v>
      </c>
      <c r="CV60" s="3070" t="s">
        <v>3246</v>
      </c>
      <c r="CW60" s="3070" t="s">
        <v>3762</v>
      </c>
      <c r="CZ60" s="3070">
        <v>213894.57</v>
      </c>
      <c r="DA60" s="3070">
        <v>159426.93</v>
      </c>
      <c r="DB60" s="3070">
        <v>0</v>
      </c>
      <c r="DC60" s="3070">
        <v>0</v>
      </c>
      <c r="DD60" s="3070">
        <v>3290547602</v>
      </c>
      <c r="DE60" s="3070">
        <v>2764253109</v>
      </c>
      <c r="DF60" s="3070">
        <v>1464966739</v>
      </c>
      <c r="DG60" s="3070">
        <v>14938370</v>
      </c>
      <c r="DH60" s="3070">
        <v>1284348000</v>
      </c>
      <c r="DI60" s="3070">
        <v>1278128000</v>
      </c>
      <c r="DJ60" s="3070">
        <v>6220000</v>
      </c>
      <c r="DK60" s="3070">
        <v>0</v>
      </c>
      <c r="DL60" s="3070">
        <v>0</v>
      </c>
      <c r="DM60" s="3070">
        <v>25491817.620000001</v>
      </c>
      <c r="DN60" s="3070">
        <v>2764253109</v>
      </c>
      <c r="DP60" s="3070">
        <v>2764253109</v>
      </c>
    </row>
    <row r="61" spans="1:120">
      <c r="A61" s="3070">
        <v>60</v>
      </c>
      <c r="B61" s="3070" t="s">
        <v>3224</v>
      </c>
      <c r="C61" s="3070">
        <v>1</v>
      </c>
      <c r="E61" s="3070">
        <v>704</v>
      </c>
      <c r="F61" s="3070" t="s">
        <v>3763</v>
      </c>
      <c r="G61" s="3070" t="s">
        <v>3764</v>
      </c>
      <c r="H61" s="3070">
        <v>1164561</v>
      </c>
      <c r="I61" s="3070">
        <v>1164561</v>
      </c>
      <c r="J61" s="3070">
        <v>93.07</v>
      </c>
      <c r="K61" s="3070">
        <v>66.5</v>
      </c>
      <c r="L61" s="3070">
        <v>0</v>
      </c>
      <c r="M61" s="3070">
        <v>0</v>
      </c>
      <c r="N61" s="3070">
        <v>15444.44</v>
      </c>
      <c r="O61" s="3070">
        <v>1437414</v>
      </c>
      <c r="P61" s="3070">
        <v>12512.74</v>
      </c>
      <c r="Q61" s="3070">
        <v>1164561</v>
      </c>
      <c r="R61" s="3070" t="s">
        <v>3227</v>
      </c>
      <c r="S61" s="3070" t="s">
        <v>3765</v>
      </c>
      <c r="T61" s="3070" t="s">
        <v>3258</v>
      </c>
      <c r="U61" s="3070" t="s">
        <v>3259</v>
      </c>
      <c r="V61" s="3070" t="s">
        <v>3230</v>
      </c>
      <c r="Y61" s="3070">
        <v>364561</v>
      </c>
      <c r="Z61" s="3070">
        <v>364561</v>
      </c>
      <c r="AA61" s="3070">
        <v>364561</v>
      </c>
      <c r="AB61" s="3070">
        <v>0</v>
      </c>
      <c r="AC61" s="3070">
        <v>800000</v>
      </c>
      <c r="AD61" s="3070">
        <v>800000</v>
      </c>
      <c r="AE61" s="3070">
        <v>0</v>
      </c>
      <c r="AI61" s="3070" t="s">
        <v>3227</v>
      </c>
      <c r="AJ61" s="3070">
        <v>0</v>
      </c>
      <c r="AK61" s="3070">
        <v>0</v>
      </c>
      <c r="AL61" s="3070">
        <v>0</v>
      </c>
      <c r="AM61" s="3070">
        <v>12512.74</v>
      </c>
      <c r="AN61" s="3070">
        <v>1164561</v>
      </c>
      <c r="AP61" s="3070">
        <v>1164561</v>
      </c>
      <c r="AQ61" s="3072">
        <v>45138</v>
      </c>
      <c r="AT61" s="3073">
        <v>45678</v>
      </c>
      <c r="AV61" s="3074">
        <v>3.21E+17</v>
      </c>
      <c r="AW61" s="3070" t="s">
        <v>3766</v>
      </c>
      <c r="AX61" s="3070" t="s">
        <v>3767</v>
      </c>
      <c r="AY61" s="3070" t="s">
        <v>3632</v>
      </c>
      <c r="BC61" s="3070" t="s">
        <v>3263</v>
      </c>
      <c r="BD61" s="3070" t="s">
        <v>3077</v>
      </c>
      <c r="BI61" s="3070" t="s">
        <v>3295</v>
      </c>
      <c r="BL61" s="3070" t="s">
        <v>3768</v>
      </c>
      <c r="BM61" s="3075">
        <v>44203</v>
      </c>
      <c r="BN61" s="3070">
        <v>4</v>
      </c>
      <c r="BO61" s="3070" t="s">
        <v>3253</v>
      </c>
      <c r="BP61" s="3070" t="s">
        <v>3253</v>
      </c>
      <c r="BR61" s="3070">
        <v>672</v>
      </c>
      <c r="BS61" s="3070" t="s">
        <v>3238</v>
      </c>
      <c r="BT61" s="3070" t="s">
        <v>3086</v>
      </c>
      <c r="BZ61" s="3073">
        <v>44142.601388888892</v>
      </c>
      <c r="CA61" s="3070">
        <v>1</v>
      </c>
      <c r="CB61" s="3070" t="s">
        <v>3086</v>
      </c>
      <c r="CD61" s="3070" t="s">
        <v>3239</v>
      </c>
      <c r="CF61" s="3070" t="s">
        <v>3091</v>
      </c>
      <c r="CH61" s="3070" t="s">
        <v>3240</v>
      </c>
      <c r="CI61" s="3070">
        <v>0</v>
      </c>
      <c r="CJ61" s="3070" t="s">
        <v>3259</v>
      </c>
      <c r="CK61" s="3070" t="s">
        <v>3632</v>
      </c>
      <c r="CL61" s="3070" t="s">
        <v>3632</v>
      </c>
      <c r="CM61" s="3070">
        <v>1068404.5900000001</v>
      </c>
      <c r="CV61" s="3070" t="s">
        <v>3258</v>
      </c>
      <c r="CW61" s="3070" t="s">
        <v>3769</v>
      </c>
      <c r="CZ61" s="3070">
        <v>213894.57</v>
      </c>
      <c r="DA61" s="3070">
        <v>159426.93</v>
      </c>
      <c r="DB61" s="3070">
        <v>0</v>
      </c>
      <c r="DC61" s="3070">
        <v>0</v>
      </c>
      <c r="DD61" s="3070">
        <v>3290547602</v>
      </c>
      <c r="DE61" s="3070">
        <v>2764253109</v>
      </c>
      <c r="DF61" s="3070">
        <v>1464966739</v>
      </c>
      <c r="DG61" s="3070">
        <v>14938370</v>
      </c>
      <c r="DH61" s="3070">
        <v>1284348000</v>
      </c>
      <c r="DI61" s="3070">
        <v>1278128000</v>
      </c>
      <c r="DJ61" s="3070">
        <v>6220000</v>
      </c>
      <c r="DK61" s="3070">
        <v>0</v>
      </c>
      <c r="DL61" s="3070">
        <v>0</v>
      </c>
      <c r="DM61" s="3070">
        <v>25491817.620000001</v>
      </c>
      <c r="DN61" s="3070">
        <v>2764253109</v>
      </c>
      <c r="DP61" s="3070">
        <v>2764253109</v>
      </c>
    </row>
    <row r="62" spans="1:120">
      <c r="A62" s="3070">
        <v>61</v>
      </c>
      <c r="B62" s="3070" t="s">
        <v>3224</v>
      </c>
      <c r="C62" s="3070">
        <v>1</v>
      </c>
      <c r="E62" s="3070">
        <v>801</v>
      </c>
      <c r="F62" s="3070" t="s">
        <v>3770</v>
      </c>
      <c r="G62" s="3070" t="s">
        <v>3771</v>
      </c>
      <c r="H62" s="3070">
        <v>1168985</v>
      </c>
      <c r="I62" s="3070">
        <v>1168985</v>
      </c>
      <c r="J62" s="3070">
        <v>93.07</v>
      </c>
      <c r="K62" s="3070">
        <v>66.5</v>
      </c>
      <c r="L62" s="3070">
        <v>0</v>
      </c>
      <c r="M62" s="3070">
        <v>0</v>
      </c>
      <c r="N62" s="3070">
        <v>15494.45</v>
      </c>
      <c r="O62" s="3070">
        <v>1442068</v>
      </c>
      <c r="P62" s="3070">
        <v>12560.28</v>
      </c>
      <c r="Q62" s="3070">
        <v>1168985</v>
      </c>
      <c r="R62" s="3070" t="s">
        <v>3227</v>
      </c>
      <c r="S62" s="3070" t="s">
        <v>3772</v>
      </c>
      <c r="T62" s="3070" t="s">
        <v>3246</v>
      </c>
      <c r="U62" s="3070" t="s">
        <v>3279</v>
      </c>
      <c r="V62" s="3070" t="s">
        <v>3230</v>
      </c>
      <c r="Y62" s="3070">
        <v>558985</v>
      </c>
      <c r="Z62" s="3070">
        <v>558985</v>
      </c>
      <c r="AA62" s="3070">
        <v>558985</v>
      </c>
      <c r="AB62" s="3070">
        <v>0</v>
      </c>
      <c r="AC62" s="3070">
        <v>610000</v>
      </c>
      <c r="AD62" s="3070">
        <v>610000</v>
      </c>
      <c r="AE62" s="3070">
        <v>0</v>
      </c>
      <c r="AI62" s="3070" t="s">
        <v>3227</v>
      </c>
      <c r="AJ62" s="3070">
        <v>0</v>
      </c>
      <c r="AK62" s="3070">
        <v>0</v>
      </c>
      <c r="AL62" s="3070">
        <v>0</v>
      </c>
      <c r="AM62" s="3070">
        <v>12560.28</v>
      </c>
      <c r="AN62" s="3070">
        <v>1168985</v>
      </c>
      <c r="AP62" s="3070">
        <v>1168985</v>
      </c>
      <c r="AQ62" s="3072">
        <v>45138</v>
      </c>
      <c r="AT62" s="3073">
        <v>45678</v>
      </c>
      <c r="AV62" s="3070" t="s">
        <v>3773</v>
      </c>
      <c r="AW62" s="3070" t="s">
        <v>3774</v>
      </c>
      <c r="AX62" s="3070" t="s">
        <v>3775</v>
      </c>
      <c r="AY62" s="3070" t="s">
        <v>3429</v>
      </c>
      <c r="BC62" s="3070" t="s">
        <v>3284</v>
      </c>
      <c r="BD62" s="3070" t="s">
        <v>3077</v>
      </c>
      <c r="BI62" s="3070" t="s">
        <v>3235</v>
      </c>
      <c r="BJ62" s="3070" t="s">
        <v>3296</v>
      </c>
      <c r="BL62" s="3070" t="s">
        <v>3776</v>
      </c>
      <c r="BM62" s="3075">
        <v>44204</v>
      </c>
      <c r="BN62" s="3070">
        <v>1</v>
      </c>
      <c r="BO62" s="3070" t="s">
        <v>3253</v>
      </c>
      <c r="BR62" s="3070">
        <v>1</v>
      </c>
      <c r="BS62" s="3070" t="s">
        <v>3238</v>
      </c>
      <c r="BT62" s="3070" t="s">
        <v>3086</v>
      </c>
      <c r="BZ62" s="3073">
        <v>44142.598611111112</v>
      </c>
      <c r="CA62" s="3070">
        <v>1</v>
      </c>
      <c r="CB62" s="3070" t="s">
        <v>3086</v>
      </c>
      <c r="CD62" s="3070" t="s">
        <v>3239</v>
      </c>
      <c r="CF62" s="3070" t="s">
        <v>3091</v>
      </c>
      <c r="CH62" s="3070" t="s">
        <v>3240</v>
      </c>
      <c r="CI62" s="3070">
        <v>0</v>
      </c>
      <c r="CK62" s="3070" t="s">
        <v>3429</v>
      </c>
      <c r="CL62" s="3070" t="s">
        <v>3429</v>
      </c>
      <c r="CM62" s="3070">
        <v>1072463.3</v>
      </c>
      <c r="CV62" s="3070" t="s">
        <v>3246</v>
      </c>
      <c r="CW62" s="3070" t="s">
        <v>3777</v>
      </c>
      <c r="CZ62" s="3070">
        <v>213894.57</v>
      </c>
      <c r="DA62" s="3070">
        <v>159426.93</v>
      </c>
      <c r="DB62" s="3070">
        <v>0</v>
      </c>
      <c r="DC62" s="3070">
        <v>0</v>
      </c>
      <c r="DD62" s="3070">
        <v>3290547602</v>
      </c>
      <c r="DE62" s="3070">
        <v>2764253109</v>
      </c>
      <c r="DF62" s="3070">
        <v>1464966739</v>
      </c>
      <c r="DG62" s="3070">
        <v>14938370</v>
      </c>
      <c r="DH62" s="3070">
        <v>1284348000</v>
      </c>
      <c r="DI62" s="3070">
        <v>1278128000</v>
      </c>
      <c r="DJ62" s="3070">
        <v>6220000</v>
      </c>
      <c r="DK62" s="3070">
        <v>0</v>
      </c>
      <c r="DL62" s="3070">
        <v>0</v>
      </c>
      <c r="DM62" s="3070">
        <v>25491817.620000001</v>
      </c>
      <c r="DN62" s="3070">
        <v>2764253109</v>
      </c>
      <c r="DP62" s="3070">
        <v>2764253109</v>
      </c>
    </row>
    <row r="63" spans="1:120">
      <c r="A63" s="3070">
        <v>62</v>
      </c>
      <c r="B63" s="3070" t="s">
        <v>3224</v>
      </c>
      <c r="C63" s="3070">
        <v>1</v>
      </c>
      <c r="E63" s="3070">
        <v>802</v>
      </c>
      <c r="F63" s="3070" t="s">
        <v>3778</v>
      </c>
      <c r="G63" s="3070" t="s">
        <v>3779</v>
      </c>
      <c r="H63" s="3070">
        <v>1168985</v>
      </c>
      <c r="I63" s="3070">
        <v>1168985</v>
      </c>
      <c r="J63" s="3070">
        <v>93.07</v>
      </c>
      <c r="K63" s="3070">
        <v>66.5</v>
      </c>
      <c r="L63" s="3070">
        <v>0</v>
      </c>
      <c r="M63" s="3070">
        <v>0</v>
      </c>
      <c r="N63" s="3070">
        <v>15494.45</v>
      </c>
      <c r="O63" s="3070">
        <v>1442068</v>
      </c>
      <c r="P63" s="3070">
        <v>12560.28</v>
      </c>
      <c r="Q63" s="3070">
        <v>1168985</v>
      </c>
      <c r="R63" s="3070" t="s">
        <v>3227</v>
      </c>
      <c r="S63" s="3070" t="s">
        <v>3780</v>
      </c>
      <c r="T63" s="3070" t="s">
        <v>3246</v>
      </c>
      <c r="U63" s="3070" t="s">
        <v>3381</v>
      </c>
      <c r="V63" s="3070" t="s">
        <v>3230</v>
      </c>
      <c r="Y63" s="3070">
        <v>668985</v>
      </c>
      <c r="Z63" s="3070">
        <v>668985</v>
      </c>
      <c r="AA63" s="3070">
        <v>668985</v>
      </c>
      <c r="AB63" s="3070">
        <v>0</v>
      </c>
      <c r="AC63" s="3070">
        <v>500000</v>
      </c>
      <c r="AD63" s="3070">
        <v>500000</v>
      </c>
      <c r="AE63" s="3070">
        <v>0</v>
      </c>
      <c r="AI63" s="3070" t="s">
        <v>3227</v>
      </c>
      <c r="AJ63" s="3070">
        <v>0</v>
      </c>
      <c r="AK63" s="3070">
        <v>0</v>
      </c>
      <c r="AL63" s="3070">
        <v>0</v>
      </c>
      <c r="AM63" s="3070">
        <v>12560.28</v>
      </c>
      <c r="AN63" s="3070">
        <v>1168985</v>
      </c>
      <c r="AP63" s="3070">
        <v>1168985</v>
      </c>
      <c r="AQ63" s="3072">
        <v>45138</v>
      </c>
      <c r="AT63" s="3073">
        <v>45678</v>
      </c>
      <c r="AV63" s="3070" t="s">
        <v>3781</v>
      </c>
      <c r="AW63" s="3070" t="s">
        <v>3782</v>
      </c>
      <c r="AX63" s="3070" t="s">
        <v>3783</v>
      </c>
      <c r="AY63" s="3070" t="s">
        <v>3393</v>
      </c>
      <c r="BC63" s="3070" t="s">
        <v>3284</v>
      </c>
      <c r="BD63" s="3070" t="s">
        <v>3077</v>
      </c>
      <c r="BI63" s="3070" t="s">
        <v>3235</v>
      </c>
      <c r="BJ63" s="3070" t="s">
        <v>3296</v>
      </c>
      <c r="BL63" s="3070" t="s">
        <v>3784</v>
      </c>
      <c r="BM63" s="3075">
        <v>44204</v>
      </c>
      <c r="BN63" s="3070">
        <v>2</v>
      </c>
      <c r="BO63" s="3070" t="s">
        <v>3253</v>
      </c>
      <c r="BR63" s="3070">
        <v>399</v>
      </c>
      <c r="BS63" s="3070" t="s">
        <v>3238</v>
      </c>
      <c r="BT63" s="3070" t="s">
        <v>3086</v>
      </c>
      <c r="BZ63" s="3073">
        <v>44142.62777777778</v>
      </c>
      <c r="CA63" s="3070">
        <v>1</v>
      </c>
      <c r="CB63" s="3070" t="s">
        <v>3086</v>
      </c>
      <c r="CD63" s="3070" t="s">
        <v>3239</v>
      </c>
      <c r="CF63" s="3070" t="s">
        <v>3091</v>
      </c>
      <c r="CH63" s="3070" t="s">
        <v>3240</v>
      </c>
      <c r="CI63" s="3070">
        <v>0</v>
      </c>
      <c r="CK63" s="3070" t="s">
        <v>3393</v>
      </c>
      <c r="CL63" s="3070" t="s">
        <v>3393</v>
      </c>
      <c r="CM63" s="3070">
        <v>1072463.3</v>
      </c>
      <c r="CV63" s="3070" t="s">
        <v>3246</v>
      </c>
      <c r="CW63" s="3070" t="s">
        <v>3785</v>
      </c>
      <c r="CZ63" s="3070">
        <v>213894.57</v>
      </c>
      <c r="DA63" s="3070">
        <v>159426.93</v>
      </c>
      <c r="DB63" s="3070">
        <v>0</v>
      </c>
      <c r="DC63" s="3070">
        <v>0</v>
      </c>
      <c r="DD63" s="3070">
        <v>3290547602</v>
      </c>
      <c r="DE63" s="3070">
        <v>2764253109</v>
      </c>
      <c r="DF63" s="3070">
        <v>1464966739</v>
      </c>
      <c r="DG63" s="3070">
        <v>14938370</v>
      </c>
      <c r="DH63" s="3070">
        <v>1284348000</v>
      </c>
      <c r="DI63" s="3070">
        <v>1278128000</v>
      </c>
      <c r="DJ63" s="3070">
        <v>6220000</v>
      </c>
      <c r="DK63" s="3070">
        <v>0</v>
      </c>
      <c r="DL63" s="3070">
        <v>0</v>
      </c>
      <c r="DM63" s="3070">
        <v>25491817.620000001</v>
      </c>
      <c r="DN63" s="3070">
        <v>2764253109</v>
      </c>
      <c r="DP63" s="3070">
        <v>2764253109</v>
      </c>
    </row>
    <row r="64" spans="1:120">
      <c r="A64" s="3070">
        <v>63</v>
      </c>
      <c r="B64" s="3070" t="s">
        <v>3224</v>
      </c>
      <c r="C64" s="3070">
        <v>1</v>
      </c>
      <c r="E64" s="3070">
        <v>803</v>
      </c>
      <c r="F64" s="3070" t="s">
        <v>3786</v>
      </c>
      <c r="G64" s="3070" t="s">
        <v>3787</v>
      </c>
      <c r="H64" s="3070">
        <v>1157296</v>
      </c>
      <c r="I64" s="3070">
        <v>1157296</v>
      </c>
      <c r="J64" s="3070">
        <v>93.07</v>
      </c>
      <c r="K64" s="3070">
        <v>66.5</v>
      </c>
      <c r="L64" s="3070">
        <v>0</v>
      </c>
      <c r="M64" s="3070">
        <v>0</v>
      </c>
      <c r="N64" s="3070">
        <v>15494.45</v>
      </c>
      <c r="O64" s="3070">
        <v>1442068</v>
      </c>
      <c r="P64" s="3070">
        <v>12434.68</v>
      </c>
      <c r="Q64" s="3070">
        <v>1157296</v>
      </c>
      <c r="R64" s="3070" t="s">
        <v>3227</v>
      </c>
      <c r="S64" s="3070" t="s">
        <v>3788</v>
      </c>
      <c r="T64" s="3070" t="s">
        <v>3229</v>
      </c>
      <c r="V64" s="3070" t="s">
        <v>3230</v>
      </c>
      <c r="Y64" s="3070">
        <v>347189</v>
      </c>
      <c r="Z64" s="3070">
        <v>347189</v>
      </c>
      <c r="AA64" s="3070">
        <v>1157296</v>
      </c>
      <c r="AB64" s="3070">
        <v>0</v>
      </c>
      <c r="AC64" s="3070">
        <v>0</v>
      </c>
      <c r="AD64" s="3070">
        <v>0</v>
      </c>
      <c r="AE64" s="3070">
        <v>0</v>
      </c>
      <c r="AI64" s="3070" t="s">
        <v>3227</v>
      </c>
      <c r="AJ64" s="3070">
        <v>0</v>
      </c>
      <c r="AK64" s="3070">
        <v>0</v>
      </c>
      <c r="AL64" s="3070">
        <v>0</v>
      </c>
      <c r="AM64" s="3070">
        <v>12434.68</v>
      </c>
      <c r="AN64" s="3070">
        <v>1157296</v>
      </c>
      <c r="AP64" s="3070">
        <v>1157296</v>
      </c>
      <c r="AQ64" s="3072">
        <v>45138</v>
      </c>
      <c r="AT64" s="3073">
        <v>45678</v>
      </c>
      <c r="AV64" s="3070" t="s">
        <v>3789</v>
      </c>
      <c r="AW64" s="3070" t="s">
        <v>3790</v>
      </c>
      <c r="AX64" s="3070" t="s">
        <v>3791</v>
      </c>
      <c r="AY64" s="3070" t="s">
        <v>3364</v>
      </c>
      <c r="BC64" s="3070" t="s">
        <v>3792</v>
      </c>
      <c r="BD64" s="3070" t="s">
        <v>3077</v>
      </c>
      <c r="BI64" s="3070" t="s">
        <v>3235</v>
      </c>
      <c r="BJ64" s="3070" t="s">
        <v>3296</v>
      </c>
      <c r="BL64" s="3070" t="s">
        <v>3793</v>
      </c>
      <c r="BM64" s="3075">
        <v>44204</v>
      </c>
      <c r="BN64" s="3070">
        <v>3</v>
      </c>
      <c r="BR64" s="3070">
        <v>651</v>
      </c>
      <c r="BS64" s="3070" t="s">
        <v>3238</v>
      </c>
      <c r="BT64" s="3070" t="s">
        <v>3086</v>
      </c>
      <c r="BZ64" s="3073">
        <v>44148.470138888886</v>
      </c>
      <c r="CA64" s="3070">
        <v>1</v>
      </c>
      <c r="CB64" s="3070" t="s">
        <v>3086</v>
      </c>
      <c r="CD64" s="3070" t="s">
        <v>3239</v>
      </c>
      <c r="CF64" s="3070" t="s">
        <v>3091</v>
      </c>
      <c r="CH64" s="3070" t="s">
        <v>3240</v>
      </c>
      <c r="CI64" s="3070">
        <v>0</v>
      </c>
      <c r="CK64" s="3070" t="s">
        <v>3364</v>
      </c>
      <c r="CL64" s="3070" t="s">
        <v>3364</v>
      </c>
      <c r="CM64" s="3070">
        <v>1061739.45</v>
      </c>
      <c r="CV64" s="3070" t="s">
        <v>3229</v>
      </c>
      <c r="CW64" s="3070" t="s">
        <v>3794</v>
      </c>
      <c r="CX64" s="3070" t="s">
        <v>3267</v>
      </c>
      <c r="CZ64" s="3070">
        <v>213894.57</v>
      </c>
      <c r="DA64" s="3070">
        <v>159426.93</v>
      </c>
      <c r="DB64" s="3070">
        <v>0</v>
      </c>
      <c r="DC64" s="3070">
        <v>0</v>
      </c>
      <c r="DD64" s="3070">
        <v>3290547602</v>
      </c>
      <c r="DE64" s="3070">
        <v>2764253109</v>
      </c>
      <c r="DF64" s="3070">
        <v>1464966739</v>
      </c>
      <c r="DG64" s="3070">
        <v>14938370</v>
      </c>
      <c r="DH64" s="3070">
        <v>1284348000</v>
      </c>
      <c r="DI64" s="3070">
        <v>1278128000</v>
      </c>
      <c r="DJ64" s="3070">
        <v>6220000</v>
      </c>
      <c r="DK64" s="3070">
        <v>0</v>
      </c>
      <c r="DL64" s="3070">
        <v>0</v>
      </c>
      <c r="DM64" s="3070">
        <v>25491817.620000001</v>
      </c>
      <c r="DN64" s="3070">
        <v>2764253109</v>
      </c>
      <c r="DP64" s="3070">
        <v>2764253109</v>
      </c>
    </row>
    <row r="65" spans="1:120">
      <c r="A65" s="3070">
        <v>64</v>
      </c>
      <c r="B65" s="3070" t="s">
        <v>3224</v>
      </c>
      <c r="C65" s="3070">
        <v>1</v>
      </c>
      <c r="E65" s="3070">
        <v>804</v>
      </c>
      <c r="F65" s="3070" t="s">
        <v>3795</v>
      </c>
      <c r="G65" s="3070" t="s">
        <v>3796</v>
      </c>
      <c r="H65" s="3070">
        <v>1168985</v>
      </c>
      <c r="I65" s="3070">
        <v>1168985</v>
      </c>
      <c r="J65" s="3070">
        <v>93.07</v>
      </c>
      <c r="K65" s="3070">
        <v>66.5</v>
      </c>
      <c r="L65" s="3070">
        <v>0</v>
      </c>
      <c r="M65" s="3070">
        <v>0</v>
      </c>
      <c r="N65" s="3070">
        <v>15494.45</v>
      </c>
      <c r="O65" s="3070">
        <v>1442068</v>
      </c>
      <c r="P65" s="3070">
        <v>12560.28</v>
      </c>
      <c r="Q65" s="3070">
        <v>1168985</v>
      </c>
      <c r="R65" s="3070" t="s">
        <v>3227</v>
      </c>
      <c r="S65" s="3070" t="s">
        <v>3797</v>
      </c>
      <c r="T65" s="3070" t="s">
        <v>3246</v>
      </c>
      <c r="U65" s="3070" t="s">
        <v>3371</v>
      </c>
      <c r="V65" s="3070" t="s">
        <v>3230</v>
      </c>
      <c r="Y65" s="3070">
        <v>468985</v>
      </c>
      <c r="Z65" s="3070">
        <v>116899</v>
      </c>
      <c r="AA65" s="3070">
        <v>468985</v>
      </c>
      <c r="AB65" s="3070">
        <v>0</v>
      </c>
      <c r="AC65" s="3070">
        <v>700000</v>
      </c>
      <c r="AD65" s="3070">
        <v>700000</v>
      </c>
      <c r="AE65" s="3070">
        <v>0</v>
      </c>
      <c r="AI65" s="3070" t="s">
        <v>3227</v>
      </c>
      <c r="AJ65" s="3070">
        <v>0</v>
      </c>
      <c r="AK65" s="3070">
        <v>0</v>
      </c>
      <c r="AL65" s="3070">
        <v>0</v>
      </c>
      <c r="AM65" s="3070">
        <v>12560.28</v>
      </c>
      <c r="AN65" s="3070">
        <v>1168985</v>
      </c>
      <c r="AP65" s="3070">
        <v>1168985</v>
      </c>
      <c r="AQ65" s="3072">
        <v>45138</v>
      </c>
      <c r="AT65" s="3073">
        <v>45678</v>
      </c>
      <c r="AV65" s="3070" t="s">
        <v>3798</v>
      </c>
      <c r="AW65" s="3070" t="s">
        <v>3799</v>
      </c>
      <c r="AX65" s="3070" t="s">
        <v>3800</v>
      </c>
      <c r="AY65" s="3070" t="s">
        <v>3346</v>
      </c>
      <c r="BC65" s="3070" t="s">
        <v>3284</v>
      </c>
      <c r="BD65" s="3070" t="s">
        <v>3077</v>
      </c>
      <c r="BI65" s="3070" t="s">
        <v>3235</v>
      </c>
      <c r="BJ65" s="3070" t="s">
        <v>3296</v>
      </c>
      <c r="BL65" s="3070" t="s">
        <v>3801</v>
      </c>
      <c r="BM65" s="3075">
        <v>44204</v>
      </c>
      <c r="BN65" s="3070">
        <v>4</v>
      </c>
      <c r="BO65" s="3070" t="s">
        <v>3253</v>
      </c>
      <c r="BR65" s="3070">
        <v>859</v>
      </c>
      <c r="BS65" s="3070" t="s">
        <v>3238</v>
      </c>
      <c r="BT65" s="3070" t="s">
        <v>3481</v>
      </c>
      <c r="BZ65" s="3073">
        <v>44153.820833333331</v>
      </c>
      <c r="CA65" s="3070">
        <v>1</v>
      </c>
      <c r="CB65" s="3070" t="s">
        <v>3481</v>
      </c>
      <c r="CD65" s="3070" t="s">
        <v>3239</v>
      </c>
      <c r="CF65" s="3070" t="s">
        <v>3091</v>
      </c>
      <c r="CH65" s="3070" t="s">
        <v>3240</v>
      </c>
      <c r="CI65" s="3070">
        <v>0</v>
      </c>
      <c r="CK65" s="3070" t="s">
        <v>3364</v>
      </c>
      <c r="CL65" s="3070" t="s">
        <v>3364</v>
      </c>
      <c r="CM65" s="3070">
        <v>1072463.29</v>
      </c>
      <c r="CV65" s="3070" t="s">
        <v>3246</v>
      </c>
      <c r="CW65" s="3070" t="s">
        <v>3802</v>
      </c>
      <c r="CX65" s="3070" t="s">
        <v>3350</v>
      </c>
      <c r="CZ65" s="3070">
        <v>213894.57</v>
      </c>
      <c r="DA65" s="3070">
        <v>159426.93</v>
      </c>
      <c r="DB65" s="3070">
        <v>0</v>
      </c>
      <c r="DC65" s="3070">
        <v>0</v>
      </c>
      <c r="DD65" s="3070">
        <v>3290547602</v>
      </c>
      <c r="DE65" s="3070">
        <v>2764253109</v>
      </c>
      <c r="DF65" s="3070">
        <v>1464966739</v>
      </c>
      <c r="DG65" s="3070">
        <v>14938370</v>
      </c>
      <c r="DH65" s="3070">
        <v>1284348000</v>
      </c>
      <c r="DI65" s="3070">
        <v>1278128000</v>
      </c>
      <c r="DJ65" s="3070">
        <v>6220000</v>
      </c>
      <c r="DK65" s="3070">
        <v>0</v>
      </c>
      <c r="DL65" s="3070">
        <v>0</v>
      </c>
      <c r="DM65" s="3070">
        <v>25491817.620000001</v>
      </c>
      <c r="DN65" s="3070">
        <v>2764253109</v>
      </c>
      <c r="DP65" s="3070">
        <v>2764253109</v>
      </c>
    </row>
    <row r="66" spans="1:120">
      <c r="A66" s="3070">
        <v>65</v>
      </c>
      <c r="B66" s="3070" t="s">
        <v>3224</v>
      </c>
      <c r="C66" s="3070">
        <v>1</v>
      </c>
      <c r="E66" s="3070">
        <v>901</v>
      </c>
      <c r="F66" s="3070" t="s">
        <v>3803</v>
      </c>
      <c r="G66" s="3070" t="s">
        <v>3804</v>
      </c>
      <c r="H66" s="3070">
        <v>1173408</v>
      </c>
      <c r="I66" s="3070">
        <v>1173408</v>
      </c>
      <c r="J66" s="3070">
        <v>93.07</v>
      </c>
      <c r="K66" s="3070">
        <v>66.5</v>
      </c>
      <c r="L66" s="3070">
        <v>0</v>
      </c>
      <c r="M66" s="3070">
        <v>0</v>
      </c>
      <c r="N66" s="3070">
        <v>15544.44</v>
      </c>
      <c r="O66" s="3070">
        <v>1446721</v>
      </c>
      <c r="P66" s="3070">
        <v>12607.8</v>
      </c>
      <c r="Q66" s="3070">
        <v>1173408</v>
      </c>
      <c r="R66" s="3070" t="s">
        <v>3227</v>
      </c>
      <c r="S66" s="3070" t="s">
        <v>3805</v>
      </c>
      <c r="T66" s="3070" t="s">
        <v>3258</v>
      </c>
      <c r="U66" s="3070" t="s">
        <v>3259</v>
      </c>
      <c r="V66" s="3070" t="s">
        <v>3230</v>
      </c>
      <c r="Y66" s="3070">
        <v>353408</v>
      </c>
      <c r="Z66" s="3070">
        <v>353408</v>
      </c>
      <c r="AA66" s="3070">
        <v>353408</v>
      </c>
      <c r="AB66" s="3070">
        <v>0</v>
      </c>
      <c r="AC66" s="3070">
        <v>820000</v>
      </c>
      <c r="AD66" s="3070">
        <v>820000</v>
      </c>
      <c r="AE66" s="3070">
        <v>0</v>
      </c>
      <c r="AI66" s="3070" t="s">
        <v>3227</v>
      </c>
      <c r="AJ66" s="3070">
        <v>0</v>
      </c>
      <c r="AK66" s="3070">
        <v>0</v>
      </c>
      <c r="AL66" s="3070">
        <v>0</v>
      </c>
      <c r="AM66" s="3070">
        <v>12607.8</v>
      </c>
      <c r="AN66" s="3070">
        <v>1173408</v>
      </c>
      <c r="AP66" s="3070">
        <v>1173408</v>
      </c>
      <c r="AQ66" s="3072">
        <v>45138</v>
      </c>
      <c r="AT66" s="3073">
        <v>45678</v>
      </c>
      <c r="AV66" s="3070" t="s">
        <v>3806</v>
      </c>
      <c r="AW66" s="3070" t="s">
        <v>3807</v>
      </c>
      <c r="AX66" s="3070" t="s">
        <v>3808</v>
      </c>
      <c r="AY66" s="3070" t="s">
        <v>3648</v>
      </c>
      <c r="BC66" s="3070" t="s">
        <v>3263</v>
      </c>
      <c r="BD66" s="3070" t="s">
        <v>3077</v>
      </c>
      <c r="BI66" s="3070" t="s">
        <v>3235</v>
      </c>
      <c r="BJ66" s="3070" t="s">
        <v>3236</v>
      </c>
      <c r="BL66" s="3070" t="s">
        <v>3809</v>
      </c>
      <c r="BM66" s="3075">
        <v>44205</v>
      </c>
      <c r="BN66" s="3070">
        <v>1</v>
      </c>
      <c r="BO66" s="3070" t="s">
        <v>3253</v>
      </c>
      <c r="BP66" s="3070" t="s">
        <v>3253</v>
      </c>
      <c r="BR66" s="3070">
        <v>84</v>
      </c>
      <c r="BS66" s="3070" t="s">
        <v>3238</v>
      </c>
      <c r="BT66" s="3070" t="s">
        <v>3086</v>
      </c>
      <c r="BZ66" s="3073">
        <v>44142.595138888886</v>
      </c>
      <c r="CA66" s="3070">
        <v>1</v>
      </c>
      <c r="CB66" s="3070" t="s">
        <v>3086</v>
      </c>
      <c r="CD66" s="3070" t="s">
        <v>3239</v>
      </c>
      <c r="CF66" s="3070" t="s">
        <v>3091</v>
      </c>
      <c r="CH66" s="3070" t="s">
        <v>3240</v>
      </c>
      <c r="CI66" s="3070">
        <v>0</v>
      </c>
      <c r="CJ66" s="3070" t="s">
        <v>3259</v>
      </c>
      <c r="CK66" s="3070" t="s">
        <v>3648</v>
      </c>
      <c r="CL66" s="3070" t="s">
        <v>3648</v>
      </c>
      <c r="CM66" s="3070">
        <v>1076521.1000000001</v>
      </c>
      <c r="CV66" s="3070" t="s">
        <v>3258</v>
      </c>
      <c r="CW66" s="3070" t="s">
        <v>3810</v>
      </c>
      <c r="CZ66" s="3070">
        <v>213894.57</v>
      </c>
      <c r="DA66" s="3070">
        <v>159426.93</v>
      </c>
      <c r="DB66" s="3070">
        <v>0</v>
      </c>
      <c r="DC66" s="3070">
        <v>0</v>
      </c>
      <c r="DD66" s="3070">
        <v>3290547602</v>
      </c>
      <c r="DE66" s="3070">
        <v>2764253109</v>
      </c>
      <c r="DF66" s="3070">
        <v>1464966739</v>
      </c>
      <c r="DG66" s="3070">
        <v>14938370</v>
      </c>
      <c r="DH66" s="3070">
        <v>1284348000</v>
      </c>
      <c r="DI66" s="3070">
        <v>1278128000</v>
      </c>
      <c r="DJ66" s="3070">
        <v>6220000</v>
      </c>
      <c r="DK66" s="3070">
        <v>0</v>
      </c>
      <c r="DL66" s="3070">
        <v>0</v>
      </c>
      <c r="DM66" s="3070">
        <v>25491817.620000001</v>
      </c>
      <c r="DN66" s="3070">
        <v>2764253109</v>
      </c>
      <c r="DP66" s="3070">
        <v>2764253109</v>
      </c>
    </row>
    <row r="67" spans="1:120">
      <c r="A67" s="3070">
        <v>66</v>
      </c>
      <c r="B67" s="3070" t="s">
        <v>3224</v>
      </c>
      <c r="C67" s="3070">
        <v>1</v>
      </c>
      <c r="E67" s="3070">
        <v>902</v>
      </c>
      <c r="F67" s="3070" t="s">
        <v>3811</v>
      </c>
      <c r="G67" s="3070" t="s">
        <v>3812</v>
      </c>
      <c r="H67" s="3070">
        <v>1173408</v>
      </c>
      <c r="I67" s="3070">
        <v>1173408</v>
      </c>
      <c r="J67" s="3070">
        <v>93.07</v>
      </c>
      <c r="K67" s="3070">
        <v>66.5</v>
      </c>
      <c r="L67" s="3070">
        <v>0</v>
      </c>
      <c r="M67" s="3070">
        <v>0</v>
      </c>
      <c r="N67" s="3070">
        <v>15544.44</v>
      </c>
      <c r="O67" s="3070">
        <v>1446721</v>
      </c>
      <c r="P67" s="3070">
        <v>12607.8</v>
      </c>
      <c r="Q67" s="3070">
        <v>1173408</v>
      </c>
      <c r="R67" s="3070" t="s">
        <v>3227</v>
      </c>
      <c r="S67" s="3070" t="s">
        <v>3813</v>
      </c>
      <c r="T67" s="3070" t="s">
        <v>3246</v>
      </c>
      <c r="U67" s="3070" t="s">
        <v>3467</v>
      </c>
      <c r="V67" s="3070" t="s">
        <v>3230</v>
      </c>
      <c r="Y67" s="3070">
        <v>353408</v>
      </c>
      <c r="Z67" s="3070">
        <v>353408</v>
      </c>
      <c r="AA67" s="3070">
        <v>353408</v>
      </c>
      <c r="AB67" s="3070">
        <v>0</v>
      </c>
      <c r="AC67" s="3070">
        <v>820000</v>
      </c>
      <c r="AD67" s="3070">
        <v>820000</v>
      </c>
      <c r="AE67" s="3070">
        <v>0</v>
      </c>
      <c r="AI67" s="3070" t="s">
        <v>3227</v>
      </c>
      <c r="AJ67" s="3070">
        <v>0</v>
      </c>
      <c r="AK67" s="3070">
        <v>0</v>
      </c>
      <c r="AL67" s="3070">
        <v>0</v>
      </c>
      <c r="AM67" s="3070">
        <v>12607.8</v>
      </c>
      <c r="AN67" s="3070">
        <v>1173408</v>
      </c>
      <c r="AP67" s="3070">
        <v>1173408</v>
      </c>
      <c r="AQ67" s="3072">
        <v>45138</v>
      </c>
      <c r="AT67" s="3073">
        <v>45678</v>
      </c>
      <c r="AV67" s="3070" t="s">
        <v>3814</v>
      </c>
      <c r="AW67" s="3070" t="s">
        <v>3815</v>
      </c>
      <c r="AX67" s="3070" t="s">
        <v>3816</v>
      </c>
      <c r="AY67" s="3070" t="s">
        <v>3273</v>
      </c>
      <c r="BC67" s="3070" t="s">
        <v>3251</v>
      </c>
      <c r="BD67" s="3070" t="s">
        <v>3077</v>
      </c>
      <c r="BI67" s="3070" t="s">
        <v>3235</v>
      </c>
      <c r="BJ67" s="3070" t="s">
        <v>3236</v>
      </c>
      <c r="BL67" s="3070" t="s">
        <v>3817</v>
      </c>
      <c r="BM67" s="3075">
        <v>44205</v>
      </c>
      <c r="BN67" s="3070">
        <v>2</v>
      </c>
      <c r="BO67" s="3070" t="s">
        <v>3253</v>
      </c>
      <c r="BR67" s="3070">
        <v>406</v>
      </c>
      <c r="BS67" s="3070" t="s">
        <v>3238</v>
      </c>
      <c r="BT67" s="3070" t="s">
        <v>3086</v>
      </c>
      <c r="BZ67" s="3073">
        <v>44142.606944444444</v>
      </c>
      <c r="CA67" s="3070">
        <v>1</v>
      </c>
      <c r="CB67" s="3070" t="s">
        <v>3086</v>
      </c>
      <c r="CD67" s="3070" t="s">
        <v>3239</v>
      </c>
      <c r="CF67" s="3070" t="s">
        <v>3091</v>
      </c>
      <c r="CH67" s="3070" t="s">
        <v>3240</v>
      </c>
      <c r="CI67" s="3070">
        <v>0</v>
      </c>
      <c r="CK67" s="3070" t="s">
        <v>3273</v>
      </c>
      <c r="CL67" s="3070" t="s">
        <v>3273</v>
      </c>
      <c r="CM67" s="3070">
        <v>1076521.1000000001</v>
      </c>
      <c r="CV67" s="3070" t="s">
        <v>3246</v>
      </c>
      <c r="CW67" s="3070" t="s">
        <v>3818</v>
      </c>
      <c r="CZ67" s="3070">
        <v>213894.57</v>
      </c>
      <c r="DA67" s="3070">
        <v>159426.93</v>
      </c>
      <c r="DB67" s="3070">
        <v>0</v>
      </c>
      <c r="DC67" s="3070">
        <v>0</v>
      </c>
      <c r="DD67" s="3070">
        <v>3290547602</v>
      </c>
      <c r="DE67" s="3070">
        <v>2764253109</v>
      </c>
      <c r="DF67" s="3070">
        <v>1464966739</v>
      </c>
      <c r="DG67" s="3070">
        <v>14938370</v>
      </c>
      <c r="DH67" s="3070">
        <v>1284348000</v>
      </c>
      <c r="DI67" s="3070">
        <v>1278128000</v>
      </c>
      <c r="DJ67" s="3070">
        <v>6220000</v>
      </c>
      <c r="DK67" s="3070">
        <v>0</v>
      </c>
      <c r="DL67" s="3070">
        <v>0</v>
      </c>
      <c r="DM67" s="3070">
        <v>25491817.620000001</v>
      </c>
      <c r="DN67" s="3070">
        <v>2764253109</v>
      </c>
      <c r="DP67" s="3070">
        <v>2764253109</v>
      </c>
    </row>
    <row r="68" spans="1:120">
      <c r="A68" s="3070">
        <v>67</v>
      </c>
      <c r="B68" s="3070" t="s">
        <v>3224</v>
      </c>
      <c r="C68" s="3070">
        <v>1</v>
      </c>
      <c r="E68" s="3070">
        <v>903</v>
      </c>
      <c r="F68" s="3070" t="s">
        <v>3819</v>
      </c>
      <c r="G68" s="3070" t="s">
        <v>3820</v>
      </c>
      <c r="H68" s="3070">
        <v>1173408</v>
      </c>
      <c r="I68" s="3070">
        <v>1173408</v>
      </c>
      <c r="J68" s="3070">
        <v>93.07</v>
      </c>
      <c r="K68" s="3070">
        <v>66.5</v>
      </c>
      <c r="L68" s="3070">
        <v>0</v>
      </c>
      <c r="M68" s="3070">
        <v>0</v>
      </c>
      <c r="N68" s="3070">
        <v>15544.44</v>
      </c>
      <c r="O68" s="3070">
        <v>1446721</v>
      </c>
      <c r="P68" s="3070">
        <v>12607.8</v>
      </c>
      <c r="Q68" s="3070">
        <v>1173408</v>
      </c>
      <c r="R68" s="3070" t="s">
        <v>3227</v>
      </c>
      <c r="S68" s="3070" t="s">
        <v>3821</v>
      </c>
      <c r="T68" s="3070" t="s">
        <v>3258</v>
      </c>
      <c r="U68" s="3070" t="s">
        <v>3259</v>
      </c>
      <c r="V68" s="3070" t="s">
        <v>3230</v>
      </c>
      <c r="Y68" s="3070">
        <v>413408</v>
      </c>
      <c r="Z68" s="3070">
        <v>413408</v>
      </c>
      <c r="AA68" s="3070">
        <v>413408</v>
      </c>
      <c r="AB68" s="3070">
        <v>0</v>
      </c>
      <c r="AC68" s="3070">
        <v>760000</v>
      </c>
      <c r="AD68" s="3070">
        <v>760000</v>
      </c>
      <c r="AE68" s="3070">
        <v>0</v>
      </c>
      <c r="AI68" s="3070" t="s">
        <v>3227</v>
      </c>
      <c r="AJ68" s="3070">
        <v>0</v>
      </c>
      <c r="AK68" s="3070">
        <v>0</v>
      </c>
      <c r="AL68" s="3070">
        <v>0</v>
      </c>
      <c r="AM68" s="3070">
        <v>12607.8</v>
      </c>
      <c r="AN68" s="3070">
        <v>1173408</v>
      </c>
      <c r="AP68" s="3070">
        <v>1173408</v>
      </c>
      <c r="AQ68" s="3072">
        <v>45138</v>
      </c>
      <c r="AT68" s="3073">
        <v>45678</v>
      </c>
      <c r="AV68" s="3070" t="s">
        <v>3822</v>
      </c>
      <c r="AW68" s="3070" t="s">
        <v>3823</v>
      </c>
      <c r="AX68" s="3070" t="s">
        <v>3824</v>
      </c>
      <c r="AY68" s="3070" t="s">
        <v>3364</v>
      </c>
      <c r="BC68" s="3070" t="s">
        <v>3263</v>
      </c>
      <c r="BD68" s="3070" t="s">
        <v>3077</v>
      </c>
      <c r="BI68" s="3070" t="s">
        <v>3295</v>
      </c>
      <c r="BL68" s="3070" t="s">
        <v>3825</v>
      </c>
      <c r="BM68" s="3075">
        <v>44205</v>
      </c>
      <c r="BN68" s="3070">
        <v>3</v>
      </c>
      <c r="BO68" s="3070" t="s">
        <v>3253</v>
      </c>
      <c r="BP68" s="3070" t="s">
        <v>3253</v>
      </c>
      <c r="BR68" s="3070">
        <v>698</v>
      </c>
      <c r="BS68" s="3070" t="s">
        <v>3238</v>
      </c>
      <c r="BT68" s="3070" t="s">
        <v>3086</v>
      </c>
      <c r="BZ68" s="3073">
        <v>44142.604861111111</v>
      </c>
      <c r="CA68" s="3070">
        <v>1</v>
      </c>
      <c r="CB68" s="3070" t="s">
        <v>3086</v>
      </c>
      <c r="CD68" s="3070" t="s">
        <v>3239</v>
      </c>
      <c r="CF68" s="3070" t="s">
        <v>3091</v>
      </c>
      <c r="CH68" s="3070" t="s">
        <v>3240</v>
      </c>
      <c r="CI68" s="3070">
        <v>0</v>
      </c>
      <c r="CJ68" s="3070" t="s">
        <v>3259</v>
      </c>
      <c r="CK68" s="3070" t="s">
        <v>3364</v>
      </c>
      <c r="CL68" s="3070" t="s">
        <v>3364</v>
      </c>
      <c r="CM68" s="3070">
        <v>1076521.1000000001</v>
      </c>
      <c r="CV68" s="3070" t="s">
        <v>3258</v>
      </c>
      <c r="CW68" s="3070" t="s">
        <v>3826</v>
      </c>
      <c r="CZ68" s="3070">
        <v>213894.57</v>
      </c>
      <c r="DA68" s="3070">
        <v>159426.93</v>
      </c>
      <c r="DB68" s="3070">
        <v>0</v>
      </c>
      <c r="DC68" s="3070">
        <v>0</v>
      </c>
      <c r="DD68" s="3070">
        <v>3290547602</v>
      </c>
      <c r="DE68" s="3070">
        <v>2764253109</v>
      </c>
      <c r="DF68" s="3070">
        <v>1464966739</v>
      </c>
      <c r="DG68" s="3070">
        <v>14938370</v>
      </c>
      <c r="DH68" s="3070">
        <v>1284348000</v>
      </c>
      <c r="DI68" s="3070">
        <v>1278128000</v>
      </c>
      <c r="DJ68" s="3070">
        <v>6220000</v>
      </c>
      <c r="DK68" s="3070">
        <v>0</v>
      </c>
      <c r="DL68" s="3070">
        <v>0</v>
      </c>
      <c r="DM68" s="3070">
        <v>25491817.620000001</v>
      </c>
      <c r="DN68" s="3070">
        <v>2764253109</v>
      </c>
      <c r="DP68" s="3070">
        <v>2764253109</v>
      </c>
    </row>
    <row r="69" spans="1:120">
      <c r="A69" s="3070">
        <v>68</v>
      </c>
      <c r="B69" s="3070" t="s">
        <v>3224</v>
      </c>
      <c r="C69" s="3070">
        <v>1</v>
      </c>
      <c r="E69" s="3070">
        <v>904</v>
      </c>
      <c r="F69" s="3070" t="s">
        <v>3827</v>
      </c>
      <c r="G69" s="3070" t="s">
        <v>3828</v>
      </c>
      <c r="H69" s="3070">
        <v>1173408</v>
      </c>
      <c r="I69" s="3070">
        <v>1173408</v>
      </c>
      <c r="J69" s="3070">
        <v>93.07</v>
      </c>
      <c r="K69" s="3070">
        <v>66.5</v>
      </c>
      <c r="L69" s="3070">
        <v>0</v>
      </c>
      <c r="M69" s="3070">
        <v>0</v>
      </c>
      <c r="N69" s="3070">
        <v>15544.44</v>
      </c>
      <c r="O69" s="3070">
        <v>1446721</v>
      </c>
      <c r="P69" s="3070">
        <v>12607.8</v>
      </c>
      <c r="Q69" s="3070">
        <v>1173408</v>
      </c>
      <c r="R69" s="3070" t="s">
        <v>3227</v>
      </c>
      <c r="S69" s="3070" t="s">
        <v>3829</v>
      </c>
      <c r="T69" s="3070" t="s">
        <v>3302</v>
      </c>
      <c r="V69" s="3070" t="s">
        <v>3230</v>
      </c>
      <c r="Y69" s="3070">
        <v>117554</v>
      </c>
      <c r="Z69" s="3070">
        <v>117554</v>
      </c>
      <c r="AA69" s="3070">
        <v>1173408</v>
      </c>
      <c r="AB69" s="3070">
        <v>0</v>
      </c>
      <c r="AC69" s="3070">
        <v>0</v>
      </c>
      <c r="AD69" s="3070">
        <v>0</v>
      </c>
      <c r="AE69" s="3070">
        <v>0</v>
      </c>
      <c r="AI69" s="3070" t="s">
        <v>3227</v>
      </c>
      <c r="AJ69" s="3070">
        <v>0</v>
      </c>
      <c r="AK69" s="3070">
        <v>0</v>
      </c>
      <c r="AL69" s="3070">
        <v>0</v>
      </c>
      <c r="AM69" s="3070">
        <v>12607.8</v>
      </c>
      <c r="AN69" s="3070">
        <v>1173408</v>
      </c>
      <c r="AP69" s="3070">
        <v>1173408</v>
      </c>
      <c r="AQ69" s="3072">
        <v>45138</v>
      </c>
      <c r="AT69" s="3073">
        <v>45678</v>
      </c>
      <c r="AV69" s="3074">
        <v>3.21E+17</v>
      </c>
      <c r="AW69" s="3070" t="s">
        <v>3830</v>
      </c>
      <c r="AX69" s="3070" t="s">
        <v>3831</v>
      </c>
      <c r="AY69" s="3070" t="s">
        <v>3429</v>
      </c>
      <c r="BC69" s="3070" t="s">
        <v>3307</v>
      </c>
      <c r="BD69" s="3070" t="s">
        <v>3077</v>
      </c>
      <c r="BI69" s="3070" t="s">
        <v>3235</v>
      </c>
      <c r="BJ69" s="3070" t="s">
        <v>3598</v>
      </c>
      <c r="BL69" s="3070" t="s">
        <v>3832</v>
      </c>
      <c r="BM69" s="3075">
        <v>44205</v>
      </c>
      <c r="BN69" s="3070">
        <v>4</v>
      </c>
      <c r="BR69" s="3070">
        <v>77</v>
      </c>
      <c r="BS69" s="3070" t="s">
        <v>3238</v>
      </c>
      <c r="BT69" s="3070" t="s">
        <v>3086</v>
      </c>
      <c r="BZ69" s="3073">
        <v>44142.595833333333</v>
      </c>
      <c r="CA69" s="3070">
        <v>1</v>
      </c>
      <c r="CB69" s="3070" t="s">
        <v>3086</v>
      </c>
      <c r="CD69" s="3070" t="s">
        <v>3239</v>
      </c>
      <c r="CF69" s="3070" t="s">
        <v>3091</v>
      </c>
      <c r="CH69" s="3070" t="s">
        <v>3240</v>
      </c>
      <c r="CI69" s="3070">
        <v>0</v>
      </c>
      <c r="CK69" s="3070" t="s">
        <v>3429</v>
      </c>
      <c r="CL69" s="3070" t="s">
        <v>3429</v>
      </c>
      <c r="CM69" s="3070">
        <v>1076521.1000000001</v>
      </c>
      <c r="CV69" s="3070" t="s">
        <v>3309</v>
      </c>
      <c r="CW69" s="3070" t="s">
        <v>3833</v>
      </c>
      <c r="CX69" s="3070" t="s">
        <v>3350</v>
      </c>
      <c r="CZ69" s="3070">
        <v>213894.57</v>
      </c>
      <c r="DA69" s="3070">
        <v>159426.93</v>
      </c>
      <c r="DB69" s="3070">
        <v>0</v>
      </c>
      <c r="DC69" s="3070">
        <v>0</v>
      </c>
      <c r="DD69" s="3070">
        <v>3290547602</v>
      </c>
      <c r="DE69" s="3070">
        <v>2764253109</v>
      </c>
      <c r="DF69" s="3070">
        <v>1464966739</v>
      </c>
      <c r="DG69" s="3070">
        <v>14938370</v>
      </c>
      <c r="DH69" s="3070">
        <v>1284348000</v>
      </c>
      <c r="DI69" s="3070">
        <v>1278128000</v>
      </c>
      <c r="DJ69" s="3070">
        <v>6220000</v>
      </c>
      <c r="DK69" s="3070">
        <v>0</v>
      </c>
      <c r="DL69" s="3070">
        <v>0</v>
      </c>
      <c r="DM69" s="3070">
        <v>25491817.620000001</v>
      </c>
      <c r="DN69" s="3070">
        <v>2764253109</v>
      </c>
      <c r="DP69" s="3070">
        <v>2764253109</v>
      </c>
    </row>
    <row r="70" spans="1:120">
      <c r="A70" s="3070">
        <v>69</v>
      </c>
      <c r="B70" s="3070" t="s">
        <v>3224</v>
      </c>
      <c r="C70" s="3070">
        <v>10</v>
      </c>
      <c r="E70" s="3070">
        <v>1001</v>
      </c>
      <c r="F70" s="3070" t="s">
        <v>3834</v>
      </c>
      <c r="G70" s="3070" t="s">
        <v>3835</v>
      </c>
      <c r="H70" s="3070">
        <v>1410445</v>
      </c>
      <c r="I70" s="3070">
        <v>1410445</v>
      </c>
      <c r="J70" s="3070">
        <v>114.02</v>
      </c>
      <c r="K70" s="3070">
        <v>82.85</v>
      </c>
      <c r="L70" s="3070">
        <v>0</v>
      </c>
      <c r="M70" s="3070">
        <v>0</v>
      </c>
      <c r="N70" s="3070">
        <v>15294.44</v>
      </c>
      <c r="O70" s="3070">
        <v>1743872</v>
      </c>
      <c r="P70" s="3070">
        <v>12370.15</v>
      </c>
      <c r="Q70" s="3070">
        <v>1410445</v>
      </c>
      <c r="R70" s="3070" t="s">
        <v>3227</v>
      </c>
      <c r="S70" s="3070" t="s">
        <v>3836</v>
      </c>
      <c r="T70" s="3070" t="s">
        <v>3258</v>
      </c>
      <c r="U70" s="3070" t="s">
        <v>3259</v>
      </c>
      <c r="V70" s="3070" t="s">
        <v>3230</v>
      </c>
      <c r="Y70" s="3070">
        <v>430445</v>
      </c>
      <c r="Z70" s="3070">
        <v>430445</v>
      </c>
      <c r="AA70" s="3070">
        <v>430445</v>
      </c>
      <c r="AB70" s="3070">
        <v>0</v>
      </c>
      <c r="AC70" s="3070">
        <v>980000</v>
      </c>
      <c r="AD70" s="3070">
        <v>980000</v>
      </c>
      <c r="AE70" s="3070">
        <v>0</v>
      </c>
      <c r="AI70" s="3070" t="s">
        <v>3227</v>
      </c>
      <c r="AJ70" s="3070">
        <v>0</v>
      </c>
      <c r="AK70" s="3070">
        <v>0</v>
      </c>
      <c r="AL70" s="3070">
        <v>0</v>
      </c>
      <c r="AM70" s="3070">
        <v>12370.15</v>
      </c>
      <c r="AN70" s="3070">
        <v>1410445</v>
      </c>
      <c r="AP70" s="3070">
        <v>1410445</v>
      </c>
      <c r="AQ70" s="3072">
        <v>45138</v>
      </c>
      <c r="AT70" s="3073">
        <v>45678</v>
      </c>
      <c r="AV70" s="3070" t="s">
        <v>3837</v>
      </c>
      <c r="AW70" s="3070" t="s">
        <v>3838</v>
      </c>
      <c r="AX70" s="3070" t="s">
        <v>3839</v>
      </c>
      <c r="AY70" s="3070" t="s">
        <v>3429</v>
      </c>
      <c r="BC70" s="3070" t="s">
        <v>3263</v>
      </c>
      <c r="BD70" s="3070" t="s">
        <v>3077</v>
      </c>
      <c r="BI70" s="3070" t="s">
        <v>3235</v>
      </c>
      <c r="BL70" s="3070" t="s">
        <v>3840</v>
      </c>
      <c r="BM70" s="3070" t="s">
        <v>3841</v>
      </c>
      <c r="BN70" s="3070">
        <v>100</v>
      </c>
      <c r="BO70" s="3070" t="s">
        <v>3253</v>
      </c>
      <c r="BP70" s="3070" t="s">
        <v>3253</v>
      </c>
      <c r="BR70" s="3070">
        <v>744</v>
      </c>
      <c r="BS70" s="3070" t="s">
        <v>3238</v>
      </c>
      <c r="BT70" s="3070" t="s">
        <v>3086</v>
      </c>
      <c r="BZ70" s="3073">
        <v>44142.761805555558</v>
      </c>
      <c r="CA70" s="3070">
        <v>10</v>
      </c>
      <c r="CB70" s="3070" t="s">
        <v>3086</v>
      </c>
      <c r="CD70" s="3070" t="s">
        <v>3239</v>
      </c>
      <c r="CF70" s="3070" t="s">
        <v>3091</v>
      </c>
      <c r="CH70" s="3070" t="s">
        <v>3240</v>
      </c>
      <c r="CI70" s="3070">
        <v>0</v>
      </c>
      <c r="CJ70" s="3070" t="s">
        <v>3259</v>
      </c>
      <c r="CK70" s="3070" t="s">
        <v>3429</v>
      </c>
      <c r="CL70" s="3070" t="s">
        <v>3429</v>
      </c>
      <c r="CM70" s="3070">
        <v>1293986.24</v>
      </c>
      <c r="CV70" s="3070" t="s">
        <v>3258</v>
      </c>
      <c r="CW70" s="3070" t="s">
        <v>3842</v>
      </c>
      <c r="CZ70" s="3070">
        <v>213894.57</v>
      </c>
      <c r="DA70" s="3070">
        <v>159426.93</v>
      </c>
      <c r="DB70" s="3070">
        <v>0</v>
      </c>
      <c r="DC70" s="3070">
        <v>0</v>
      </c>
      <c r="DD70" s="3070">
        <v>3290547602</v>
      </c>
      <c r="DE70" s="3070">
        <v>2764253109</v>
      </c>
      <c r="DF70" s="3070">
        <v>1464966739</v>
      </c>
      <c r="DG70" s="3070">
        <v>14938370</v>
      </c>
      <c r="DH70" s="3070">
        <v>1284348000</v>
      </c>
      <c r="DI70" s="3070">
        <v>1278128000</v>
      </c>
      <c r="DJ70" s="3070">
        <v>6220000</v>
      </c>
      <c r="DK70" s="3070">
        <v>0</v>
      </c>
      <c r="DL70" s="3070">
        <v>0</v>
      </c>
      <c r="DM70" s="3070">
        <v>25491817.620000001</v>
      </c>
      <c r="DN70" s="3070">
        <v>2764253109</v>
      </c>
      <c r="DP70" s="3070">
        <v>2764253109</v>
      </c>
    </row>
    <row r="71" spans="1:120">
      <c r="A71" s="3070">
        <v>70</v>
      </c>
      <c r="B71" s="3070" t="s">
        <v>3224</v>
      </c>
      <c r="C71" s="3070">
        <v>10</v>
      </c>
      <c r="E71" s="3070">
        <v>1002</v>
      </c>
      <c r="F71" s="3070" t="s">
        <v>3843</v>
      </c>
      <c r="G71" s="3070" t="s">
        <v>3844</v>
      </c>
      <c r="H71" s="3070">
        <v>1262175</v>
      </c>
      <c r="I71" s="3070">
        <v>1262175</v>
      </c>
      <c r="J71" s="3070">
        <v>102.67</v>
      </c>
      <c r="K71" s="3070">
        <v>74.61</v>
      </c>
      <c r="L71" s="3070">
        <v>0</v>
      </c>
      <c r="M71" s="3070">
        <v>0</v>
      </c>
      <c r="N71" s="3070">
        <v>15344.44</v>
      </c>
      <c r="O71" s="3070">
        <v>1575414</v>
      </c>
      <c r="P71" s="3070">
        <v>12293.51</v>
      </c>
      <c r="Q71" s="3070">
        <v>1262175</v>
      </c>
      <c r="R71" s="3070" t="s">
        <v>3227</v>
      </c>
      <c r="S71" s="3070" t="s">
        <v>3845</v>
      </c>
      <c r="T71" s="3070" t="s">
        <v>3229</v>
      </c>
      <c r="V71" s="3070" t="s">
        <v>3230</v>
      </c>
      <c r="Y71" s="3070">
        <v>378653</v>
      </c>
      <c r="Z71" s="3070">
        <v>378653</v>
      </c>
      <c r="AA71" s="3070">
        <v>1262175</v>
      </c>
      <c r="AB71" s="3070">
        <v>0</v>
      </c>
      <c r="AC71" s="3070">
        <v>0</v>
      </c>
      <c r="AD71" s="3070">
        <v>0</v>
      </c>
      <c r="AE71" s="3070">
        <v>0</v>
      </c>
      <c r="AI71" s="3070" t="s">
        <v>3227</v>
      </c>
      <c r="AJ71" s="3070">
        <v>0</v>
      </c>
      <c r="AK71" s="3070">
        <v>0</v>
      </c>
      <c r="AL71" s="3070">
        <v>0</v>
      </c>
      <c r="AM71" s="3070">
        <v>12293.51</v>
      </c>
      <c r="AN71" s="3070">
        <v>1262175</v>
      </c>
      <c r="AP71" s="3070">
        <v>1262175</v>
      </c>
      <c r="AQ71" s="3072">
        <v>45138</v>
      </c>
      <c r="AT71" s="3073">
        <v>45678</v>
      </c>
      <c r="AV71" s="3074">
        <v>3.21E+17</v>
      </c>
      <c r="AW71" s="3070" t="s">
        <v>3846</v>
      </c>
      <c r="AX71" s="3070" t="s">
        <v>3847</v>
      </c>
      <c r="AY71" s="3070" t="s">
        <v>3722</v>
      </c>
      <c r="BC71" s="3070" t="s">
        <v>3347</v>
      </c>
      <c r="BD71" s="3070" t="s">
        <v>3077</v>
      </c>
      <c r="BI71" s="3070" t="s">
        <v>3295</v>
      </c>
      <c r="BL71" s="3070" t="s">
        <v>3848</v>
      </c>
      <c r="BM71" s="3070" t="s">
        <v>3841</v>
      </c>
      <c r="BN71" s="3070">
        <v>100</v>
      </c>
      <c r="BR71" s="3070">
        <v>609</v>
      </c>
      <c r="BS71" s="3070" t="s">
        <v>3238</v>
      </c>
      <c r="BT71" s="3070" t="s">
        <v>3086</v>
      </c>
      <c r="BZ71" s="3073">
        <v>44142.634027777778</v>
      </c>
      <c r="CA71" s="3070">
        <v>10</v>
      </c>
      <c r="CB71" s="3070" t="s">
        <v>3086</v>
      </c>
      <c r="CD71" s="3070" t="s">
        <v>3239</v>
      </c>
      <c r="CF71" s="3070" t="s">
        <v>3091</v>
      </c>
      <c r="CH71" s="3070" t="s">
        <v>3240</v>
      </c>
      <c r="CI71" s="3070">
        <v>0</v>
      </c>
      <c r="CK71" s="3070" t="s">
        <v>3722</v>
      </c>
      <c r="CL71" s="3070" t="s">
        <v>3722</v>
      </c>
      <c r="CM71" s="3070">
        <v>1157958.72</v>
      </c>
      <c r="CV71" s="3070" t="s">
        <v>3229</v>
      </c>
      <c r="CW71" s="3070" t="s">
        <v>3849</v>
      </c>
      <c r="CZ71" s="3070">
        <v>213894.57</v>
      </c>
      <c r="DA71" s="3070">
        <v>159426.93</v>
      </c>
      <c r="DB71" s="3070">
        <v>0</v>
      </c>
      <c r="DC71" s="3070">
        <v>0</v>
      </c>
      <c r="DD71" s="3070">
        <v>3290547602</v>
      </c>
      <c r="DE71" s="3070">
        <v>2764253109</v>
      </c>
      <c r="DF71" s="3070">
        <v>1464966739</v>
      </c>
      <c r="DG71" s="3070">
        <v>14938370</v>
      </c>
      <c r="DH71" s="3070">
        <v>1284348000</v>
      </c>
      <c r="DI71" s="3070">
        <v>1278128000</v>
      </c>
      <c r="DJ71" s="3070">
        <v>6220000</v>
      </c>
      <c r="DK71" s="3070">
        <v>0</v>
      </c>
      <c r="DL71" s="3070">
        <v>0</v>
      </c>
      <c r="DM71" s="3070">
        <v>25491817.620000001</v>
      </c>
      <c r="DN71" s="3070">
        <v>2764253109</v>
      </c>
      <c r="DP71" s="3070">
        <v>2764253109</v>
      </c>
    </row>
    <row r="72" spans="1:120">
      <c r="A72" s="3070">
        <v>71</v>
      </c>
      <c r="B72" s="3070" t="s">
        <v>3224</v>
      </c>
      <c r="C72" s="3070">
        <v>10</v>
      </c>
      <c r="E72" s="3070">
        <v>1003</v>
      </c>
      <c r="F72" s="3070" t="s">
        <v>3850</v>
      </c>
      <c r="G72" s="3070" t="s">
        <v>3851</v>
      </c>
      <c r="H72" s="3070">
        <v>1274924</v>
      </c>
      <c r="I72" s="3070">
        <v>1274924</v>
      </c>
      <c r="J72" s="3070">
        <v>102.67</v>
      </c>
      <c r="K72" s="3070">
        <v>74.61</v>
      </c>
      <c r="L72" s="3070">
        <v>0</v>
      </c>
      <c r="M72" s="3070">
        <v>0</v>
      </c>
      <c r="N72" s="3070">
        <v>15344.44</v>
      </c>
      <c r="O72" s="3070">
        <v>1575414</v>
      </c>
      <c r="P72" s="3070">
        <v>12417.69</v>
      </c>
      <c r="Q72" s="3070">
        <v>1274924</v>
      </c>
      <c r="R72" s="3070" t="s">
        <v>3227</v>
      </c>
      <c r="S72" s="3070" t="s">
        <v>3852</v>
      </c>
      <c r="T72" s="3070" t="s">
        <v>3258</v>
      </c>
      <c r="U72" s="3070" t="s">
        <v>3259</v>
      </c>
      <c r="V72" s="3070" t="s">
        <v>3230</v>
      </c>
      <c r="Y72" s="3070">
        <v>524924</v>
      </c>
      <c r="Z72" s="3070">
        <v>524924</v>
      </c>
      <c r="AA72" s="3070">
        <v>524924</v>
      </c>
      <c r="AB72" s="3070">
        <v>0</v>
      </c>
      <c r="AC72" s="3070">
        <v>750000</v>
      </c>
      <c r="AD72" s="3070">
        <v>750000</v>
      </c>
      <c r="AE72" s="3070">
        <v>0</v>
      </c>
      <c r="AI72" s="3070" t="s">
        <v>3227</v>
      </c>
      <c r="AJ72" s="3070">
        <v>0</v>
      </c>
      <c r="AK72" s="3070">
        <v>0</v>
      </c>
      <c r="AL72" s="3070">
        <v>0</v>
      </c>
      <c r="AM72" s="3070">
        <v>12417.69</v>
      </c>
      <c r="AN72" s="3070">
        <v>1274924</v>
      </c>
      <c r="AP72" s="3070">
        <v>1274924</v>
      </c>
      <c r="AQ72" s="3072">
        <v>45138</v>
      </c>
      <c r="AT72" s="3073">
        <v>45678</v>
      </c>
      <c r="AV72" s="3070" t="s">
        <v>3853</v>
      </c>
      <c r="AW72" s="3070" t="s">
        <v>3854</v>
      </c>
      <c r="AX72" s="3070" t="s">
        <v>3855</v>
      </c>
      <c r="AY72" s="3070" t="s">
        <v>3856</v>
      </c>
      <c r="BC72" s="3070" t="s">
        <v>3263</v>
      </c>
      <c r="BD72" s="3070" t="s">
        <v>3077</v>
      </c>
      <c r="BI72" s="3070" t="s">
        <v>3295</v>
      </c>
      <c r="BJ72" s="3070" t="s">
        <v>3296</v>
      </c>
      <c r="BL72" s="3070" t="s">
        <v>3857</v>
      </c>
      <c r="BM72" s="3070" t="s">
        <v>3841</v>
      </c>
      <c r="BN72" s="3070">
        <v>100</v>
      </c>
      <c r="BO72" s="3070" t="s">
        <v>3253</v>
      </c>
      <c r="BP72" s="3070" t="s">
        <v>3253</v>
      </c>
      <c r="BR72" s="3070">
        <v>0</v>
      </c>
      <c r="BS72" s="3070" t="s">
        <v>3238</v>
      </c>
      <c r="BT72" s="3070" t="s">
        <v>3086</v>
      </c>
      <c r="BZ72" s="3073">
        <v>44147.62222222222</v>
      </c>
      <c r="CA72" s="3070">
        <v>10</v>
      </c>
      <c r="CB72" s="3070" t="s">
        <v>3086</v>
      </c>
      <c r="CD72" s="3070" t="s">
        <v>3239</v>
      </c>
      <c r="CF72" s="3070" t="s">
        <v>3091</v>
      </c>
      <c r="CH72" s="3070" t="s">
        <v>3240</v>
      </c>
      <c r="CI72" s="3070">
        <v>0</v>
      </c>
      <c r="CJ72" s="3070" t="s">
        <v>3259</v>
      </c>
      <c r="CK72" s="3070" t="s">
        <v>3856</v>
      </c>
      <c r="CL72" s="3070" t="s">
        <v>3856</v>
      </c>
      <c r="CM72" s="3070">
        <v>1169655.05</v>
      </c>
      <c r="CV72" s="3070" t="s">
        <v>3258</v>
      </c>
      <c r="CW72" s="3070" t="s">
        <v>3858</v>
      </c>
      <c r="CZ72" s="3070">
        <v>213894.57</v>
      </c>
      <c r="DA72" s="3070">
        <v>159426.93</v>
      </c>
      <c r="DB72" s="3070">
        <v>0</v>
      </c>
      <c r="DC72" s="3070">
        <v>0</v>
      </c>
      <c r="DD72" s="3070">
        <v>3290547602</v>
      </c>
      <c r="DE72" s="3070">
        <v>2764253109</v>
      </c>
      <c r="DF72" s="3070">
        <v>1464966739</v>
      </c>
      <c r="DG72" s="3070">
        <v>14938370</v>
      </c>
      <c r="DH72" s="3070">
        <v>1284348000</v>
      </c>
      <c r="DI72" s="3070">
        <v>1278128000</v>
      </c>
      <c r="DJ72" s="3070">
        <v>6220000</v>
      </c>
      <c r="DK72" s="3070">
        <v>0</v>
      </c>
      <c r="DL72" s="3070">
        <v>0</v>
      </c>
      <c r="DM72" s="3070">
        <v>25491817.620000001</v>
      </c>
      <c r="DN72" s="3070">
        <v>2764253109</v>
      </c>
      <c r="DP72" s="3070">
        <v>2764253109</v>
      </c>
    </row>
    <row r="73" spans="1:120">
      <c r="A73" s="3070">
        <v>72</v>
      </c>
      <c r="B73" s="3070" t="s">
        <v>3224</v>
      </c>
      <c r="C73" s="3070">
        <v>10</v>
      </c>
      <c r="E73" s="3070">
        <v>1004</v>
      </c>
      <c r="F73" s="3070" t="s">
        <v>3859</v>
      </c>
      <c r="G73" s="3070" t="s">
        <v>3860</v>
      </c>
      <c r="H73" s="3070">
        <v>1405026</v>
      </c>
      <c r="I73" s="3070">
        <v>1405026</v>
      </c>
      <c r="J73" s="3070">
        <v>114.02</v>
      </c>
      <c r="K73" s="3070">
        <v>82.85</v>
      </c>
      <c r="L73" s="3070">
        <v>0</v>
      </c>
      <c r="M73" s="3070">
        <v>0</v>
      </c>
      <c r="N73" s="3070">
        <v>15244.44</v>
      </c>
      <c r="O73" s="3070">
        <v>1738171</v>
      </c>
      <c r="P73" s="3070">
        <v>12322.63</v>
      </c>
      <c r="Q73" s="3070">
        <v>1405026</v>
      </c>
      <c r="R73" s="3070" t="s">
        <v>3227</v>
      </c>
      <c r="S73" s="3070" t="s">
        <v>3861</v>
      </c>
      <c r="T73" s="3070" t="s">
        <v>3246</v>
      </c>
      <c r="U73" s="3070" t="s">
        <v>3279</v>
      </c>
      <c r="V73" s="3070" t="s">
        <v>3230</v>
      </c>
      <c r="Y73" s="3070">
        <v>725026</v>
      </c>
      <c r="Z73" s="3070">
        <v>725026</v>
      </c>
      <c r="AA73" s="3070">
        <v>725026</v>
      </c>
      <c r="AB73" s="3070">
        <v>0</v>
      </c>
      <c r="AC73" s="3070">
        <v>680000</v>
      </c>
      <c r="AD73" s="3070">
        <v>680000</v>
      </c>
      <c r="AE73" s="3070">
        <v>0</v>
      </c>
      <c r="AI73" s="3070" t="s">
        <v>3227</v>
      </c>
      <c r="AJ73" s="3070">
        <v>0</v>
      </c>
      <c r="AK73" s="3070">
        <v>0</v>
      </c>
      <c r="AL73" s="3070">
        <v>0</v>
      </c>
      <c r="AM73" s="3070">
        <v>12322.63</v>
      </c>
      <c r="AN73" s="3070">
        <v>1405026</v>
      </c>
      <c r="AP73" s="3070">
        <v>1405026</v>
      </c>
      <c r="AQ73" s="3072">
        <v>45138</v>
      </c>
      <c r="AT73" s="3073">
        <v>45678</v>
      </c>
      <c r="AV73" s="3070" t="s">
        <v>3862</v>
      </c>
      <c r="AW73" s="3070" t="s">
        <v>3863</v>
      </c>
      <c r="AX73" s="3070" t="s">
        <v>3864</v>
      </c>
      <c r="AY73" s="3070" t="s">
        <v>3419</v>
      </c>
      <c r="BC73" s="3070" t="s">
        <v>3284</v>
      </c>
      <c r="BD73" s="3070" t="s">
        <v>3077</v>
      </c>
      <c r="BI73" s="3070" t="s">
        <v>3235</v>
      </c>
      <c r="BJ73" s="3070" t="s">
        <v>3338</v>
      </c>
      <c r="BL73" s="3070" t="s">
        <v>3865</v>
      </c>
      <c r="BM73" s="3070" t="s">
        <v>3841</v>
      </c>
      <c r="BN73" s="3070">
        <v>100</v>
      </c>
      <c r="BO73" s="3070" t="s">
        <v>3253</v>
      </c>
      <c r="BR73" s="3070">
        <v>413</v>
      </c>
      <c r="BS73" s="3070" t="s">
        <v>3238</v>
      </c>
      <c r="BT73" s="3070" t="s">
        <v>3086</v>
      </c>
      <c r="BZ73" s="3073">
        <v>44142.761805555558</v>
      </c>
      <c r="CA73" s="3070">
        <v>10</v>
      </c>
      <c r="CB73" s="3070" t="s">
        <v>3086</v>
      </c>
      <c r="CD73" s="3070" t="s">
        <v>3239</v>
      </c>
      <c r="CF73" s="3070" t="s">
        <v>3091</v>
      </c>
      <c r="CH73" s="3070" t="s">
        <v>3240</v>
      </c>
      <c r="CI73" s="3070">
        <v>0</v>
      </c>
      <c r="CK73" s="3070" t="s">
        <v>3419</v>
      </c>
      <c r="CL73" s="3070" t="s">
        <v>3419</v>
      </c>
      <c r="CM73" s="3070">
        <v>1289014.68</v>
      </c>
      <c r="CV73" s="3070" t="s">
        <v>3246</v>
      </c>
      <c r="CW73" s="3070" t="s">
        <v>3866</v>
      </c>
      <c r="CZ73" s="3070">
        <v>213894.57</v>
      </c>
      <c r="DA73" s="3070">
        <v>159426.93</v>
      </c>
      <c r="DB73" s="3070">
        <v>0</v>
      </c>
      <c r="DC73" s="3070">
        <v>0</v>
      </c>
      <c r="DD73" s="3070">
        <v>3290547602</v>
      </c>
      <c r="DE73" s="3070">
        <v>2764253109</v>
      </c>
      <c r="DF73" s="3070">
        <v>1464966739</v>
      </c>
      <c r="DG73" s="3070">
        <v>14938370</v>
      </c>
      <c r="DH73" s="3070">
        <v>1284348000</v>
      </c>
      <c r="DI73" s="3070">
        <v>1278128000</v>
      </c>
      <c r="DJ73" s="3070">
        <v>6220000</v>
      </c>
      <c r="DK73" s="3070">
        <v>0</v>
      </c>
      <c r="DL73" s="3070">
        <v>0</v>
      </c>
      <c r="DM73" s="3070">
        <v>25491817.620000001</v>
      </c>
      <c r="DN73" s="3070">
        <v>2764253109</v>
      </c>
      <c r="DP73" s="3070">
        <v>2764253109</v>
      </c>
    </row>
    <row r="74" spans="1:120">
      <c r="A74" s="3070">
        <v>73</v>
      </c>
      <c r="B74" s="3070" t="s">
        <v>3224</v>
      </c>
      <c r="C74" s="3070">
        <v>10</v>
      </c>
      <c r="E74" s="3070">
        <v>101</v>
      </c>
      <c r="F74" s="3070" t="s">
        <v>3867</v>
      </c>
      <c r="G74" s="3070" t="s">
        <v>3868</v>
      </c>
      <c r="H74" s="3070">
        <v>1352135</v>
      </c>
      <c r="I74" s="3070">
        <v>1352135</v>
      </c>
      <c r="J74" s="3070">
        <v>114.13</v>
      </c>
      <c r="K74" s="3070">
        <v>82.93</v>
      </c>
      <c r="L74" s="3070">
        <v>0</v>
      </c>
      <c r="M74" s="3070">
        <v>0</v>
      </c>
      <c r="N74" s="3070">
        <v>14744.44</v>
      </c>
      <c r="O74" s="3070">
        <v>1682783</v>
      </c>
      <c r="P74" s="3070">
        <v>11847.32</v>
      </c>
      <c r="Q74" s="3070">
        <v>1352135</v>
      </c>
      <c r="R74" s="3070" t="s">
        <v>3227</v>
      </c>
      <c r="S74" s="3070" t="s">
        <v>3869</v>
      </c>
      <c r="T74" s="3070" t="s">
        <v>3246</v>
      </c>
      <c r="U74" s="3070" t="s">
        <v>3279</v>
      </c>
      <c r="V74" s="3070" t="s">
        <v>3230</v>
      </c>
      <c r="Y74" s="3070">
        <v>412135</v>
      </c>
      <c r="Z74" s="3070">
        <v>412135</v>
      </c>
      <c r="AA74" s="3070">
        <v>412135</v>
      </c>
      <c r="AB74" s="3070">
        <v>0</v>
      </c>
      <c r="AC74" s="3070">
        <v>940000</v>
      </c>
      <c r="AD74" s="3070">
        <v>940000</v>
      </c>
      <c r="AE74" s="3070">
        <v>0</v>
      </c>
      <c r="AI74" s="3070" t="s">
        <v>3227</v>
      </c>
      <c r="AJ74" s="3070">
        <v>0</v>
      </c>
      <c r="AK74" s="3070">
        <v>0</v>
      </c>
      <c r="AL74" s="3070">
        <v>0</v>
      </c>
      <c r="AM74" s="3070">
        <v>11847.32</v>
      </c>
      <c r="AN74" s="3070">
        <v>1352135</v>
      </c>
      <c r="AP74" s="3070">
        <v>1352135</v>
      </c>
      <c r="AQ74" s="3072">
        <v>45138</v>
      </c>
      <c r="AT74" s="3073">
        <v>45678</v>
      </c>
      <c r="AV74" s="3070" t="s">
        <v>3870</v>
      </c>
      <c r="AW74" s="3070" t="s">
        <v>3871</v>
      </c>
      <c r="AX74" s="3070" t="s">
        <v>3872</v>
      </c>
      <c r="AY74" s="3070" t="s">
        <v>3656</v>
      </c>
      <c r="BC74" s="3070" t="s">
        <v>3284</v>
      </c>
      <c r="BD74" s="3070" t="s">
        <v>3077</v>
      </c>
      <c r="BI74" s="3070" t="s">
        <v>3235</v>
      </c>
      <c r="BJ74" s="3070" t="s">
        <v>3296</v>
      </c>
      <c r="BL74" s="3070" t="s">
        <v>3873</v>
      </c>
      <c r="BM74" s="3070" t="s">
        <v>3841</v>
      </c>
      <c r="BN74" s="3070">
        <v>101</v>
      </c>
      <c r="BO74" s="3070" t="s">
        <v>3253</v>
      </c>
      <c r="BR74" s="3070">
        <v>242</v>
      </c>
      <c r="BS74" s="3070" t="s">
        <v>3238</v>
      </c>
      <c r="BT74" s="3070" t="s">
        <v>3086</v>
      </c>
      <c r="BZ74" s="3073">
        <v>44142.686805555553</v>
      </c>
      <c r="CA74" s="3070">
        <v>10</v>
      </c>
      <c r="CB74" s="3070" t="s">
        <v>3086</v>
      </c>
      <c r="CD74" s="3070" t="s">
        <v>3239</v>
      </c>
      <c r="CF74" s="3070" t="s">
        <v>3091</v>
      </c>
      <c r="CH74" s="3070" t="s">
        <v>3240</v>
      </c>
      <c r="CI74" s="3070">
        <v>0</v>
      </c>
      <c r="CK74" s="3070" t="s">
        <v>3656</v>
      </c>
      <c r="CL74" s="3070" t="s">
        <v>3656</v>
      </c>
      <c r="CM74" s="3070">
        <v>1240490.83</v>
      </c>
      <c r="CV74" s="3070" t="s">
        <v>3246</v>
      </c>
      <c r="CW74" s="3070" t="s">
        <v>3874</v>
      </c>
      <c r="CX74" s="3070" t="s">
        <v>3510</v>
      </c>
      <c r="CZ74" s="3070">
        <v>213894.57</v>
      </c>
      <c r="DA74" s="3070">
        <v>159426.93</v>
      </c>
      <c r="DB74" s="3070">
        <v>0</v>
      </c>
      <c r="DC74" s="3070">
        <v>0</v>
      </c>
      <c r="DD74" s="3070">
        <v>3290547602</v>
      </c>
      <c r="DE74" s="3070">
        <v>2764253109</v>
      </c>
      <c r="DF74" s="3070">
        <v>1464966739</v>
      </c>
      <c r="DG74" s="3070">
        <v>14938370</v>
      </c>
      <c r="DH74" s="3070">
        <v>1284348000</v>
      </c>
      <c r="DI74" s="3070">
        <v>1278128000</v>
      </c>
      <c r="DJ74" s="3070">
        <v>6220000</v>
      </c>
      <c r="DK74" s="3070">
        <v>0</v>
      </c>
      <c r="DL74" s="3070">
        <v>0</v>
      </c>
      <c r="DM74" s="3070">
        <v>25491817.620000001</v>
      </c>
      <c r="DN74" s="3070">
        <v>2764253109</v>
      </c>
      <c r="DP74" s="3070">
        <v>2764253109</v>
      </c>
    </row>
    <row r="75" spans="1:120">
      <c r="A75" s="3070">
        <v>74</v>
      </c>
      <c r="B75" s="3070" t="s">
        <v>3224</v>
      </c>
      <c r="C75" s="3070">
        <v>10</v>
      </c>
      <c r="E75" s="3070">
        <v>104</v>
      </c>
      <c r="F75" s="3070" t="s">
        <v>3875</v>
      </c>
      <c r="G75" s="3070" t="s">
        <v>3876</v>
      </c>
      <c r="H75" s="3070">
        <v>1075438</v>
      </c>
      <c r="I75" s="3070">
        <v>1075438</v>
      </c>
      <c r="J75" s="3070">
        <v>119.41</v>
      </c>
      <c r="K75" s="3070">
        <v>86.77</v>
      </c>
      <c r="L75" s="3070">
        <v>0</v>
      </c>
      <c r="M75" s="3070">
        <v>0</v>
      </c>
      <c r="N75" s="3070">
        <v>14694.44</v>
      </c>
      <c r="O75" s="3070">
        <v>1754663</v>
      </c>
      <c r="P75" s="3070">
        <v>9006.26</v>
      </c>
      <c r="Q75" s="3070">
        <v>1075438</v>
      </c>
      <c r="R75" s="3070" t="s">
        <v>3227</v>
      </c>
      <c r="S75" s="3070" t="s">
        <v>3877</v>
      </c>
      <c r="T75" s="3070" t="s">
        <v>3878</v>
      </c>
      <c r="U75" s="3070" t="s">
        <v>3279</v>
      </c>
      <c r="V75" s="3070" t="s">
        <v>3230</v>
      </c>
      <c r="Y75" s="3070">
        <v>545438</v>
      </c>
      <c r="Z75" s="3070">
        <v>545438</v>
      </c>
      <c r="AA75" s="3070">
        <v>545438</v>
      </c>
      <c r="AB75" s="3070">
        <v>0</v>
      </c>
      <c r="AC75" s="3070">
        <v>530000</v>
      </c>
      <c r="AD75" s="3070">
        <v>530000</v>
      </c>
      <c r="AE75" s="3070">
        <v>0</v>
      </c>
      <c r="AI75" s="3070" t="s">
        <v>3227</v>
      </c>
      <c r="AJ75" s="3070">
        <v>0</v>
      </c>
      <c r="AK75" s="3070">
        <v>0</v>
      </c>
      <c r="AL75" s="3070">
        <v>0</v>
      </c>
      <c r="AM75" s="3070">
        <v>9006.26</v>
      </c>
      <c r="AN75" s="3070">
        <v>1075438</v>
      </c>
      <c r="AP75" s="3070">
        <v>1075438</v>
      </c>
      <c r="AQ75" s="3072">
        <v>45138</v>
      </c>
      <c r="AT75" s="3073">
        <v>45678</v>
      </c>
      <c r="AV75" s="3074">
        <v>3.21E+17</v>
      </c>
      <c r="AW75" s="3070" t="s">
        <v>3879</v>
      </c>
      <c r="AX75" s="3070" t="s">
        <v>3880</v>
      </c>
      <c r="AY75" s="3070" t="s">
        <v>3587</v>
      </c>
      <c r="BC75" s="3070" t="s">
        <v>3881</v>
      </c>
      <c r="BD75" s="3070" t="s">
        <v>3077</v>
      </c>
      <c r="BI75" s="3070" t="s">
        <v>3235</v>
      </c>
      <c r="BJ75" s="3070" t="s">
        <v>3296</v>
      </c>
      <c r="BL75" s="3070" t="s">
        <v>3882</v>
      </c>
      <c r="BM75" s="3070" t="s">
        <v>3841</v>
      </c>
      <c r="BN75" s="3070">
        <v>104</v>
      </c>
      <c r="BO75" s="3070" t="s">
        <v>3253</v>
      </c>
      <c r="BR75" s="3070">
        <v>0</v>
      </c>
      <c r="BS75" s="3070" t="s">
        <v>3238</v>
      </c>
      <c r="BT75" s="3070" t="s">
        <v>3086</v>
      </c>
      <c r="BZ75" s="3073">
        <v>44262.388194444444</v>
      </c>
      <c r="CA75" s="3070">
        <v>10</v>
      </c>
      <c r="CB75" s="3070" t="s">
        <v>3086</v>
      </c>
      <c r="CD75" s="3070" t="s">
        <v>3239</v>
      </c>
      <c r="CF75" s="3070" t="s">
        <v>3091</v>
      </c>
      <c r="CH75" s="3070" t="s">
        <v>3240</v>
      </c>
      <c r="CI75" s="3070">
        <v>0</v>
      </c>
      <c r="CK75" s="3070" t="s">
        <v>3883</v>
      </c>
      <c r="CL75" s="3070" t="s">
        <v>3587</v>
      </c>
      <c r="CM75" s="3070">
        <v>986640.37</v>
      </c>
      <c r="CV75" s="3070" t="s">
        <v>3246</v>
      </c>
      <c r="CW75" s="3070" t="s">
        <v>3884</v>
      </c>
      <c r="CX75" s="3070" t="s">
        <v>3242</v>
      </c>
      <c r="CZ75" s="3070">
        <v>213894.57</v>
      </c>
      <c r="DA75" s="3070">
        <v>159426.93</v>
      </c>
      <c r="DB75" s="3070">
        <v>0</v>
      </c>
      <c r="DC75" s="3070">
        <v>0</v>
      </c>
      <c r="DD75" s="3070">
        <v>3290547602</v>
      </c>
      <c r="DE75" s="3070">
        <v>2764253109</v>
      </c>
      <c r="DF75" s="3070">
        <v>1464966739</v>
      </c>
      <c r="DG75" s="3070">
        <v>14938370</v>
      </c>
      <c r="DH75" s="3070">
        <v>1284348000</v>
      </c>
      <c r="DI75" s="3070">
        <v>1278128000</v>
      </c>
      <c r="DJ75" s="3070">
        <v>6220000</v>
      </c>
      <c r="DK75" s="3070">
        <v>0</v>
      </c>
      <c r="DL75" s="3070">
        <v>0</v>
      </c>
      <c r="DM75" s="3070">
        <v>25491817.620000001</v>
      </c>
      <c r="DN75" s="3070">
        <v>2764253109</v>
      </c>
      <c r="DP75" s="3070">
        <v>2764253109</v>
      </c>
    </row>
    <row r="76" spans="1:120">
      <c r="A76" s="3070">
        <v>75</v>
      </c>
      <c r="B76" s="3070" t="s">
        <v>3224</v>
      </c>
      <c r="C76" s="3070">
        <v>10</v>
      </c>
      <c r="E76" s="3070">
        <v>1101</v>
      </c>
      <c r="F76" s="3070" t="s">
        <v>3885</v>
      </c>
      <c r="G76" s="3070" t="s">
        <v>3886</v>
      </c>
      <c r="H76" s="3070">
        <v>1415865</v>
      </c>
      <c r="I76" s="3070">
        <v>1415865</v>
      </c>
      <c r="J76" s="3070">
        <v>114.02</v>
      </c>
      <c r="K76" s="3070">
        <v>82.85</v>
      </c>
      <c r="L76" s="3070">
        <v>0</v>
      </c>
      <c r="M76" s="3070">
        <v>0</v>
      </c>
      <c r="N76" s="3070">
        <v>15344.44</v>
      </c>
      <c r="O76" s="3070">
        <v>1749573</v>
      </c>
      <c r="P76" s="3070">
        <v>12417.69</v>
      </c>
      <c r="Q76" s="3070">
        <v>1415865</v>
      </c>
      <c r="R76" s="3070" t="s">
        <v>3227</v>
      </c>
      <c r="S76" s="3070" t="s">
        <v>3887</v>
      </c>
      <c r="T76" s="3070" t="s">
        <v>3246</v>
      </c>
      <c r="U76" s="3070" t="s">
        <v>3247</v>
      </c>
      <c r="V76" s="3070" t="s">
        <v>3230</v>
      </c>
      <c r="Y76" s="3070">
        <v>425865</v>
      </c>
      <c r="Z76" s="3070">
        <v>425865</v>
      </c>
      <c r="AA76" s="3070">
        <v>425865</v>
      </c>
      <c r="AB76" s="3070">
        <v>0</v>
      </c>
      <c r="AC76" s="3070">
        <v>990000</v>
      </c>
      <c r="AD76" s="3070">
        <v>990000</v>
      </c>
      <c r="AE76" s="3070">
        <v>0</v>
      </c>
      <c r="AI76" s="3070" t="s">
        <v>3227</v>
      </c>
      <c r="AJ76" s="3070">
        <v>0</v>
      </c>
      <c r="AK76" s="3070">
        <v>0</v>
      </c>
      <c r="AL76" s="3070">
        <v>0</v>
      </c>
      <c r="AM76" s="3070">
        <v>12417.69</v>
      </c>
      <c r="AN76" s="3070">
        <v>1415865</v>
      </c>
      <c r="AP76" s="3070">
        <v>1415865</v>
      </c>
      <c r="AQ76" s="3072">
        <v>45138</v>
      </c>
      <c r="AT76" s="3073">
        <v>45678</v>
      </c>
      <c r="AV76" s="3070" t="s">
        <v>3888</v>
      </c>
      <c r="AW76" s="3070" t="s">
        <v>3889</v>
      </c>
      <c r="AX76" s="3070" t="s">
        <v>3890</v>
      </c>
      <c r="AY76" s="3070" t="s">
        <v>3393</v>
      </c>
      <c r="BC76" s="3070" t="s">
        <v>3284</v>
      </c>
      <c r="BD76" s="3070" t="s">
        <v>3077</v>
      </c>
      <c r="BI76" s="3070" t="s">
        <v>3235</v>
      </c>
      <c r="BJ76" s="3070" t="s">
        <v>3296</v>
      </c>
      <c r="BL76" s="3070" t="s">
        <v>3891</v>
      </c>
      <c r="BM76" s="3070" t="s">
        <v>3841</v>
      </c>
      <c r="BN76" s="3070">
        <v>110</v>
      </c>
      <c r="BO76" s="3070" t="s">
        <v>3253</v>
      </c>
      <c r="BR76" s="3070">
        <v>427</v>
      </c>
      <c r="BS76" s="3070" t="s">
        <v>3238</v>
      </c>
      <c r="BT76" s="3070" t="s">
        <v>3086</v>
      </c>
      <c r="BZ76" s="3073">
        <v>44142.762499999997</v>
      </c>
      <c r="CA76" s="3070">
        <v>10</v>
      </c>
      <c r="CB76" s="3070" t="s">
        <v>3086</v>
      </c>
      <c r="CD76" s="3070" t="s">
        <v>3239</v>
      </c>
      <c r="CF76" s="3070" t="s">
        <v>3091</v>
      </c>
      <c r="CH76" s="3070" t="s">
        <v>3240</v>
      </c>
      <c r="CI76" s="3070">
        <v>0</v>
      </c>
      <c r="CK76" s="3070" t="s">
        <v>3892</v>
      </c>
      <c r="CL76" s="3070" t="s">
        <v>3393</v>
      </c>
      <c r="CM76" s="3070">
        <v>1298958.72</v>
      </c>
      <c r="CV76" s="3070" t="s">
        <v>3246</v>
      </c>
      <c r="CW76" s="3070" t="s">
        <v>3893</v>
      </c>
      <c r="CX76" s="3070" t="s">
        <v>3311</v>
      </c>
      <c r="CZ76" s="3070">
        <v>213894.57</v>
      </c>
      <c r="DA76" s="3070">
        <v>159426.93</v>
      </c>
      <c r="DB76" s="3070">
        <v>0</v>
      </c>
      <c r="DC76" s="3070">
        <v>0</v>
      </c>
      <c r="DD76" s="3070">
        <v>3290547602</v>
      </c>
      <c r="DE76" s="3070">
        <v>2764253109</v>
      </c>
      <c r="DF76" s="3070">
        <v>1464966739</v>
      </c>
      <c r="DG76" s="3070">
        <v>14938370</v>
      </c>
      <c r="DH76" s="3070">
        <v>1284348000</v>
      </c>
      <c r="DI76" s="3070">
        <v>1278128000</v>
      </c>
      <c r="DJ76" s="3070">
        <v>6220000</v>
      </c>
      <c r="DK76" s="3070">
        <v>0</v>
      </c>
      <c r="DL76" s="3070">
        <v>0</v>
      </c>
      <c r="DM76" s="3070">
        <v>25491817.620000001</v>
      </c>
      <c r="DN76" s="3070">
        <v>2764253109</v>
      </c>
      <c r="DP76" s="3070">
        <v>2764253109</v>
      </c>
    </row>
    <row r="77" spans="1:120">
      <c r="A77" s="3070">
        <v>76</v>
      </c>
      <c r="B77" s="3070" t="s">
        <v>3224</v>
      </c>
      <c r="C77" s="3070">
        <v>10</v>
      </c>
      <c r="E77" s="3070">
        <v>1102</v>
      </c>
      <c r="F77" s="3070" t="s">
        <v>3894</v>
      </c>
      <c r="G77" s="3070" t="s">
        <v>3895</v>
      </c>
      <c r="H77" s="3070">
        <v>1279804</v>
      </c>
      <c r="I77" s="3070">
        <v>1279804</v>
      </c>
      <c r="J77" s="3070">
        <v>102.67</v>
      </c>
      <c r="K77" s="3070">
        <v>74.61</v>
      </c>
      <c r="L77" s="3070">
        <v>0</v>
      </c>
      <c r="M77" s="3070">
        <v>0</v>
      </c>
      <c r="N77" s="3070">
        <v>15394.44</v>
      </c>
      <c r="O77" s="3070">
        <v>1580547</v>
      </c>
      <c r="P77" s="3070">
        <v>12465.22</v>
      </c>
      <c r="Q77" s="3070">
        <v>1279804</v>
      </c>
      <c r="R77" s="3070" t="s">
        <v>3227</v>
      </c>
      <c r="S77" s="3070" t="s">
        <v>3896</v>
      </c>
      <c r="T77" s="3070" t="s">
        <v>3246</v>
      </c>
      <c r="U77" s="3070" t="s">
        <v>3539</v>
      </c>
      <c r="V77" s="3070" t="s">
        <v>3230</v>
      </c>
      <c r="Y77" s="3070">
        <v>389804</v>
      </c>
      <c r="Z77" s="3070">
        <v>389804</v>
      </c>
      <c r="AA77" s="3070">
        <v>389804</v>
      </c>
      <c r="AB77" s="3070">
        <v>0</v>
      </c>
      <c r="AC77" s="3070">
        <v>890000</v>
      </c>
      <c r="AD77" s="3070">
        <v>890000</v>
      </c>
      <c r="AE77" s="3070">
        <v>0</v>
      </c>
      <c r="AI77" s="3070" t="s">
        <v>3227</v>
      </c>
      <c r="AJ77" s="3070">
        <v>0</v>
      </c>
      <c r="AK77" s="3070">
        <v>0</v>
      </c>
      <c r="AL77" s="3070">
        <v>0</v>
      </c>
      <c r="AM77" s="3070">
        <v>12465.22</v>
      </c>
      <c r="AN77" s="3070">
        <v>1279804</v>
      </c>
      <c r="AP77" s="3070">
        <v>1279804</v>
      </c>
      <c r="AQ77" s="3072">
        <v>45138</v>
      </c>
      <c r="AT77" s="3073">
        <v>45678</v>
      </c>
      <c r="AV77" s="3070" t="s">
        <v>3897</v>
      </c>
      <c r="AW77" s="3070" t="s">
        <v>3898</v>
      </c>
      <c r="AX77" s="3070" t="s">
        <v>3899</v>
      </c>
      <c r="AY77" s="3070" t="s">
        <v>3597</v>
      </c>
      <c r="BC77" s="3070" t="s">
        <v>3284</v>
      </c>
      <c r="BD77" s="3070" t="s">
        <v>3077</v>
      </c>
      <c r="BI77" s="3070" t="s">
        <v>3235</v>
      </c>
      <c r="BJ77" s="3070" t="s">
        <v>3338</v>
      </c>
      <c r="BL77" s="3070" t="s">
        <v>3900</v>
      </c>
      <c r="BM77" s="3070" t="s">
        <v>3841</v>
      </c>
      <c r="BN77" s="3070">
        <v>110</v>
      </c>
      <c r="BO77" s="3070" t="s">
        <v>3253</v>
      </c>
      <c r="BR77" s="3070">
        <v>536</v>
      </c>
      <c r="BS77" s="3070" t="s">
        <v>3238</v>
      </c>
      <c r="BT77" s="3070" t="s">
        <v>3086</v>
      </c>
      <c r="BZ77" s="3073">
        <v>44142.644444444442</v>
      </c>
      <c r="CA77" s="3070">
        <v>10</v>
      </c>
      <c r="CB77" s="3070" t="s">
        <v>3086</v>
      </c>
      <c r="CD77" s="3070" t="s">
        <v>3239</v>
      </c>
      <c r="CF77" s="3070" t="s">
        <v>3091</v>
      </c>
      <c r="CH77" s="3070" t="s">
        <v>3240</v>
      </c>
      <c r="CI77" s="3070">
        <v>0</v>
      </c>
      <c r="CK77" s="3070" t="s">
        <v>3597</v>
      </c>
      <c r="CL77" s="3070" t="s">
        <v>3597</v>
      </c>
      <c r="CM77" s="3070">
        <v>1174132.1100000001</v>
      </c>
      <c r="CV77" s="3070" t="s">
        <v>3246</v>
      </c>
      <c r="CW77" s="3070" t="s">
        <v>3901</v>
      </c>
      <c r="CZ77" s="3070">
        <v>213894.57</v>
      </c>
      <c r="DA77" s="3070">
        <v>159426.93</v>
      </c>
      <c r="DB77" s="3070">
        <v>0</v>
      </c>
      <c r="DC77" s="3070">
        <v>0</v>
      </c>
      <c r="DD77" s="3070">
        <v>3290547602</v>
      </c>
      <c r="DE77" s="3070">
        <v>2764253109</v>
      </c>
      <c r="DF77" s="3070">
        <v>1464966739</v>
      </c>
      <c r="DG77" s="3070">
        <v>14938370</v>
      </c>
      <c r="DH77" s="3070">
        <v>1284348000</v>
      </c>
      <c r="DI77" s="3070">
        <v>1278128000</v>
      </c>
      <c r="DJ77" s="3070">
        <v>6220000</v>
      </c>
      <c r="DK77" s="3070">
        <v>0</v>
      </c>
      <c r="DL77" s="3070">
        <v>0</v>
      </c>
      <c r="DM77" s="3070">
        <v>25491817.620000001</v>
      </c>
      <c r="DN77" s="3070">
        <v>2764253109</v>
      </c>
      <c r="DP77" s="3070">
        <v>2764253109</v>
      </c>
    </row>
    <row r="78" spans="1:120">
      <c r="A78" s="3070">
        <v>77</v>
      </c>
      <c r="B78" s="3070" t="s">
        <v>3224</v>
      </c>
      <c r="C78" s="3070">
        <v>10</v>
      </c>
      <c r="E78" s="3070">
        <v>1103</v>
      </c>
      <c r="F78" s="3070" t="s">
        <v>3902</v>
      </c>
      <c r="G78" s="3070" t="s">
        <v>3903</v>
      </c>
      <c r="H78" s="3070">
        <v>1356258</v>
      </c>
      <c r="I78" s="3070">
        <v>1356258</v>
      </c>
      <c r="J78" s="3070">
        <v>102.67</v>
      </c>
      <c r="K78" s="3070">
        <v>74.61</v>
      </c>
      <c r="L78" s="3070">
        <v>0</v>
      </c>
      <c r="M78" s="3070">
        <v>0</v>
      </c>
      <c r="N78" s="3070">
        <v>15394.44</v>
      </c>
      <c r="O78" s="3070">
        <v>1580547</v>
      </c>
      <c r="P78" s="3070">
        <v>13209.88</v>
      </c>
      <c r="Q78" s="3070">
        <v>1356258</v>
      </c>
      <c r="R78" s="3070" t="s">
        <v>3227</v>
      </c>
      <c r="S78" s="3070" t="s">
        <v>3904</v>
      </c>
      <c r="T78" s="3070" t="s">
        <v>3476</v>
      </c>
      <c r="U78" s="3070" t="s">
        <v>3279</v>
      </c>
      <c r="V78" s="3070" t="s">
        <v>3230</v>
      </c>
      <c r="Y78" s="3070">
        <v>162751</v>
      </c>
      <c r="Z78" s="3070">
        <v>162751</v>
      </c>
      <c r="AA78" s="3070">
        <v>416258</v>
      </c>
      <c r="AB78" s="3070">
        <v>0</v>
      </c>
      <c r="AC78" s="3070">
        <v>940000</v>
      </c>
      <c r="AD78" s="3070">
        <v>940000</v>
      </c>
      <c r="AE78" s="3070">
        <v>0</v>
      </c>
      <c r="AI78" s="3070" t="s">
        <v>3227</v>
      </c>
      <c r="AJ78" s="3070">
        <v>0</v>
      </c>
      <c r="AK78" s="3070">
        <v>0</v>
      </c>
      <c r="AL78" s="3070">
        <v>0</v>
      </c>
      <c r="AM78" s="3070">
        <v>13209.88</v>
      </c>
      <c r="AN78" s="3070">
        <v>1356258</v>
      </c>
      <c r="AP78" s="3070">
        <v>1356258</v>
      </c>
      <c r="AQ78" s="3072">
        <v>45138</v>
      </c>
      <c r="AT78" s="3073">
        <v>45678</v>
      </c>
      <c r="AV78" s="3074">
        <v>2.31E+17</v>
      </c>
      <c r="AW78" s="3070" t="s">
        <v>3905</v>
      </c>
      <c r="AX78" s="3070" t="s">
        <v>3906</v>
      </c>
      <c r="AY78" s="3070" t="s">
        <v>3364</v>
      </c>
      <c r="BC78" s="3070" t="s">
        <v>3907</v>
      </c>
      <c r="BD78" s="3070" t="s">
        <v>3077</v>
      </c>
      <c r="BI78" s="3070" t="s">
        <v>3235</v>
      </c>
      <c r="BL78" s="3070" t="s">
        <v>3908</v>
      </c>
      <c r="BM78" s="3070" t="s">
        <v>3841</v>
      </c>
      <c r="BN78" s="3070">
        <v>110</v>
      </c>
      <c r="BO78" s="3070" t="s">
        <v>3253</v>
      </c>
      <c r="BR78" s="3070">
        <v>13</v>
      </c>
      <c r="BS78" s="3070" t="s">
        <v>3238</v>
      </c>
      <c r="BT78" s="3070" t="s">
        <v>3481</v>
      </c>
      <c r="BZ78" s="3073">
        <v>44168.646527777775</v>
      </c>
      <c r="CA78" s="3070">
        <v>10</v>
      </c>
      <c r="CB78" s="3070" t="s">
        <v>3481</v>
      </c>
      <c r="CD78" s="3070" t="s">
        <v>3239</v>
      </c>
      <c r="CF78" s="3070" t="s">
        <v>3091</v>
      </c>
      <c r="CH78" s="3070" t="s">
        <v>3240</v>
      </c>
      <c r="CI78" s="3070">
        <v>0</v>
      </c>
      <c r="CK78" s="3070" t="s">
        <v>3364</v>
      </c>
      <c r="CL78" s="3070" t="s">
        <v>3364</v>
      </c>
      <c r="CM78" s="3070">
        <v>1244273.3899999999</v>
      </c>
      <c r="CV78" s="3070" t="s">
        <v>3482</v>
      </c>
      <c r="CW78" s="3070" t="s">
        <v>3909</v>
      </c>
      <c r="CX78" s="3070" t="s">
        <v>3311</v>
      </c>
      <c r="CZ78" s="3070">
        <v>213894.57</v>
      </c>
      <c r="DA78" s="3070">
        <v>159426.93</v>
      </c>
      <c r="DB78" s="3070">
        <v>0</v>
      </c>
      <c r="DC78" s="3070">
        <v>0</v>
      </c>
      <c r="DD78" s="3070">
        <v>3290547602</v>
      </c>
      <c r="DE78" s="3070">
        <v>2764253109</v>
      </c>
      <c r="DF78" s="3070">
        <v>1464966739</v>
      </c>
      <c r="DG78" s="3070">
        <v>14938370</v>
      </c>
      <c r="DH78" s="3070">
        <v>1284348000</v>
      </c>
      <c r="DI78" s="3070">
        <v>1278128000</v>
      </c>
      <c r="DJ78" s="3070">
        <v>6220000</v>
      </c>
      <c r="DK78" s="3070">
        <v>0</v>
      </c>
      <c r="DL78" s="3070">
        <v>0</v>
      </c>
      <c r="DM78" s="3070">
        <v>25491817.620000001</v>
      </c>
      <c r="DN78" s="3070">
        <v>2764253109</v>
      </c>
      <c r="DP78" s="3070">
        <v>2764253109</v>
      </c>
    </row>
    <row r="79" spans="1:120">
      <c r="A79" s="3070">
        <v>78</v>
      </c>
      <c r="B79" s="3070" t="s">
        <v>3224</v>
      </c>
      <c r="C79" s="3070">
        <v>10</v>
      </c>
      <c r="E79" s="3070">
        <v>1104</v>
      </c>
      <c r="F79" s="3070" t="s">
        <v>3910</v>
      </c>
      <c r="G79" s="3070" t="s">
        <v>3911</v>
      </c>
      <c r="H79" s="3070">
        <v>1410445</v>
      </c>
      <c r="I79" s="3070">
        <v>1410445</v>
      </c>
      <c r="J79" s="3070">
        <v>114.02</v>
      </c>
      <c r="K79" s="3070">
        <v>82.85</v>
      </c>
      <c r="L79" s="3070">
        <v>0</v>
      </c>
      <c r="M79" s="3070">
        <v>0</v>
      </c>
      <c r="N79" s="3070">
        <v>15294.44</v>
      </c>
      <c r="O79" s="3070">
        <v>1743872</v>
      </c>
      <c r="P79" s="3070">
        <v>12370.15</v>
      </c>
      <c r="Q79" s="3070">
        <v>1410445</v>
      </c>
      <c r="R79" s="3070" t="s">
        <v>3227</v>
      </c>
      <c r="S79" s="3070" t="s">
        <v>3912</v>
      </c>
      <c r="T79" s="3070" t="s">
        <v>3246</v>
      </c>
      <c r="U79" s="3070" t="s">
        <v>3247</v>
      </c>
      <c r="V79" s="3070" t="s">
        <v>3230</v>
      </c>
      <c r="Y79" s="3070">
        <v>810445</v>
      </c>
      <c r="Z79" s="3070">
        <v>810445</v>
      </c>
      <c r="AA79" s="3070">
        <v>810445</v>
      </c>
      <c r="AB79" s="3070">
        <v>0</v>
      </c>
      <c r="AC79" s="3070">
        <v>600000</v>
      </c>
      <c r="AD79" s="3070">
        <v>600000</v>
      </c>
      <c r="AE79" s="3070">
        <v>0</v>
      </c>
      <c r="AI79" s="3070" t="s">
        <v>3227</v>
      </c>
      <c r="AJ79" s="3070">
        <v>0</v>
      </c>
      <c r="AK79" s="3070">
        <v>0</v>
      </c>
      <c r="AL79" s="3070">
        <v>0</v>
      </c>
      <c r="AM79" s="3070">
        <v>12370.15</v>
      </c>
      <c r="AN79" s="3070">
        <v>1410445</v>
      </c>
      <c r="AP79" s="3070">
        <v>1410445</v>
      </c>
      <c r="AQ79" s="3072">
        <v>45138</v>
      </c>
      <c r="AT79" s="3073">
        <v>45678</v>
      </c>
      <c r="AV79" s="3070" t="s">
        <v>3913</v>
      </c>
      <c r="AW79" s="3070" t="s">
        <v>3914</v>
      </c>
      <c r="AX79" s="3070" t="s">
        <v>3915</v>
      </c>
      <c r="AY79" s="3070" t="s">
        <v>3306</v>
      </c>
      <c r="BC79" s="3070" t="s">
        <v>3284</v>
      </c>
      <c r="BD79" s="3070" t="s">
        <v>3077</v>
      </c>
      <c r="BI79" s="3070" t="s">
        <v>3235</v>
      </c>
      <c r="BJ79" s="3070" t="s">
        <v>3236</v>
      </c>
      <c r="BL79" s="3070" t="s">
        <v>3916</v>
      </c>
      <c r="BM79" s="3070" t="s">
        <v>3841</v>
      </c>
      <c r="BN79" s="3070">
        <v>110</v>
      </c>
      <c r="BO79" s="3070" t="s">
        <v>3253</v>
      </c>
      <c r="BR79" s="3070">
        <v>212</v>
      </c>
      <c r="BS79" s="3070" t="s">
        <v>3238</v>
      </c>
      <c r="BT79" s="3070" t="s">
        <v>3086</v>
      </c>
      <c r="BZ79" s="3073">
        <v>44142.951388888891</v>
      </c>
      <c r="CA79" s="3070">
        <v>10</v>
      </c>
      <c r="CB79" s="3070" t="s">
        <v>3086</v>
      </c>
      <c r="CD79" s="3070" t="s">
        <v>3239</v>
      </c>
      <c r="CF79" s="3070" t="s">
        <v>3091</v>
      </c>
      <c r="CH79" s="3070" t="s">
        <v>3240</v>
      </c>
      <c r="CI79" s="3070">
        <v>0</v>
      </c>
      <c r="CK79" s="3070" t="s">
        <v>3306</v>
      </c>
      <c r="CL79" s="3070" t="s">
        <v>3306</v>
      </c>
      <c r="CM79" s="3070">
        <v>1293986.24</v>
      </c>
      <c r="CV79" s="3070" t="s">
        <v>3246</v>
      </c>
      <c r="CW79" s="3070" t="s">
        <v>3917</v>
      </c>
      <c r="CX79" s="3070" t="s">
        <v>3510</v>
      </c>
      <c r="CZ79" s="3070">
        <v>213894.57</v>
      </c>
      <c r="DA79" s="3070">
        <v>159426.93</v>
      </c>
      <c r="DB79" s="3070">
        <v>0</v>
      </c>
      <c r="DC79" s="3070">
        <v>0</v>
      </c>
      <c r="DD79" s="3070">
        <v>3290547602</v>
      </c>
      <c r="DE79" s="3070">
        <v>2764253109</v>
      </c>
      <c r="DF79" s="3070">
        <v>1464966739</v>
      </c>
      <c r="DG79" s="3070">
        <v>14938370</v>
      </c>
      <c r="DH79" s="3070">
        <v>1284348000</v>
      </c>
      <c r="DI79" s="3070">
        <v>1278128000</v>
      </c>
      <c r="DJ79" s="3070">
        <v>6220000</v>
      </c>
      <c r="DK79" s="3070">
        <v>0</v>
      </c>
      <c r="DL79" s="3070">
        <v>0</v>
      </c>
      <c r="DM79" s="3070">
        <v>25491817.620000001</v>
      </c>
      <c r="DN79" s="3070">
        <v>2764253109</v>
      </c>
      <c r="DP79" s="3070">
        <v>2764253109</v>
      </c>
    </row>
    <row r="80" spans="1:120">
      <c r="A80" s="3070">
        <v>79</v>
      </c>
      <c r="B80" s="3070" t="s">
        <v>3224</v>
      </c>
      <c r="C80" s="3070">
        <v>10</v>
      </c>
      <c r="E80" s="3070">
        <v>1201</v>
      </c>
      <c r="F80" s="3070" t="s">
        <v>3918</v>
      </c>
      <c r="G80" s="3070" t="s">
        <v>3919</v>
      </c>
      <c r="H80" s="3070">
        <v>1407071</v>
      </c>
      <c r="I80" s="3070">
        <v>1407071</v>
      </c>
      <c r="J80" s="3070">
        <v>114.02</v>
      </c>
      <c r="K80" s="3070">
        <v>82.85</v>
      </c>
      <c r="L80" s="3070">
        <v>0</v>
      </c>
      <c r="M80" s="3070">
        <v>0</v>
      </c>
      <c r="N80" s="3070">
        <v>15394.44</v>
      </c>
      <c r="O80" s="3070">
        <v>1755274</v>
      </c>
      <c r="P80" s="3070">
        <v>12340.56</v>
      </c>
      <c r="Q80" s="3070">
        <v>1407071</v>
      </c>
      <c r="R80" s="3070" t="s">
        <v>3227</v>
      </c>
      <c r="S80" s="3070" t="s">
        <v>3920</v>
      </c>
      <c r="T80" s="3070" t="s">
        <v>3229</v>
      </c>
      <c r="V80" s="3070" t="s">
        <v>3230</v>
      </c>
      <c r="Y80" s="3070">
        <v>422121</v>
      </c>
      <c r="Z80" s="3070">
        <v>422121</v>
      </c>
      <c r="AA80" s="3070">
        <v>1407071</v>
      </c>
      <c r="AB80" s="3070">
        <v>0</v>
      </c>
      <c r="AC80" s="3070">
        <v>0</v>
      </c>
      <c r="AD80" s="3070">
        <v>0</v>
      </c>
      <c r="AE80" s="3070">
        <v>0</v>
      </c>
      <c r="AI80" s="3070" t="s">
        <v>3227</v>
      </c>
      <c r="AJ80" s="3070">
        <v>0</v>
      </c>
      <c r="AK80" s="3070">
        <v>0</v>
      </c>
      <c r="AL80" s="3070">
        <v>0</v>
      </c>
      <c r="AM80" s="3070">
        <v>12340.56</v>
      </c>
      <c r="AN80" s="3070">
        <v>1407071</v>
      </c>
      <c r="AP80" s="3070">
        <v>1407071</v>
      </c>
      <c r="AQ80" s="3072">
        <v>45138</v>
      </c>
      <c r="AT80" s="3073">
        <v>45678</v>
      </c>
      <c r="AV80" s="3074">
        <v>3.21E+17</v>
      </c>
      <c r="AW80" s="3070" t="s">
        <v>3921</v>
      </c>
      <c r="AX80" s="3070" t="s">
        <v>3922</v>
      </c>
      <c r="AY80" s="3070" t="s">
        <v>3648</v>
      </c>
      <c r="BC80" s="3070" t="s">
        <v>3347</v>
      </c>
      <c r="BD80" s="3070" t="s">
        <v>3077</v>
      </c>
      <c r="BI80" s="3070" t="s">
        <v>3235</v>
      </c>
      <c r="BJ80" s="3070" t="s">
        <v>3338</v>
      </c>
      <c r="BL80" s="3070" t="s">
        <v>3923</v>
      </c>
      <c r="BM80" s="3070" t="s">
        <v>3841</v>
      </c>
      <c r="BN80" s="3070">
        <v>120</v>
      </c>
      <c r="BR80" s="3070">
        <v>68</v>
      </c>
      <c r="BS80" s="3070" t="s">
        <v>3238</v>
      </c>
      <c r="BT80" s="3070" t="s">
        <v>3086</v>
      </c>
      <c r="BZ80" s="3073">
        <v>44142.950694444444</v>
      </c>
      <c r="CA80" s="3070">
        <v>10</v>
      </c>
      <c r="CB80" s="3070" t="s">
        <v>3086</v>
      </c>
      <c r="CD80" s="3070" t="s">
        <v>3239</v>
      </c>
      <c r="CF80" s="3070" t="s">
        <v>3091</v>
      </c>
      <c r="CH80" s="3070" t="s">
        <v>3240</v>
      </c>
      <c r="CI80" s="3070">
        <v>0</v>
      </c>
      <c r="CK80" s="3070" t="s">
        <v>3648</v>
      </c>
      <c r="CL80" s="3070" t="s">
        <v>3648</v>
      </c>
      <c r="CM80" s="3070">
        <v>1290890.83</v>
      </c>
      <c r="CV80" s="3070" t="s">
        <v>3229</v>
      </c>
      <c r="CW80" s="3070" t="s">
        <v>3924</v>
      </c>
      <c r="CZ80" s="3070">
        <v>213894.57</v>
      </c>
      <c r="DA80" s="3070">
        <v>159426.93</v>
      </c>
      <c r="DB80" s="3070">
        <v>0</v>
      </c>
      <c r="DC80" s="3070">
        <v>0</v>
      </c>
      <c r="DD80" s="3070">
        <v>3290547602</v>
      </c>
      <c r="DE80" s="3070">
        <v>2764253109</v>
      </c>
      <c r="DF80" s="3070">
        <v>1464966739</v>
      </c>
      <c r="DG80" s="3070">
        <v>14938370</v>
      </c>
      <c r="DH80" s="3070">
        <v>1284348000</v>
      </c>
      <c r="DI80" s="3070">
        <v>1278128000</v>
      </c>
      <c r="DJ80" s="3070">
        <v>6220000</v>
      </c>
      <c r="DK80" s="3070">
        <v>0</v>
      </c>
      <c r="DL80" s="3070">
        <v>0</v>
      </c>
      <c r="DM80" s="3070">
        <v>25491817.620000001</v>
      </c>
      <c r="DN80" s="3070">
        <v>2764253109</v>
      </c>
      <c r="DP80" s="3070">
        <v>2764253109</v>
      </c>
    </row>
    <row r="81" spans="1:120">
      <c r="A81" s="3070">
        <v>80</v>
      </c>
      <c r="B81" s="3070" t="s">
        <v>3224</v>
      </c>
      <c r="C81" s="3070">
        <v>10</v>
      </c>
      <c r="E81" s="3070">
        <v>1202</v>
      </c>
      <c r="F81" s="3070" t="s">
        <v>3925</v>
      </c>
      <c r="G81" s="3070" t="s">
        <v>3926</v>
      </c>
      <c r="H81" s="3070">
        <v>1284684</v>
      </c>
      <c r="I81" s="3070">
        <v>1284684</v>
      </c>
      <c r="J81" s="3070">
        <v>102.67</v>
      </c>
      <c r="K81" s="3070">
        <v>74.61</v>
      </c>
      <c r="L81" s="3070">
        <v>0</v>
      </c>
      <c r="M81" s="3070">
        <v>0</v>
      </c>
      <c r="N81" s="3070">
        <v>15444.44</v>
      </c>
      <c r="O81" s="3070">
        <v>1585681</v>
      </c>
      <c r="P81" s="3070">
        <v>12512.75</v>
      </c>
      <c r="Q81" s="3070">
        <v>1284684</v>
      </c>
      <c r="R81" s="3070" t="s">
        <v>3227</v>
      </c>
      <c r="S81" s="3070" t="s">
        <v>3927</v>
      </c>
      <c r="T81" s="3070" t="s">
        <v>3258</v>
      </c>
      <c r="U81" s="3070" t="s">
        <v>3259</v>
      </c>
      <c r="V81" s="3070" t="s">
        <v>3230</v>
      </c>
      <c r="Y81" s="3070">
        <v>394684</v>
      </c>
      <c r="Z81" s="3070">
        <v>394684</v>
      </c>
      <c r="AA81" s="3070">
        <v>394684</v>
      </c>
      <c r="AB81" s="3070">
        <v>0</v>
      </c>
      <c r="AC81" s="3070">
        <v>890000</v>
      </c>
      <c r="AD81" s="3070">
        <v>890000</v>
      </c>
      <c r="AE81" s="3070">
        <v>0</v>
      </c>
      <c r="AI81" s="3070" t="s">
        <v>3227</v>
      </c>
      <c r="AJ81" s="3070">
        <v>0</v>
      </c>
      <c r="AK81" s="3070">
        <v>0</v>
      </c>
      <c r="AL81" s="3070">
        <v>0</v>
      </c>
      <c r="AM81" s="3070">
        <v>12512.75</v>
      </c>
      <c r="AN81" s="3070">
        <v>1284684</v>
      </c>
      <c r="AP81" s="3070">
        <v>1284684</v>
      </c>
      <c r="AQ81" s="3072">
        <v>45138</v>
      </c>
      <c r="AT81" s="3073">
        <v>45678</v>
      </c>
      <c r="AV81" s="3070" t="s">
        <v>3928</v>
      </c>
      <c r="AW81" s="3070" t="s">
        <v>3929</v>
      </c>
      <c r="AX81" s="3070" t="s">
        <v>3930</v>
      </c>
      <c r="AY81" s="3070" t="s">
        <v>3656</v>
      </c>
      <c r="BC81" s="3070" t="s">
        <v>3263</v>
      </c>
      <c r="BD81" s="3070" t="s">
        <v>3077</v>
      </c>
      <c r="BI81" s="3070" t="s">
        <v>3235</v>
      </c>
      <c r="BJ81" s="3070" t="s">
        <v>3598</v>
      </c>
      <c r="BL81" s="3070" t="s">
        <v>3931</v>
      </c>
      <c r="BM81" s="3070" t="s">
        <v>3841</v>
      </c>
      <c r="BN81" s="3070">
        <v>120</v>
      </c>
      <c r="BO81" s="3070" t="s">
        <v>3253</v>
      </c>
      <c r="BP81" s="3070" t="s">
        <v>3253</v>
      </c>
      <c r="BR81" s="3070">
        <v>107</v>
      </c>
      <c r="BS81" s="3070" t="s">
        <v>3238</v>
      </c>
      <c r="BT81" s="3070" t="s">
        <v>3086</v>
      </c>
      <c r="BZ81" s="3073">
        <v>44142.654166666667</v>
      </c>
      <c r="CA81" s="3070">
        <v>10</v>
      </c>
      <c r="CB81" s="3070" t="s">
        <v>3086</v>
      </c>
      <c r="CD81" s="3070" t="s">
        <v>3239</v>
      </c>
      <c r="CF81" s="3070" t="s">
        <v>3091</v>
      </c>
      <c r="CH81" s="3070" t="s">
        <v>3240</v>
      </c>
      <c r="CI81" s="3070">
        <v>0</v>
      </c>
      <c r="CJ81" s="3070" t="s">
        <v>3259</v>
      </c>
      <c r="CK81" s="3070" t="s">
        <v>3656</v>
      </c>
      <c r="CL81" s="3070" t="s">
        <v>3656</v>
      </c>
      <c r="CM81" s="3070">
        <v>1178609.18</v>
      </c>
      <c r="CV81" s="3070" t="s">
        <v>3258</v>
      </c>
      <c r="CW81" s="3070" t="s">
        <v>3932</v>
      </c>
      <c r="CZ81" s="3070">
        <v>213894.57</v>
      </c>
      <c r="DA81" s="3070">
        <v>159426.93</v>
      </c>
      <c r="DB81" s="3070">
        <v>0</v>
      </c>
      <c r="DC81" s="3070">
        <v>0</v>
      </c>
      <c r="DD81" s="3070">
        <v>3290547602</v>
      </c>
      <c r="DE81" s="3070">
        <v>2764253109</v>
      </c>
      <c r="DF81" s="3070">
        <v>1464966739</v>
      </c>
      <c r="DG81" s="3070">
        <v>14938370</v>
      </c>
      <c r="DH81" s="3070">
        <v>1284348000</v>
      </c>
      <c r="DI81" s="3070">
        <v>1278128000</v>
      </c>
      <c r="DJ81" s="3070">
        <v>6220000</v>
      </c>
      <c r="DK81" s="3070">
        <v>0</v>
      </c>
      <c r="DL81" s="3070">
        <v>0</v>
      </c>
      <c r="DM81" s="3070">
        <v>25491817.620000001</v>
      </c>
      <c r="DN81" s="3070">
        <v>2764253109</v>
      </c>
      <c r="DP81" s="3070">
        <v>2764253109</v>
      </c>
    </row>
    <row r="82" spans="1:120">
      <c r="A82" s="3070">
        <v>81</v>
      </c>
      <c r="B82" s="3070" t="s">
        <v>3224</v>
      </c>
      <c r="C82" s="3070">
        <v>10</v>
      </c>
      <c r="E82" s="3070">
        <v>1203</v>
      </c>
      <c r="F82" s="3070" t="s">
        <v>3933</v>
      </c>
      <c r="G82" s="3070" t="s">
        <v>3934</v>
      </c>
      <c r="H82" s="3070">
        <v>1284684</v>
      </c>
      <c r="I82" s="3070">
        <v>1284684</v>
      </c>
      <c r="J82" s="3070">
        <v>102.67</v>
      </c>
      <c r="K82" s="3070">
        <v>74.61</v>
      </c>
      <c r="L82" s="3070">
        <v>0</v>
      </c>
      <c r="M82" s="3070">
        <v>0</v>
      </c>
      <c r="N82" s="3070">
        <v>15444.44</v>
      </c>
      <c r="O82" s="3070">
        <v>1585681</v>
      </c>
      <c r="P82" s="3070">
        <v>12512.75</v>
      </c>
      <c r="Q82" s="3070">
        <v>1284684</v>
      </c>
      <c r="R82" s="3070" t="s">
        <v>3227</v>
      </c>
      <c r="S82" s="3070" t="s">
        <v>3935</v>
      </c>
      <c r="T82" s="3070" t="s">
        <v>3425</v>
      </c>
      <c r="V82" s="3070" t="s">
        <v>3230</v>
      </c>
      <c r="Y82" s="3070">
        <v>984684</v>
      </c>
      <c r="Z82" s="3070">
        <v>984684</v>
      </c>
      <c r="AA82" s="3070">
        <v>984684</v>
      </c>
      <c r="AB82" s="3070">
        <v>0</v>
      </c>
      <c r="AC82" s="3070">
        <v>300000</v>
      </c>
      <c r="AD82" s="3070">
        <v>300000</v>
      </c>
      <c r="AE82" s="3070">
        <v>0</v>
      </c>
      <c r="AI82" s="3070" t="s">
        <v>3227</v>
      </c>
      <c r="AJ82" s="3070">
        <v>0</v>
      </c>
      <c r="AK82" s="3070">
        <v>0</v>
      </c>
      <c r="AL82" s="3070">
        <v>0</v>
      </c>
      <c r="AM82" s="3070">
        <v>12512.75</v>
      </c>
      <c r="AN82" s="3070">
        <v>1284684</v>
      </c>
      <c r="AP82" s="3070">
        <v>1284684</v>
      </c>
      <c r="AQ82" s="3072">
        <v>45138</v>
      </c>
      <c r="AT82" s="3073">
        <v>45678</v>
      </c>
      <c r="AV82" s="3070" t="s">
        <v>3936</v>
      </c>
      <c r="AW82" s="3070" t="s">
        <v>3937</v>
      </c>
      <c r="AX82" s="3070" t="s">
        <v>3938</v>
      </c>
      <c r="AY82" s="3070" t="s">
        <v>3607</v>
      </c>
      <c r="BC82" s="3070" t="s">
        <v>3461</v>
      </c>
      <c r="BD82" s="3070" t="s">
        <v>3077</v>
      </c>
      <c r="BI82" s="3070" t="s">
        <v>3235</v>
      </c>
      <c r="BJ82" s="3070" t="s">
        <v>3296</v>
      </c>
      <c r="BL82" s="3070" t="s">
        <v>3939</v>
      </c>
      <c r="BM82" s="3070" t="s">
        <v>3841</v>
      </c>
      <c r="BN82" s="3070">
        <v>120</v>
      </c>
      <c r="BP82" s="3070" t="s">
        <v>3253</v>
      </c>
      <c r="BR82" s="3070">
        <v>11</v>
      </c>
      <c r="BS82" s="3070" t="s">
        <v>3238</v>
      </c>
      <c r="BT82" s="3070" t="s">
        <v>3086</v>
      </c>
      <c r="BZ82" s="3073">
        <v>44142.955555555556</v>
      </c>
      <c r="CA82" s="3070">
        <v>10</v>
      </c>
      <c r="CB82" s="3070" t="s">
        <v>3086</v>
      </c>
      <c r="CD82" s="3070" t="s">
        <v>3239</v>
      </c>
      <c r="CF82" s="3070" t="s">
        <v>3091</v>
      </c>
      <c r="CH82" s="3070" t="s">
        <v>3240</v>
      </c>
      <c r="CI82" s="3070">
        <v>0</v>
      </c>
      <c r="CJ82" s="3070" t="s">
        <v>3259</v>
      </c>
      <c r="CK82" s="3070" t="s">
        <v>3607</v>
      </c>
      <c r="CL82" s="3070" t="s">
        <v>3607</v>
      </c>
      <c r="CM82" s="3070">
        <v>1178609.17</v>
      </c>
      <c r="CV82" s="3070" t="s">
        <v>3425</v>
      </c>
      <c r="CW82" s="3070" t="s">
        <v>3940</v>
      </c>
      <c r="CZ82" s="3070">
        <v>213894.57</v>
      </c>
      <c r="DA82" s="3070">
        <v>159426.93</v>
      </c>
      <c r="DB82" s="3070">
        <v>0</v>
      </c>
      <c r="DC82" s="3070">
        <v>0</v>
      </c>
      <c r="DD82" s="3070">
        <v>3290547602</v>
      </c>
      <c r="DE82" s="3070">
        <v>2764253109</v>
      </c>
      <c r="DF82" s="3070">
        <v>1464966739</v>
      </c>
      <c r="DG82" s="3070">
        <v>14938370</v>
      </c>
      <c r="DH82" s="3070">
        <v>1284348000</v>
      </c>
      <c r="DI82" s="3070">
        <v>1278128000</v>
      </c>
      <c r="DJ82" s="3070">
        <v>6220000</v>
      </c>
      <c r="DK82" s="3070">
        <v>0</v>
      </c>
      <c r="DL82" s="3070">
        <v>0</v>
      </c>
      <c r="DM82" s="3070">
        <v>25491817.620000001</v>
      </c>
      <c r="DN82" s="3070">
        <v>2764253109</v>
      </c>
      <c r="DP82" s="3070">
        <v>2764253109</v>
      </c>
    </row>
    <row r="83" spans="1:120">
      <c r="A83" s="3070">
        <v>82</v>
      </c>
      <c r="B83" s="3070" t="s">
        <v>3224</v>
      </c>
      <c r="C83" s="3070">
        <v>10</v>
      </c>
      <c r="E83" s="3070">
        <v>1204</v>
      </c>
      <c r="F83" s="3070" t="s">
        <v>3941</v>
      </c>
      <c r="G83" s="3070" t="s">
        <v>3942</v>
      </c>
      <c r="H83" s="3070">
        <v>1415865</v>
      </c>
      <c r="I83" s="3070">
        <v>1415865</v>
      </c>
      <c r="J83" s="3070">
        <v>114.02</v>
      </c>
      <c r="K83" s="3070">
        <v>82.85</v>
      </c>
      <c r="L83" s="3070">
        <v>0</v>
      </c>
      <c r="M83" s="3070">
        <v>0</v>
      </c>
      <c r="N83" s="3070">
        <v>15344.44</v>
      </c>
      <c r="O83" s="3070">
        <v>1749573</v>
      </c>
      <c r="P83" s="3070">
        <v>12417.69</v>
      </c>
      <c r="Q83" s="3070">
        <v>1415865</v>
      </c>
      <c r="R83" s="3070" t="s">
        <v>3227</v>
      </c>
      <c r="S83" s="3070" t="s">
        <v>3943</v>
      </c>
      <c r="T83" s="3070" t="s">
        <v>3258</v>
      </c>
      <c r="U83" s="3070" t="s">
        <v>3259</v>
      </c>
      <c r="V83" s="3070" t="s">
        <v>3230</v>
      </c>
      <c r="Y83" s="3070">
        <v>435865</v>
      </c>
      <c r="Z83" s="3070">
        <v>435865</v>
      </c>
      <c r="AA83" s="3070">
        <v>435865</v>
      </c>
      <c r="AB83" s="3070">
        <v>0</v>
      </c>
      <c r="AC83" s="3070">
        <v>980000</v>
      </c>
      <c r="AD83" s="3070">
        <v>980000</v>
      </c>
      <c r="AE83" s="3070">
        <v>0</v>
      </c>
      <c r="AI83" s="3070" t="s">
        <v>3227</v>
      </c>
      <c r="AJ83" s="3070">
        <v>0</v>
      </c>
      <c r="AK83" s="3070">
        <v>0</v>
      </c>
      <c r="AL83" s="3070">
        <v>0</v>
      </c>
      <c r="AM83" s="3070">
        <v>12417.69</v>
      </c>
      <c r="AN83" s="3070">
        <v>1415865</v>
      </c>
      <c r="AP83" s="3070">
        <v>1415865</v>
      </c>
      <c r="AQ83" s="3072">
        <v>45138</v>
      </c>
      <c r="AT83" s="3073">
        <v>45678</v>
      </c>
      <c r="AV83" s="3070" t="s">
        <v>3944</v>
      </c>
      <c r="AW83" s="3070" t="s">
        <v>3945</v>
      </c>
      <c r="AX83" s="3070" t="s">
        <v>3946</v>
      </c>
      <c r="AY83" s="3070" t="s">
        <v>3364</v>
      </c>
      <c r="BC83" s="3070" t="s">
        <v>3263</v>
      </c>
      <c r="BD83" s="3070" t="s">
        <v>3077</v>
      </c>
      <c r="BI83" s="3070" t="s">
        <v>3235</v>
      </c>
      <c r="BJ83" s="3070" t="s">
        <v>3296</v>
      </c>
      <c r="BL83" s="3070" t="s">
        <v>3947</v>
      </c>
      <c r="BM83" s="3070" t="s">
        <v>3841</v>
      </c>
      <c r="BN83" s="3070">
        <v>120</v>
      </c>
      <c r="BO83" s="3070" t="s">
        <v>3253</v>
      </c>
      <c r="BP83" s="3070" t="s">
        <v>3253</v>
      </c>
      <c r="BR83" s="3070">
        <v>488</v>
      </c>
      <c r="BS83" s="3070" t="s">
        <v>3238</v>
      </c>
      <c r="BT83" s="3070" t="s">
        <v>3086</v>
      </c>
      <c r="BZ83" s="3073">
        <v>44142.95208333333</v>
      </c>
      <c r="CA83" s="3070">
        <v>10</v>
      </c>
      <c r="CB83" s="3070" t="s">
        <v>3086</v>
      </c>
      <c r="CD83" s="3070" t="s">
        <v>3239</v>
      </c>
      <c r="CF83" s="3070" t="s">
        <v>3091</v>
      </c>
      <c r="CH83" s="3070" t="s">
        <v>3240</v>
      </c>
      <c r="CI83" s="3070">
        <v>0</v>
      </c>
      <c r="CJ83" s="3070" t="s">
        <v>3259</v>
      </c>
      <c r="CK83" s="3070" t="s">
        <v>3364</v>
      </c>
      <c r="CL83" s="3070" t="s">
        <v>3364</v>
      </c>
      <c r="CM83" s="3070">
        <v>1298958.72</v>
      </c>
      <c r="CV83" s="3070" t="s">
        <v>3258</v>
      </c>
      <c r="CW83" s="3070" t="s">
        <v>3948</v>
      </c>
      <c r="CX83" s="3070" t="s">
        <v>3267</v>
      </c>
      <c r="CZ83" s="3070">
        <v>213894.57</v>
      </c>
      <c r="DA83" s="3070">
        <v>159426.93</v>
      </c>
      <c r="DB83" s="3070">
        <v>0</v>
      </c>
      <c r="DC83" s="3070">
        <v>0</v>
      </c>
      <c r="DD83" s="3070">
        <v>3290547602</v>
      </c>
      <c r="DE83" s="3070">
        <v>2764253109</v>
      </c>
      <c r="DF83" s="3070">
        <v>1464966739</v>
      </c>
      <c r="DG83" s="3070">
        <v>14938370</v>
      </c>
      <c r="DH83" s="3070">
        <v>1284348000</v>
      </c>
      <c r="DI83" s="3070">
        <v>1278128000</v>
      </c>
      <c r="DJ83" s="3070">
        <v>6220000</v>
      </c>
      <c r="DK83" s="3070">
        <v>0</v>
      </c>
      <c r="DL83" s="3070">
        <v>0</v>
      </c>
      <c r="DM83" s="3070">
        <v>25491817.620000001</v>
      </c>
      <c r="DN83" s="3070">
        <v>2764253109</v>
      </c>
      <c r="DP83" s="3070">
        <v>2764253109</v>
      </c>
    </row>
    <row r="84" spans="1:120">
      <c r="A84" s="3070">
        <v>83</v>
      </c>
      <c r="B84" s="3070" t="s">
        <v>3224</v>
      </c>
      <c r="C84" s="3070">
        <v>10</v>
      </c>
      <c r="E84" s="3070">
        <v>1301</v>
      </c>
      <c r="F84" s="3070" t="s">
        <v>3949</v>
      </c>
      <c r="G84" s="3070" t="s">
        <v>3950</v>
      </c>
      <c r="H84" s="3070">
        <v>1501042</v>
      </c>
      <c r="I84" s="3070">
        <v>1501042</v>
      </c>
      <c r="J84" s="3070">
        <v>114.02</v>
      </c>
      <c r="K84" s="3070">
        <v>82.85</v>
      </c>
      <c r="L84" s="3070">
        <v>0</v>
      </c>
      <c r="M84" s="3070">
        <v>0</v>
      </c>
      <c r="N84" s="3070">
        <v>15394.44</v>
      </c>
      <c r="O84" s="3070">
        <v>1755274</v>
      </c>
      <c r="P84" s="3070">
        <v>13164.73</v>
      </c>
      <c r="Q84" s="3070">
        <v>1501042</v>
      </c>
      <c r="R84" s="3070" t="s">
        <v>3227</v>
      </c>
      <c r="S84" s="3070" t="s">
        <v>3951</v>
      </c>
      <c r="T84" s="3070" t="s">
        <v>3246</v>
      </c>
      <c r="U84" s="3070" t="s">
        <v>3247</v>
      </c>
      <c r="V84" s="3070" t="s">
        <v>3230</v>
      </c>
      <c r="Y84" s="3070">
        <v>451042</v>
      </c>
      <c r="Z84" s="3070">
        <v>150104</v>
      </c>
      <c r="AA84" s="3070">
        <v>451042</v>
      </c>
      <c r="AB84" s="3070">
        <v>0</v>
      </c>
      <c r="AC84" s="3070">
        <v>1050000</v>
      </c>
      <c r="AD84" s="3070">
        <v>1050000</v>
      </c>
      <c r="AE84" s="3070">
        <v>0</v>
      </c>
      <c r="AI84" s="3070" t="s">
        <v>3227</v>
      </c>
      <c r="AJ84" s="3070">
        <v>0</v>
      </c>
      <c r="AK84" s="3070">
        <v>0</v>
      </c>
      <c r="AL84" s="3070">
        <v>0</v>
      </c>
      <c r="AM84" s="3070">
        <v>13164.73</v>
      </c>
      <c r="AN84" s="3070">
        <v>1501042</v>
      </c>
      <c r="AP84" s="3070">
        <v>1501042</v>
      </c>
      <c r="AQ84" s="3072">
        <v>45138</v>
      </c>
      <c r="AT84" s="3073">
        <v>45678</v>
      </c>
      <c r="AV84" s="3074">
        <v>3.21E+17</v>
      </c>
      <c r="AW84" s="3070" t="s">
        <v>3952</v>
      </c>
      <c r="AX84" s="3070" t="s">
        <v>3953</v>
      </c>
      <c r="AY84" s="3070" t="s">
        <v>3954</v>
      </c>
      <c r="BC84" s="3070" t="s">
        <v>3955</v>
      </c>
      <c r="BD84" s="3070" t="s">
        <v>3077</v>
      </c>
      <c r="BI84" s="3070" t="s">
        <v>3295</v>
      </c>
      <c r="BL84" s="3070" t="s">
        <v>3956</v>
      </c>
      <c r="BM84" s="3070" t="s">
        <v>3841</v>
      </c>
      <c r="BN84" s="3070">
        <v>130</v>
      </c>
      <c r="BO84" s="3070" t="s">
        <v>3253</v>
      </c>
      <c r="BR84" s="3070">
        <v>618</v>
      </c>
      <c r="BS84" s="3070" t="s">
        <v>3238</v>
      </c>
      <c r="BT84" s="3070" t="s">
        <v>3086</v>
      </c>
      <c r="BZ84" s="3073">
        <v>44155.47152777778</v>
      </c>
      <c r="CA84" s="3070">
        <v>10</v>
      </c>
      <c r="CB84" s="3070" t="s">
        <v>3086</v>
      </c>
      <c r="CD84" s="3070" t="s">
        <v>3239</v>
      </c>
      <c r="CF84" s="3070" t="s">
        <v>3091</v>
      </c>
      <c r="CH84" s="3070" t="s">
        <v>3240</v>
      </c>
      <c r="CI84" s="3070">
        <v>0</v>
      </c>
      <c r="CK84" s="3070" t="s">
        <v>3957</v>
      </c>
      <c r="CL84" s="3070" t="s">
        <v>3954</v>
      </c>
      <c r="CM84" s="3070">
        <v>1377102.75</v>
      </c>
      <c r="CV84" s="3070" t="s">
        <v>3246</v>
      </c>
      <c r="CW84" s="3070" t="s">
        <v>3958</v>
      </c>
      <c r="CZ84" s="3070">
        <v>213894.57</v>
      </c>
      <c r="DA84" s="3070">
        <v>159426.93</v>
      </c>
      <c r="DB84" s="3070">
        <v>0</v>
      </c>
      <c r="DC84" s="3070">
        <v>0</v>
      </c>
      <c r="DD84" s="3070">
        <v>3290547602</v>
      </c>
      <c r="DE84" s="3070">
        <v>2764253109</v>
      </c>
      <c r="DF84" s="3070">
        <v>1464966739</v>
      </c>
      <c r="DG84" s="3070">
        <v>14938370</v>
      </c>
      <c r="DH84" s="3070">
        <v>1284348000</v>
      </c>
      <c r="DI84" s="3070">
        <v>1278128000</v>
      </c>
      <c r="DJ84" s="3070">
        <v>6220000</v>
      </c>
      <c r="DK84" s="3070">
        <v>0</v>
      </c>
      <c r="DL84" s="3070">
        <v>0</v>
      </c>
      <c r="DM84" s="3070">
        <v>25491817.620000001</v>
      </c>
      <c r="DN84" s="3070">
        <v>2764253109</v>
      </c>
      <c r="DP84" s="3070">
        <v>2764253109</v>
      </c>
    </row>
    <row r="85" spans="1:120">
      <c r="A85" s="3070">
        <v>84</v>
      </c>
      <c r="B85" s="3070" t="s">
        <v>3224</v>
      </c>
      <c r="C85" s="3070">
        <v>10</v>
      </c>
      <c r="E85" s="3070">
        <v>1302</v>
      </c>
      <c r="F85" s="3070" t="s">
        <v>3959</v>
      </c>
      <c r="G85" s="3070" t="s">
        <v>3960</v>
      </c>
      <c r="H85" s="3070">
        <v>1284058</v>
      </c>
      <c r="I85" s="3070">
        <v>1284058</v>
      </c>
      <c r="J85" s="3070">
        <v>102.62</v>
      </c>
      <c r="K85" s="3070">
        <v>74.569999999999993</v>
      </c>
      <c r="L85" s="3070">
        <v>0</v>
      </c>
      <c r="M85" s="3070">
        <v>0</v>
      </c>
      <c r="N85" s="3070">
        <v>15444.44</v>
      </c>
      <c r="O85" s="3070">
        <v>1584908</v>
      </c>
      <c r="P85" s="3070">
        <v>12512.75</v>
      </c>
      <c r="Q85" s="3070">
        <v>1284058</v>
      </c>
      <c r="R85" s="3070" t="s">
        <v>3227</v>
      </c>
      <c r="S85" s="3070" t="s">
        <v>3961</v>
      </c>
      <c r="T85" s="3070" t="s">
        <v>3246</v>
      </c>
      <c r="U85" s="3070" t="s">
        <v>3247</v>
      </c>
      <c r="V85" s="3070" t="s">
        <v>3230</v>
      </c>
      <c r="Y85" s="3070">
        <v>604058</v>
      </c>
      <c r="Z85" s="3070">
        <v>604058</v>
      </c>
      <c r="AA85" s="3070">
        <v>604058</v>
      </c>
      <c r="AB85" s="3070">
        <v>0</v>
      </c>
      <c r="AC85" s="3070">
        <v>680000</v>
      </c>
      <c r="AD85" s="3070">
        <v>680000</v>
      </c>
      <c r="AE85" s="3070">
        <v>0</v>
      </c>
      <c r="AI85" s="3070" t="s">
        <v>3227</v>
      </c>
      <c r="AJ85" s="3070">
        <v>0</v>
      </c>
      <c r="AK85" s="3070">
        <v>0</v>
      </c>
      <c r="AL85" s="3070">
        <v>0</v>
      </c>
      <c r="AM85" s="3070">
        <v>12512.75</v>
      </c>
      <c r="AN85" s="3070">
        <v>1284058</v>
      </c>
      <c r="AP85" s="3070">
        <v>1284058</v>
      </c>
      <c r="AQ85" s="3072">
        <v>45138</v>
      </c>
      <c r="AT85" s="3073">
        <v>45678</v>
      </c>
      <c r="AV85" s="3070" t="s">
        <v>3962</v>
      </c>
      <c r="AW85" s="3070" t="s">
        <v>3963</v>
      </c>
      <c r="AX85" s="3070" t="s">
        <v>3964</v>
      </c>
      <c r="AY85" s="3070" t="s">
        <v>3393</v>
      </c>
      <c r="BC85" s="3070" t="s">
        <v>3284</v>
      </c>
      <c r="BD85" s="3070" t="s">
        <v>3077</v>
      </c>
      <c r="BI85" s="3070" t="s">
        <v>3235</v>
      </c>
      <c r="BL85" s="3070" t="s">
        <v>3965</v>
      </c>
      <c r="BM85" s="3070" t="s">
        <v>3841</v>
      </c>
      <c r="BN85" s="3070">
        <v>130</v>
      </c>
      <c r="BO85" s="3070" t="s">
        <v>3253</v>
      </c>
      <c r="BR85" s="3070">
        <v>158</v>
      </c>
      <c r="BS85" s="3070" t="s">
        <v>3238</v>
      </c>
      <c r="BT85" s="3070" t="s">
        <v>3086</v>
      </c>
      <c r="BZ85" s="3073">
        <v>44142.636805555558</v>
      </c>
      <c r="CA85" s="3070">
        <v>10</v>
      </c>
      <c r="CB85" s="3070" t="s">
        <v>3086</v>
      </c>
      <c r="CD85" s="3070" t="s">
        <v>3239</v>
      </c>
      <c r="CF85" s="3070" t="s">
        <v>3091</v>
      </c>
      <c r="CH85" s="3070" t="s">
        <v>3240</v>
      </c>
      <c r="CI85" s="3070">
        <v>0</v>
      </c>
      <c r="CK85" s="3070" t="s">
        <v>3393</v>
      </c>
      <c r="CL85" s="3070" t="s">
        <v>3393</v>
      </c>
      <c r="CM85" s="3070">
        <v>1178034.8600000001</v>
      </c>
      <c r="CV85" s="3070" t="s">
        <v>3246</v>
      </c>
      <c r="CW85" s="3070" t="s">
        <v>3966</v>
      </c>
      <c r="CZ85" s="3070">
        <v>213894.57</v>
      </c>
      <c r="DA85" s="3070">
        <v>159426.93</v>
      </c>
      <c r="DB85" s="3070">
        <v>0</v>
      </c>
      <c r="DC85" s="3070">
        <v>0</v>
      </c>
      <c r="DD85" s="3070">
        <v>3290547602</v>
      </c>
      <c r="DE85" s="3070">
        <v>2764253109</v>
      </c>
      <c r="DF85" s="3070">
        <v>1464966739</v>
      </c>
      <c r="DG85" s="3070">
        <v>14938370</v>
      </c>
      <c r="DH85" s="3070">
        <v>1284348000</v>
      </c>
      <c r="DI85" s="3070">
        <v>1278128000</v>
      </c>
      <c r="DJ85" s="3070">
        <v>6220000</v>
      </c>
      <c r="DK85" s="3070">
        <v>0</v>
      </c>
      <c r="DL85" s="3070">
        <v>0</v>
      </c>
      <c r="DM85" s="3070">
        <v>25491817.620000001</v>
      </c>
      <c r="DN85" s="3070">
        <v>2764253109</v>
      </c>
      <c r="DP85" s="3070">
        <v>2764253109</v>
      </c>
    </row>
    <row r="86" spans="1:120">
      <c r="A86" s="3070">
        <v>85</v>
      </c>
      <c r="B86" s="3070" t="s">
        <v>3224</v>
      </c>
      <c r="C86" s="3070">
        <v>10</v>
      </c>
      <c r="E86" s="3070">
        <v>1303</v>
      </c>
      <c r="F86" s="3070" t="s">
        <v>3967</v>
      </c>
      <c r="G86" s="3070" t="s">
        <v>3968</v>
      </c>
      <c r="H86" s="3070">
        <v>1283307</v>
      </c>
      <c r="I86" s="3070">
        <v>1283307</v>
      </c>
      <c r="J86" s="3070">
        <v>102.56</v>
      </c>
      <c r="K86" s="3070">
        <v>74.53</v>
      </c>
      <c r="L86" s="3070">
        <v>0</v>
      </c>
      <c r="M86" s="3070">
        <v>0</v>
      </c>
      <c r="N86" s="3070">
        <v>15444.44</v>
      </c>
      <c r="O86" s="3070">
        <v>1583982</v>
      </c>
      <c r="P86" s="3070">
        <v>12512.74</v>
      </c>
      <c r="Q86" s="3070">
        <v>1283307</v>
      </c>
      <c r="R86" s="3070" t="s">
        <v>3227</v>
      </c>
      <c r="S86" s="3070" t="s">
        <v>3969</v>
      </c>
      <c r="T86" s="3070" t="s">
        <v>3246</v>
      </c>
      <c r="U86" s="3070" t="s">
        <v>3371</v>
      </c>
      <c r="V86" s="3070" t="s">
        <v>3230</v>
      </c>
      <c r="Y86" s="3070">
        <v>503307</v>
      </c>
      <c r="Z86" s="3070">
        <v>503307</v>
      </c>
      <c r="AA86" s="3070">
        <v>503307</v>
      </c>
      <c r="AB86" s="3070">
        <v>0</v>
      </c>
      <c r="AC86" s="3070">
        <v>780000</v>
      </c>
      <c r="AD86" s="3070">
        <v>780000</v>
      </c>
      <c r="AE86" s="3070">
        <v>0</v>
      </c>
      <c r="AI86" s="3070" t="s">
        <v>3227</v>
      </c>
      <c r="AJ86" s="3070">
        <v>0</v>
      </c>
      <c r="AK86" s="3070">
        <v>0</v>
      </c>
      <c r="AL86" s="3070">
        <v>0</v>
      </c>
      <c r="AM86" s="3070">
        <v>12512.74</v>
      </c>
      <c r="AN86" s="3070">
        <v>1283307</v>
      </c>
      <c r="AP86" s="3070">
        <v>1283307</v>
      </c>
      <c r="AQ86" s="3072">
        <v>45138</v>
      </c>
      <c r="AT86" s="3073">
        <v>45678</v>
      </c>
      <c r="AV86" s="3070" t="s">
        <v>3970</v>
      </c>
      <c r="AW86" s="3070" t="s">
        <v>3971</v>
      </c>
      <c r="AX86" s="3070" t="s">
        <v>3972</v>
      </c>
      <c r="AY86" s="3070" t="s">
        <v>3364</v>
      </c>
      <c r="BC86" s="3070" t="s">
        <v>3284</v>
      </c>
      <c r="BD86" s="3070" t="s">
        <v>3077</v>
      </c>
      <c r="BI86" s="3070" t="s">
        <v>3235</v>
      </c>
      <c r="BJ86" s="3070" t="s">
        <v>3236</v>
      </c>
      <c r="BL86" s="3070" t="s">
        <v>3973</v>
      </c>
      <c r="BM86" s="3070" t="s">
        <v>3841</v>
      </c>
      <c r="BN86" s="3070">
        <v>130</v>
      </c>
      <c r="BO86" s="3070" t="s">
        <v>3253</v>
      </c>
      <c r="BR86" s="3070">
        <v>101</v>
      </c>
      <c r="BS86" s="3070" t="s">
        <v>3238</v>
      </c>
      <c r="BT86" s="3070" t="s">
        <v>3086</v>
      </c>
      <c r="BZ86" s="3073">
        <v>44142.957638888889</v>
      </c>
      <c r="CA86" s="3070">
        <v>10</v>
      </c>
      <c r="CB86" s="3070" t="s">
        <v>3086</v>
      </c>
      <c r="CD86" s="3070" t="s">
        <v>3239</v>
      </c>
      <c r="CF86" s="3070" t="s">
        <v>3091</v>
      </c>
      <c r="CH86" s="3070" t="s">
        <v>3240</v>
      </c>
      <c r="CI86" s="3070">
        <v>0</v>
      </c>
      <c r="CK86" s="3070" t="s">
        <v>3364</v>
      </c>
      <c r="CL86" s="3070" t="s">
        <v>3364</v>
      </c>
      <c r="CM86" s="3070">
        <v>1177345.8700000001</v>
      </c>
      <c r="CV86" s="3070" t="s">
        <v>3246</v>
      </c>
      <c r="CW86" s="3070" t="s">
        <v>3974</v>
      </c>
      <c r="CZ86" s="3070">
        <v>213894.57</v>
      </c>
      <c r="DA86" s="3070">
        <v>159426.93</v>
      </c>
      <c r="DB86" s="3070">
        <v>0</v>
      </c>
      <c r="DC86" s="3070">
        <v>0</v>
      </c>
      <c r="DD86" s="3070">
        <v>3290547602</v>
      </c>
      <c r="DE86" s="3070">
        <v>2764253109</v>
      </c>
      <c r="DF86" s="3070">
        <v>1464966739</v>
      </c>
      <c r="DG86" s="3070">
        <v>14938370</v>
      </c>
      <c r="DH86" s="3070">
        <v>1284348000</v>
      </c>
      <c r="DI86" s="3070">
        <v>1278128000</v>
      </c>
      <c r="DJ86" s="3070">
        <v>6220000</v>
      </c>
      <c r="DK86" s="3070">
        <v>0</v>
      </c>
      <c r="DL86" s="3070">
        <v>0</v>
      </c>
      <c r="DM86" s="3070">
        <v>25491817.620000001</v>
      </c>
      <c r="DN86" s="3070">
        <v>2764253109</v>
      </c>
      <c r="DP86" s="3070">
        <v>2764253109</v>
      </c>
    </row>
    <row r="87" spans="1:120">
      <c r="A87" s="3070">
        <v>86</v>
      </c>
      <c r="B87" s="3070" t="s">
        <v>3224</v>
      </c>
      <c r="C87" s="3070">
        <v>10</v>
      </c>
      <c r="E87" s="3070">
        <v>1304</v>
      </c>
      <c r="F87" s="3070" t="s">
        <v>3975</v>
      </c>
      <c r="G87" s="3070" t="s">
        <v>3976</v>
      </c>
      <c r="H87" s="3070">
        <v>1493147</v>
      </c>
      <c r="I87" s="3070">
        <v>1493147</v>
      </c>
      <c r="J87" s="3070">
        <v>114.02</v>
      </c>
      <c r="K87" s="3070">
        <v>82.85</v>
      </c>
      <c r="L87" s="3070">
        <v>0</v>
      </c>
      <c r="M87" s="3070">
        <v>0</v>
      </c>
      <c r="N87" s="3070">
        <v>15344.44</v>
      </c>
      <c r="O87" s="3070">
        <v>1749573</v>
      </c>
      <c r="P87" s="3070">
        <v>13095.48</v>
      </c>
      <c r="Q87" s="3070">
        <v>1493147</v>
      </c>
      <c r="R87" s="3070" t="s">
        <v>3227</v>
      </c>
      <c r="S87" s="3070" t="s">
        <v>3977</v>
      </c>
      <c r="T87" s="3070" t="s">
        <v>3258</v>
      </c>
      <c r="V87" s="3070" t="s">
        <v>3230</v>
      </c>
      <c r="Y87" s="3070">
        <v>453147</v>
      </c>
      <c r="Z87" s="3070">
        <v>453147</v>
      </c>
      <c r="AA87" s="3070">
        <v>453147</v>
      </c>
      <c r="AB87" s="3070">
        <v>0</v>
      </c>
      <c r="AC87" s="3070">
        <v>1040000</v>
      </c>
      <c r="AD87" s="3070">
        <v>1040000</v>
      </c>
      <c r="AE87" s="3070">
        <v>0</v>
      </c>
      <c r="AI87" s="3070" t="s">
        <v>3227</v>
      </c>
      <c r="AJ87" s="3070">
        <v>0</v>
      </c>
      <c r="AK87" s="3070">
        <v>0</v>
      </c>
      <c r="AL87" s="3070">
        <v>0</v>
      </c>
      <c r="AM87" s="3070">
        <v>13095.48</v>
      </c>
      <c r="AN87" s="3070">
        <v>1493147</v>
      </c>
      <c r="AP87" s="3070">
        <v>1493147</v>
      </c>
      <c r="AQ87" s="3072">
        <v>45138</v>
      </c>
      <c r="AT87" s="3073">
        <v>45678</v>
      </c>
      <c r="AV87" s="3070" t="s">
        <v>3978</v>
      </c>
      <c r="AW87" s="3070" t="s">
        <v>3979</v>
      </c>
      <c r="AX87" s="3070" t="s">
        <v>3980</v>
      </c>
      <c r="AY87" s="3070" t="s">
        <v>3981</v>
      </c>
      <c r="BA87" s="3070" t="s">
        <v>3981</v>
      </c>
      <c r="BC87" s="3070" t="s">
        <v>3982</v>
      </c>
      <c r="BD87" s="3070" t="s">
        <v>3077</v>
      </c>
      <c r="BI87" s="3070" t="s">
        <v>3235</v>
      </c>
      <c r="BL87" s="3070" t="s">
        <v>3983</v>
      </c>
      <c r="BM87" s="3070" t="s">
        <v>3841</v>
      </c>
      <c r="BN87" s="3070">
        <v>130</v>
      </c>
      <c r="BO87" s="3070" t="s">
        <v>3253</v>
      </c>
      <c r="BP87" s="3070" t="s">
        <v>3253</v>
      </c>
      <c r="BR87" s="3070">
        <v>16</v>
      </c>
      <c r="BS87" s="3070" t="s">
        <v>3238</v>
      </c>
      <c r="BT87" s="3070" t="s">
        <v>3086</v>
      </c>
      <c r="BU87" s="3070" t="s">
        <v>3981</v>
      </c>
      <c r="BV87" s="3070" t="s">
        <v>3984</v>
      </c>
      <c r="BZ87" s="3073">
        <v>44189.609027777777</v>
      </c>
      <c r="CA87" s="3070">
        <v>10</v>
      </c>
      <c r="CB87" s="3070" t="s">
        <v>3086</v>
      </c>
      <c r="CD87" s="3070" t="s">
        <v>3239</v>
      </c>
      <c r="CF87" s="3070" t="s">
        <v>3091</v>
      </c>
      <c r="CH87" s="3070" t="s">
        <v>3240</v>
      </c>
      <c r="CI87" s="3070">
        <v>0</v>
      </c>
      <c r="CJ87" s="3070" t="s">
        <v>3279</v>
      </c>
      <c r="CK87" s="3070" t="s">
        <v>3985</v>
      </c>
      <c r="CL87" s="3070" t="s">
        <v>3986</v>
      </c>
      <c r="CM87" s="3070">
        <v>1369859.63</v>
      </c>
      <c r="CV87" s="3070" t="s">
        <v>3258</v>
      </c>
      <c r="CW87" s="3070" t="s">
        <v>3987</v>
      </c>
      <c r="CZ87" s="3070">
        <v>213894.57</v>
      </c>
      <c r="DA87" s="3070">
        <v>159426.93</v>
      </c>
      <c r="DB87" s="3070">
        <v>0</v>
      </c>
      <c r="DC87" s="3070">
        <v>0</v>
      </c>
      <c r="DD87" s="3070">
        <v>3290547602</v>
      </c>
      <c r="DE87" s="3070">
        <v>2764253109</v>
      </c>
      <c r="DF87" s="3070">
        <v>1464966739</v>
      </c>
      <c r="DG87" s="3070">
        <v>14938370</v>
      </c>
      <c r="DH87" s="3070">
        <v>1284348000</v>
      </c>
      <c r="DI87" s="3070">
        <v>1278128000</v>
      </c>
      <c r="DJ87" s="3070">
        <v>6220000</v>
      </c>
      <c r="DK87" s="3070">
        <v>0</v>
      </c>
      <c r="DL87" s="3070">
        <v>0</v>
      </c>
      <c r="DM87" s="3070">
        <v>25491817.620000001</v>
      </c>
      <c r="DN87" s="3070">
        <v>2764253109</v>
      </c>
      <c r="DP87" s="3070">
        <v>2764253109</v>
      </c>
    </row>
    <row r="88" spans="1:120">
      <c r="A88" s="3070">
        <v>87</v>
      </c>
      <c r="B88" s="3070" t="s">
        <v>3224</v>
      </c>
      <c r="C88" s="3070">
        <v>10</v>
      </c>
      <c r="E88" s="3070">
        <v>1401</v>
      </c>
      <c r="F88" s="3070" t="s">
        <v>3988</v>
      </c>
      <c r="G88" s="3070" t="s">
        <v>3989</v>
      </c>
      <c r="H88" s="3070">
        <v>1360334</v>
      </c>
      <c r="I88" s="3070">
        <v>1360334</v>
      </c>
      <c r="J88" s="3070">
        <v>114.02</v>
      </c>
      <c r="K88" s="3070">
        <v>82.85</v>
      </c>
      <c r="L88" s="3070">
        <v>0</v>
      </c>
      <c r="M88" s="3070">
        <v>0</v>
      </c>
      <c r="N88" s="3070">
        <v>15294.44</v>
      </c>
      <c r="O88" s="3070">
        <v>1743872</v>
      </c>
      <c r="P88" s="3070">
        <v>11930.66</v>
      </c>
      <c r="Q88" s="3070">
        <v>1360334</v>
      </c>
      <c r="R88" s="3070" t="s">
        <v>3227</v>
      </c>
      <c r="S88" s="3070" t="s">
        <v>3990</v>
      </c>
      <c r="T88" s="3070" t="s">
        <v>3991</v>
      </c>
      <c r="V88" s="3070" t="s">
        <v>3230</v>
      </c>
      <c r="Y88" s="3070">
        <v>408100</v>
      </c>
      <c r="Z88" s="3070">
        <v>408100</v>
      </c>
      <c r="AA88" s="3070">
        <v>1360334</v>
      </c>
      <c r="AB88" s="3070">
        <v>0</v>
      </c>
      <c r="AC88" s="3070">
        <v>0</v>
      </c>
      <c r="AD88" s="3070">
        <v>0</v>
      </c>
      <c r="AE88" s="3070">
        <v>0</v>
      </c>
      <c r="AI88" s="3070" t="s">
        <v>3227</v>
      </c>
      <c r="AJ88" s="3070">
        <v>0</v>
      </c>
      <c r="AK88" s="3070">
        <v>0</v>
      </c>
      <c r="AL88" s="3070">
        <v>0</v>
      </c>
      <c r="AM88" s="3070">
        <v>11930.66</v>
      </c>
      <c r="AN88" s="3070">
        <v>1360334</v>
      </c>
      <c r="AP88" s="3070">
        <v>1360334</v>
      </c>
      <c r="AQ88" s="3072">
        <v>45138</v>
      </c>
      <c r="AT88" s="3073">
        <v>45678</v>
      </c>
      <c r="AV88" s="3070" t="s">
        <v>3992</v>
      </c>
      <c r="AW88" s="3070" t="s">
        <v>3993</v>
      </c>
      <c r="AX88" s="3070" t="s">
        <v>3994</v>
      </c>
      <c r="AY88" s="3070" t="s">
        <v>3981</v>
      </c>
      <c r="BA88" s="3070" t="s">
        <v>3981</v>
      </c>
      <c r="BC88" s="3070" t="s">
        <v>3995</v>
      </c>
      <c r="BD88" s="3070" t="s">
        <v>3077</v>
      </c>
      <c r="BI88" s="3070" t="s">
        <v>3295</v>
      </c>
      <c r="BL88" s="3070" t="s">
        <v>3996</v>
      </c>
      <c r="BM88" s="3070" t="s">
        <v>3841</v>
      </c>
      <c r="BN88" s="3070">
        <v>140</v>
      </c>
      <c r="BR88" s="3070">
        <v>21</v>
      </c>
      <c r="BS88" s="3070" t="s">
        <v>3238</v>
      </c>
      <c r="BT88" s="3070" t="s">
        <v>3086</v>
      </c>
      <c r="BU88" s="3070" t="s">
        <v>3981</v>
      </c>
      <c r="BZ88" s="3073">
        <v>44206.704861111109</v>
      </c>
      <c r="CA88" s="3070">
        <v>10</v>
      </c>
      <c r="CB88" s="3070" t="s">
        <v>3086</v>
      </c>
      <c r="CD88" s="3070" t="s">
        <v>3239</v>
      </c>
      <c r="CF88" s="3070" t="s">
        <v>3091</v>
      </c>
      <c r="CH88" s="3070" t="s">
        <v>3240</v>
      </c>
      <c r="CI88" s="3070">
        <v>0</v>
      </c>
      <c r="CK88" s="3070" t="s">
        <v>3981</v>
      </c>
      <c r="CL88" s="3070" t="s">
        <v>3986</v>
      </c>
      <c r="CM88" s="3070">
        <v>1248012.8400000001</v>
      </c>
      <c r="CV88" s="3070" t="s">
        <v>3494</v>
      </c>
      <c r="CW88" s="3070" t="s">
        <v>3997</v>
      </c>
      <c r="CZ88" s="3070">
        <v>213894.57</v>
      </c>
      <c r="DA88" s="3070">
        <v>159426.93</v>
      </c>
      <c r="DB88" s="3070">
        <v>0</v>
      </c>
      <c r="DC88" s="3070">
        <v>0</v>
      </c>
      <c r="DD88" s="3070">
        <v>3290547602</v>
      </c>
      <c r="DE88" s="3070">
        <v>2764253109</v>
      </c>
      <c r="DF88" s="3070">
        <v>1464966739</v>
      </c>
      <c r="DG88" s="3070">
        <v>14938370</v>
      </c>
      <c r="DH88" s="3070">
        <v>1284348000</v>
      </c>
      <c r="DI88" s="3070">
        <v>1278128000</v>
      </c>
      <c r="DJ88" s="3070">
        <v>6220000</v>
      </c>
      <c r="DK88" s="3070">
        <v>0</v>
      </c>
      <c r="DL88" s="3070">
        <v>0</v>
      </c>
      <c r="DM88" s="3070">
        <v>25491817.620000001</v>
      </c>
      <c r="DN88" s="3070">
        <v>2764253109</v>
      </c>
      <c r="DP88" s="3070">
        <v>2764253109</v>
      </c>
    </row>
    <row r="89" spans="1:120">
      <c r="A89" s="3070">
        <v>88</v>
      </c>
      <c r="B89" s="3070" t="s">
        <v>3224</v>
      </c>
      <c r="C89" s="3070">
        <v>10</v>
      </c>
      <c r="E89" s="3070">
        <v>1402</v>
      </c>
      <c r="F89" s="3070" t="s">
        <v>3998</v>
      </c>
      <c r="G89" s="3070" t="s">
        <v>3999</v>
      </c>
      <c r="H89" s="3070">
        <v>1274303</v>
      </c>
      <c r="I89" s="3070">
        <v>1274303</v>
      </c>
      <c r="J89" s="3070">
        <v>102.62</v>
      </c>
      <c r="K89" s="3070">
        <v>74.569999999999993</v>
      </c>
      <c r="L89" s="3070">
        <v>0</v>
      </c>
      <c r="M89" s="3070">
        <v>0</v>
      </c>
      <c r="N89" s="3070">
        <v>15344.44</v>
      </c>
      <c r="O89" s="3070">
        <v>1574646</v>
      </c>
      <c r="P89" s="3070">
        <v>12417.69</v>
      </c>
      <c r="Q89" s="3070">
        <v>1274303</v>
      </c>
      <c r="R89" s="3070" t="s">
        <v>3227</v>
      </c>
      <c r="S89" s="3070" t="s">
        <v>4000</v>
      </c>
      <c r="T89" s="3070" t="s">
        <v>3246</v>
      </c>
      <c r="U89" s="3070" t="s">
        <v>3247</v>
      </c>
      <c r="V89" s="3070" t="s">
        <v>3230</v>
      </c>
      <c r="Y89" s="3070">
        <v>774303</v>
      </c>
      <c r="Z89" s="3070">
        <v>774303</v>
      </c>
      <c r="AA89" s="3070">
        <v>774303</v>
      </c>
      <c r="AB89" s="3070">
        <v>0</v>
      </c>
      <c r="AC89" s="3070">
        <v>500000</v>
      </c>
      <c r="AD89" s="3070">
        <v>500000</v>
      </c>
      <c r="AE89" s="3070">
        <v>0</v>
      </c>
      <c r="AI89" s="3070" t="s">
        <v>3227</v>
      </c>
      <c r="AJ89" s="3070">
        <v>0</v>
      </c>
      <c r="AK89" s="3070">
        <v>0</v>
      </c>
      <c r="AL89" s="3070">
        <v>0</v>
      </c>
      <c r="AM89" s="3070">
        <v>12417.69</v>
      </c>
      <c r="AN89" s="3070">
        <v>1274303</v>
      </c>
      <c r="AP89" s="3070">
        <v>1274303</v>
      </c>
      <c r="AQ89" s="3072">
        <v>45138</v>
      </c>
      <c r="AT89" s="3073">
        <v>45678</v>
      </c>
      <c r="AV89" s="3074">
        <v>3.21E+17</v>
      </c>
      <c r="AW89" s="3070" t="s">
        <v>4001</v>
      </c>
      <c r="AX89" s="3070" t="s">
        <v>4002</v>
      </c>
      <c r="AY89" s="3070" t="s">
        <v>3429</v>
      </c>
      <c r="BC89" s="3070" t="s">
        <v>3284</v>
      </c>
      <c r="BD89" s="3070" t="s">
        <v>3077</v>
      </c>
      <c r="BI89" s="3070" t="s">
        <v>3235</v>
      </c>
      <c r="BJ89" s="3070" t="s">
        <v>3296</v>
      </c>
      <c r="BL89" s="3070" t="s">
        <v>4003</v>
      </c>
      <c r="BM89" s="3070" t="s">
        <v>3841</v>
      </c>
      <c r="BN89" s="3070">
        <v>140</v>
      </c>
      <c r="BO89" s="3070" t="s">
        <v>3253</v>
      </c>
      <c r="BR89" s="3070">
        <v>197</v>
      </c>
      <c r="BS89" s="3070" t="s">
        <v>3238</v>
      </c>
      <c r="BT89" s="3070" t="s">
        <v>3086</v>
      </c>
      <c r="BZ89" s="3073">
        <v>44142.689583333333</v>
      </c>
      <c r="CA89" s="3070">
        <v>10</v>
      </c>
      <c r="CB89" s="3070" t="s">
        <v>3086</v>
      </c>
      <c r="CD89" s="3070" t="s">
        <v>3239</v>
      </c>
      <c r="CF89" s="3070" t="s">
        <v>3091</v>
      </c>
      <c r="CH89" s="3070" t="s">
        <v>3240</v>
      </c>
      <c r="CI89" s="3070">
        <v>0</v>
      </c>
      <c r="CK89" s="3070" t="s">
        <v>3429</v>
      </c>
      <c r="CL89" s="3070" t="s">
        <v>3429</v>
      </c>
      <c r="CM89" s="3070">
        <v>1169085.32</v>
      </c>
      <c r="CV89" s="3070" t="s">
        <v>3246</v>
      </c>
      <c r="CW89" s="3070" t="s">
        <v>4004</v>
      </c>
      <c r="CX89" s="3070" t="s">
        <v>3242</v>
      </c>
      <c r="CZ89" s="3070">
        <v>213894.57</v>
      </c>
      <c r="DA89" s="3070">
        <v>159426.93</v>
      </c>
      <c r="DB89" s="3070">
        <v>0</v>
      </c>
      <c r="DC89" s="3070">
        <v>0</v>
      </c>
      <c r="DD89" s="3070">
        <v>3290547602</v>
      </c>
      <c r="DE89" s="3070">
        <v>2764253109</v>
      </c>
      <c r="DF89" s="3070">
        <v>1464966739</v>
      </c>
      <c r="DG89" s="3070">
        <v>14938370</v>
      </c>
      <c r="DH89" s="3070">
        <v>1284348000</v>
      </c>
      <c r="DI89" s="3070">
        <v>1278128000</v>
      </c>
      <c r="DJ89" s="3070">
        <v>6220000</v>
      </c>
      <c r="DK89" s="3070">
        <v>0</v>
      </c>
      <c r="DL89" s="3070">
        <v>0</v>
      </c>
      <c r="DM89" s="3070">
        <v>25491817.620000001</v>
      </c>
      <c r="DN89" s="3070">
        <v>2764253109</v>
      </c>
      <c r="DP89" s="3070">
        <v>2764253109</v>
      </c>
    </row>
    <row r="90" spans="1:120">
      <c r="A90" s="3070">
        <v>89</v>
      </c>
      <c r="B90" s="3070" t="s">
        <v>3224</v>
      </c>
      <c r="C90" s="3070">
        <v>10</v>
      </c>
      <c r="E90" s="3070">
        <v>1403</v>
      </c>
      <c r="F90" s="3070" t="s">
        <v>4005</v>
      </c>
      <c r="G90" s="3070" t="s">
        <v>4006</v>
      </c>
      <c r="H90" s="3070">
        <v>1273558</v>
      </c>
      <c r="I90" s="3070">
        <v>1273558</v>
      </c>
      <c r="J90" s="3070">
        <v>102.56</v>
      </c>
      <c r="K90" s="3070">
        <v>74.53</v>
      </c>
      <c r="L90" s="3070">
        <v>0</v>
      </c>
      <c r="M90" s="3070">
        <v>0</v>
      </c>
      <c r="N90" s="3070">
        <v>15344.44</v>
      </c>
      <c r="O90" s="3070">
        <v>1573726</v>
      </c>
      <c r="P90" s="3070">
        <v>12417.69</v>
      </c>
      <c r="Q90" s="3070">
        <v>1273558</v>
      </c>
      <c r="R90" s="3070" t="s">
        <v>3227</v>
      </c>
      <c r="S90" s="3070" t="s">
        <v>4007</v>
      </c>
      <c r="T90" s="3070" t="s">
        <v>3258</v>
      </c>
      <c r="U90" s="3070" t="s">
        <v>3259</v>
      </c>
      <c r="V90" s="3070" t="s">
        <v>3230</v>
      </c>
      <c r="Y90" s="3070">
        <v>383558</v>
      </c>
      <c r="Z90" s="3070">
        <v>383558</v>
      </c>
      <c r="AA90" s="3070">
        <v>383558</v>
      </c>
      <c r="AB90" s="3070">
        <v>0</v>
      </c>
      <c r="AC90" s="3070">
        <v>890000</v>
      </c>
      <c r="AD90" s="3070">
        <v>890000</v>
      </c>
      <c r="AE90" s="3070">
        <v>0</v>
      </c>
      <c r="AI90" s="3070" t="s">
        <v>3227</v>
      </c>
      <c r="AJ90" s="3070">
        <v>0</v>
      </c>
      <c r="AK90" s="3070">
        <v>0</v>
      </c>
      <c r="AL90" s="3070">
        <v>0</v>
      </c>
      <c r="AM90" s="3070">
        <v>12417.69</v>
      </c>
      <c r="AN90" s="3070">
        <v>1273558</v>
      </c>
      <c r="AP90" s="3070">
        <v>1273558</v>
      </c>
      <c r="AQ90" s="3072">
        <v>45138</v>
      </c>
      <c r="AT90" s="3073">
        <v>45678</v>
      </c>
      <c r="AV90" s="3070" t="s">
        <v>4008</v>
      </c>
      <c r="AW90" s="3070" t="s">
        <v>4009</v>
      </c>
      <c r="AX90" s="3070" t="s">
        <v>4010</v>
      </c>
      <c r="AY90" s="3070" t="s">
        <v>3385</v>
      </c>
      <c r="BC90" s="3070" t="s">
        <v>3263</v>
      </c>
      <c r="BD90" s="3070" t="s">
        <v>3077</v>
      </c>
      <c r="BI90" s="3070" t="s">
        <v>3235</v>
      </c>
      <c r="BJ90" s="3070" t="s">
        <v>3328</v>
      </c>
      <c r="BL90" s="3070" t="s">
        <v>4011</v>
      </c>
      <c r="BM90" s="3070" t="s">
        <v>3841</v>
      </c>
      <c r="BN90" s="3070">
        <v>140</v>
      </c>
      <c r="BO90" s="3070" t="s">
        <v>3253</v>
      </c>
      <c r="BP90" s="3070" t="s">
        <v>3253</v>
      </c>
      <c r="BR90" s="3070">
        <v>729</v>
      </c>
      <c r="BS90" s="3070" t="s">
        <v>3238</v>
      </c>
      <c r="BT90" s="3070" t="s">
        <v>3086</v>
      </c>
      <c r="BZ90" s="3073">
        <v>44149.78125</v>
      </c>
      <c r="CA90" s="3070">
        <v>10</v>
      </c>
      <c r="CB90" s="3070" t="s">
        <v>3086</v>
      </c>
      <c r="CD90" s="3070" t="s">
        <v>3239</v>
      </c>
      <c r="CF90" s="3070" t="s">
        <v>3091</v>
      </c>
      <c r="CH90" s="3070" t="s">
        <v>3240</v>
      </c>
      <c r="CI90" s="3070">
        <v>0</v>
      </c>
      <c r="CJ90" s="3070" t="s">
        <v>3259</v>
      </c>
      <c r="CK90" s="3070" t="s">
        <v>3385</v>
      </c>
      <c r="CL90" s="3070" t="s">
        <v>3385</v>
      </c>
      <c r="CM90" s="3070">
        <v>1168401.83</v>
      </c>
      <c r="CV90" s="3070" t="s">
        <v>3258</v>
      </c>
      <c r="CW90" s="3070" t="s">
        <v>4012</v>
      </c>
      <c r="CX90" s="3070" t="s">
        <v>3242</v>
      </c>
      <c r="CZ90" s="3070">
        <v>213894.57</v>
      </c>
      <c r="DA90" s="3070">
        <v>159426.93</v>
      </c>
      <c r="DB90" s="3070">
        <v>0</v>
      </c>
      <c r="DC90" s="3070">
        <v>0</v>
      </c>
      <c r="DD90" s="3070">
        <v>3290547602</v>
      </c>
      <c r="DE90" s="3070">
        <v>2764253109</v>
      </c>
      <c r="DF90" s="3070">
        <v>1464966739</v>
      </c>
      <c r="DG90" s="3070">
        <v>14938370</v>
      </c>
      <c r="DH90" s="3070">
        <v>1284348000</v>
      </c>
      <c r="DI90" s="3070">
        <v>1278128000</v>
      </c>
      <c r="DJ90" s="3070">
        <v>6220000</v>
      </c>
      <c r="DK90" s="3070">
        <v>0</v>
      </c>
      <c r="DL90" s="3070">
        <v>0</v>
      </c>
      <c r="DM90" s="3070">
        <v>25491817.620000001</v>
      </c>
      <c r="DN90" s="3070">
        <v>2764253109</v>
      </c>
      <c r="DP90" s="3070">
        <v>2764253109</v>
      </c>
    </row>
    <row r="91" spans="1:120">
      <c r="A91" s="3070">
        <v>90</v>
      </c>
      <c r="B91" s="3070" t="s">
        <v>3224</v>
      </c>
      <c r="C91" s="3070">
        <v>10</v>
      </c>
      <c r="E91" s="3070">
        <v>1404</v>
      </c>
      <c r="F91" s="3070" t="s">
        <v>4013</v>
      </c>
      <c r="G91" s="3070" t="s">
        <v>4014</v>
      </c>
      <c r="H91" s="3070">
        <v>1431976</v>
      </c>
      <c r="I91" s="3070">
        <v>1431976</v>
      </c>
      <c r="J91" s="3070">
        <v>114.02</v>
      </c>
      <c r="K91" s="3070">
        <v>82.85</v>
      </c>
      <c r="L91" s="3070">
        <v>0</v>
      </c>
      <c r="M91" s="3070">
        <v>0</v>
      </c>
      <c r="N91" s="3070">
        <v>15244.44</v>
      </c>
      <c r="O91" s="3070">
        <v>1738171</v>
      </c>
      <c r="P91" s="3070">
        <v>12558.99</v>
      </c>
      <c r="Q91" s="3070">
        <v>1431976</v>
      </c>
      <c r="R91" s="3070" t="s">
        <v>3227</v>
      </c>
      <c r="S91" s="3070" t="s">
        <v>4015</v>
      </c>
      <c r="T91" s="3070" t="s">
        <v>3991</v>
      </c>
      <c r="V91" s="3070" t="s">
        <v>3230</v>
      </c>
      <c r="Y91" s="3070">
        <v>429593</v>
      </c>
      <c r="Z91" s="3070">
        <v>429593</v>
      </c>
      <c r="AA91" s="3070">
        <v>1431976</v>
      </c>
      <c r="AB91" s="3070">
        <v>0</v>
      </c>
      <c r="AC91" s="3070">
        <v>0</v>
      </c>
      <c r="AD91" s="3070">
        <v>0</v>
      </c>
      <c r="AE91" s="3070">
        <v>0</v>
      </c>
      <c r="AI91" s="3070" t="s">
        <v>3227</v>
      </c>
      <c r="AJ91" s="3070">
        <v>0</v>
      </c>
      <c r="AK91" s="3070">
        <v>0</v>
      </c>
      <c r="AL91" s="3070">
        <v>0</v>
      </c>
      <c r="AM91" s="3070">
        <v>12558.99</v>
      </c>
      <c r="AN91" s="3070">
        <v>1431976</v>
      </c>
      <c r="AP91" s="3070">
        <v>1431976</v>
      </c>
      <c r="AQ91" s="3072">
        <v>45138</v>
      </c>
      <c r="AT91" s="3073">
        <v>45678</v>
      </c>
      <c r="AV91" s="3070" t="s">
        <v>4016</v>
      </c>
      <c r="AW91" s="3070" t="s">
        <v>4017</v>
      </c>
      <c r="AX91" s="3070" t="s">
        <v>4018</v>
      </c>
      <c r="AY91" s="3070" t="s">
        <v>4019</v>
      </c>
      <c r="BA91" s="3070" t="s">
        <v>4019</v>
      </c>
      <c r="BC91" s="3070" t="s">
        <v>4020</v>
      </c>
      <c r="BD91" s="3070" t="s">
        <v>3077</v>
      </c>
      <c r="BI91" s="3070" t="s">
        <v>3295</v>
      </c>
      <c r="BL91" s="3070" t="s">
        <v>4021</v>
      </c>
      <c r="BM91" s="3070" t="s">
        <v>3841</v>
      </c>
      <c r="BN91" s="3070">
        <v>140</v>
      </c>
      <c r="BR91" s="3070">
        <v>16</v>
      </c>
      <c r="BS91" s="3070" t="s">
        <v>3238</v>
      </c>
      <c r="BT91" s="3070" t="s">
        <v>3086</v>
      </c>
      <c r="BU91" s="3070" t="s">
        <v>4019</v>
      </c>
      <c r="BZ91" s="3073">
        <v>44221.564583333333</v>
      </c>
      <c r="CA91" s="3070">
        <v>10</v>
      </c>
      <c r="CB91" s="3070" t="s">
        <v>3086</v>
      </c>
      <c r="CD91" s="3070" t="s">
        <v>3239</v>
      </c>
      <c r="CF91" s="3070" t="s">
        <v>3091</v>
      </c>
      <c r="CH91" s="3070" t="s">
        <v>3240</v>
      </c>
      <c r="CI91" s="3070">
        <v>0</v>
      </c>
      <c r="CK91" s="3070" t="s">
        <v>4019</v>
      </c>
      <c r="CL91" s="3070" t="s">
        <v>4022</v>
      </c>
      <c r="CM91" s="3070">
        <v>1313739.45</v>
      </c>
      <c r="CV91" s="3070" t="s">
        <v>3494</v>
      </c>
      <c r="CW91" s="3070" t="s">
        <v>4023</v>
      </c>
      <c r="CZ91" s="3070">
        <v>213894.57</v>
      </c>
      <c r="DA91" s="3070">
        <v>159426.93</v>
      </c>
      <c r="DB91" s="3070">
        <v>0</v>
      </c>
      <c r="DC91" s="3070">
        <v>0</v>
      </c>
      <c r="DD91" s="3070">
        <v>3290547602</v>
      </c>
      <c r="DE91" s="3070">
        <v>2764253109</v>
      </c>
      <c r="DF91" s="3070">
        <v>1464966739</v>
      </c>
      <c r="DG91" s="3070">
        <v>14938370</v>
      </c>
      <c r="DH91" s="3070">
        <v>1284348000</v>
      </c>
      <c r="DI91" s="3070">
        <v>1278128000</v>
      </c>
      <c r="DJ91" s="3070">
        <v>6220000</v>
      </c>
      <c r="DK91" s="3070">
        <v>0</v>
      </c>
      <c r="DL91" s="3070">
        <v>0</v>
      </c>
      <c r="DM91" s="3070">
        <v>25491817.620000001</v>
      </c>
      <c r="DN91" s="3070">
        <v>2764253109</v>
      </c>
      <c r="DP91" s="3070">
        <v>2764253109</v>
      </c>
    </row>
    <row r="92" spans="1:120">
      <c r="A92" s="3070">
        <v>91</v>
      </c>
      <c r="B92" s="3070" t="s">
        <v>3224</v>
      </c>
      <c r="C92" s="3070">
        <v>10</v>
      </c>
      <c r="E92" s="3070">
        <v>1501</v>
      </c>
      <c r="F92" s="3070" t="s">
        <v>4024</v>
      </c>
      <c r="G92" s="3070" t="s">
        <v>4025</v>
      </c>
      <c r="H92" s="3070">
        <v>1415865</v>
      </c>
      <c r="I92" s="3070">
        <v>1415865</v>
      </c>
      <c r="J92" s="3070">
        <v>114.02</v>
      </c>
      <c r="K92" s="3070">
        <v>82.85</v>
      </c>
      <c r="L92" s="3070">
        <v>0</v>
      </c>
      <c r="M92" s="3070">
        <v>0</v>
      </c>
      <c r="N92" s="3070">
        <v>15344.44</v>
      </c>
      <c r="O92" s="3070">
        <v>1749573</v>
      </c>
      <c r="P92" s="3070">
        <v>12417.69</v>
      </c>
      <c r="Q92" s="3070">
        <v>1415865</v>
      </c>
      <c r="R92" s="3070" t="s">
        <v>3227</v>
      </c>
      <c r="S92" s="3070" t="s">
        <v>4026</v>
      </c>
      <c r="T92" s="3070" t="s">
        <v>3246</v>
      </c>
      <c r="U92" s="3070" t="s">
        <v>3247</v>
      </c>
      <c r="V92" s="3070" t="s">
        <v>3230</v>
      </c>
      <c r="Y92" s="3070">
        <v>815865</v>
      </c>
      <c r="Z92" s="3070">
        <v>815865</v>
      </c>
      <c r="AA92" s="3070">
        <v>815865</v>
      </c>
      <c r="AB92" s="3070">
        <v>0</v>
      </c>
      <c r="AC92" s="3070">
        <v>600000</v>
      </c>
      <c r="AD92" s="3070">
        <v>600000</v>
      </c>
      <c r="AE92" s="3070">
        <v>0</v>
      </c>
      <c r="AI92" s="3070" t="s">
        <v>3227</v>
      </c>
      <c r="AJ92" s="3070">
        <v>0</v>
      </c>
      <c r="AK92" s="3070">
        <v>0</v>
      </c>
      <c r="AL92" s="3070">
        <v>0</v>
      </c>
      <c r="AM92" s="3070">
        <v>12417.69</v>
      </c>
      <c r="AN92" s="3070">
        <v>1415865</v>
      </c>
      <c r="AP92" s="3070">
        <v>1415865</v>
      </c>
      <c r="AQ92" s="3072">
        <v>45138</v>
      </c>
      <c r="AT92" s="3073">
        <v>45678</v>
      </c>
      <c r="AV92" s="3070" t="s">
        <v>4027</v>
      </c>
      <c r="AW92" s="3070" t="s">
        <v>4028</v>
      </c>
      <c r="AX92" s="3070" t="s">
        <v>4029</v>
      </c>
      <c r="AY92" s="3070" t="s">
        <v>3306</v>
      </c>
      <c r="BC92" s="3070" t="s">
        <v>3284</v>
      </c>
      <c r="BD92" s="3070" t="s">
        <v>3077</v>
      </c>
      <c r="BI92" s="3070" t="s">
        <v>3295</v>
      </c>
      <c r="BJ92" s="3070" t="s">
        <v>3296</v>
      </c>
      <c r="BL92" s="3070" t="s">
        <v>4030</v>
      </c>
      <c r="BM92" s="3070" t="s">
        <v>3841</v>
      </c>
      <c r="BN92" s="3070">
        <v>150</v>
      </c>
      <c r="BO92" s="3070" t="s">
        <v>3253</v>
      </c>
      <c r="BR92" s="3070">
        <v>74</v>
      </c>
      <c r="BS92" s="3070" t="s">
        <v>3238</v>
      </c>
      <c r="BT92" s="3070" t="s">
        <v>3086</v>
      </c>
      <c r="BZ92" s="3073">
        <v>44142.951388888891</v>
      </c>
      <c r="CA92" s="3070">
        <v>10</v>
      </c>
      <c r="CB92" s="3070" t="s">
        <v>3086</v>
      </c>
      <c r="CD92" s="3070" t="s">
        <v>3239</v>
      </c>
      <c r="CF92" s="3070" t="s">
        <v>3091</v>
      </c>
      <c r="CH92" s="3070" t="s">
        <v>3240</v>
      </c>
      <c r="CI92" s="3070">
        <v>0</v>
      </c>
      <c r="CK92" s="3070" t="s">
        <v>3306</v>
      </c>
      <c r="CL92" s="3070" t="s">
        <v>3306</v>
      </c>
      <c r="CM92" s="3070">
        <v>1298958.72</v>
      </c>
      <c r="CV92" s="3070" t="s">
        <v>3246</v>
      </c>
      <c r="CW92" s="3070" t="s">
        <v>4031</v>
      </c>
      <c r="CZ92" s="3070">
        <v>213894.57</v>
      </c>
      <c r="DA92" s="3070">
        <v>159426.93</v>
      </c>
      <c r="DB92" s="3070">
        <v>0</v>
      </c>
      <c r="DC92" s="3070">
        <v>0</v>
      </c>
      <c r="DD92" s="3070">
        <v>3290547602</v>
      </c>
      <c r="DE92" s="3070">
        <v>2764253109</v>
      </c>
      <c r="DF92" s="3070">
        <v>1464966739</v>
      </c>
      <c r="DG92" s="3070">
        <v>14938370</v>
      </c>
      <c r="DH92" s="3070">
        <v>1284348000</v>
      </c>
      <c r="DI92" s="3070">
        <v>1278128000</v>
      </c>
      <c r="DJ92" s="3070">
        <v>6220000</v>
      </c>
      <c r="DK92" s="3070">
        <v>0</v>
      </c>
      <c r="DL92" s="3070">
        <v>0</v>
      </c>
      <c r="DM92" s="3070">
        <v>25491817.620000001</v>
      </c>
      <c r="DN92" s="3070">
        <v>2764253109</v>
      </c>
      <c r="DP92" s="3070">
        <v>2764253109</v>
      </c>
    </row>
    <row r="93" spans="1:120">
      <c r="A93" s="3070">
        <v>92</v>
      </c>
      <c r="B93" s="3070" t="s">
        <v>3224</v>
      </c>
      <c r="C93" s="3070">
        <v>10</v>
      </c>
      <c r="E93" s="3070">
        <v>1502</v>
      </c>
      <c r="F93" s="3070" t="s">
        <v>4032</v>
      </c>
      <c r="G93" s="3070" t="s">
        <v>4033</v>
      </c>
      <c r="H93" s="3070">
        <v>1279181</v>
      </c>
      <c r="I93" s="3070">
        <v>1279181</v>
      </c>
      <c r="J93" s="3070">
        <v>102.62</v>
      </c>
      <c r="K93" s="3070">
        <v>74.569999999999993</v>
      </c>
      <c r="L93" s="3070">
        <v>0</v>
      </c>
      <c r="M93" s="3070">
        <v>0</v>
      </c>
      <c r="N93" s="3070">
        <v>15394.44</v>
      </c>
      <c r="O93" s="3070">
        <v>1579777</v>
      </c>
      <c r="P93" s="3070">
        <v>12465.22</v>
      </c>
      <c r="Q93" s="3070">
        <v>1279181</v>
      </c>
      <c r="R93" s="3070" t="s">
        <v>3227</v>
      </c>
      <c r="S93" s="3070" t="s">
        <v>4034</v>
      </c>
      <c r="T93" s="3070" t="s">
        <v>3258</v>
      </c>
      <c r="U93" s="3070" t="s">
        <v>3259</v>
      </c>
      <c r="V93" s="3070" t="s">
        <v>3230</v>
      </c>
      <c r="Y93" s="3070">
        <v>389181</v>
      </c>
      <c r="Z93" s="3070">
        <v>389181</v>
      </c>
      <c r="AA93" s="3070">
        <v>389181</v>
      </c>
      <c r="AB93" s="3070">
        <v>0</v>
      </c>
      <c r="AC93" s="3070">
        <v>890000</v>
      </c>
      <c r="AD93" s="3070">
        <v>890000</v>
      </c>
      <c r="AE93" s="3070">
        <v>0</v>
      </c>
      <c r="AI93" s="3070" t="s">
        <v>3227</v>
      </c>
      <c r="AJ93" s="3070">
        <v>0</v>
      </c>
      <c r="AK93" s="3070">
        <v>0</v>
      </c>
      <c r="AL93" s="3070">
        <v>0</v>
      </c>
      <c r="AM93" s="3070">
        <v>12465.22</v>
      </c>
      <c r="AN93" s="3070">
        <v>1279181</v>
      </c>
      <c r="AP93" s="3070">
        <v>1279181</v>
      </c>
      <c r="AQ93" s="3072">
        <v>45138</v>
      </c>
      <c r="AT93" s="3073">
        <v>45678</v>
      </c>
      <c r="AV93" s="3070" t="s">
        <v>4035</v>
      </c>
      <c r="AW93" s="3070" t="s">
        <v>4036</v>
      </c>
      <c r="AX93" s="3070" t="s">
        <v>4037</v>
      </c>
      <c r="AY93" s="3070" t="s">
        <v>3411</v>
      </c>
      <c r="BC93" s="3070" t="s">
        <v>3263</v>
      </c>
      <c r="BD93" s="3070" t="s">
        <v>3077</v>
      </c>
      <c r="BI93" s="3070" t="s">
        <v>3235</v>
      </c>
      <c r="BJ93" s="3070" t="s">
        <v>3296</v>
      </c>
      <c r="BL93" s="3070" t="s">
        <v>4038</v>
      </c>
      <c r="BM93" s="3070" t="s">
        <v>3841</v>
      </c>
      <c r="BN93" s="3070">
        <v>150</v>
      </c>
      <c r="BO93" s="3070" t="s">
        <v>3253</v>
      </c>
      <c r="BP93" s="3070" t="s">
        <v>3253</v>
      </c>
      <c r="BR93" s="3070">
        <v>231</v>
      </c>
      <c r="BS93" s="3070" t="s">
        <v>3238</v>
      </c>
      <c r="BT93" s="3070" t="s">
        <v>3086</v>
      </c>
      <c r="BZ93" s="3073">
        <v>44142.655555555553</v>
      </c>
      <c r="CA93" s="3070">
        <v>10</v>
      </c>
      <c r="CB93" s="3070" t="s">
        <v>3086</v>
      </c>
      <c r="CD93" s="3070" t="s">
        <v>3239</v>
      </c>
      <c r="CF93" s="3070" t="s">
        <v>3091</v>
      </c>
      <c r="CH93" s="3070" t="s">
        <v>3240</v>
      </c>
      <c r="CI93" s="3070">
        <v>0</v>
      </c>
      <c r="CJ93" s="3070" t="s">
        <v>3259</v>
      </c>
      <c r="CK93" s="3070" t="s">
        <v>3411</v>
      </c>
      <c r="CL93" s="3070" t="s">
        <v>3411</v>
      </c>
      <c r="CM93" s="3070">
        <v>1173560.56</v>
      </c>
      <c r="CV93" s="3070" t="s">
        <v>3258</v>
      </c>
      <c r="CW93" s="3070" t="s">
        <v>4039</v>
      </c>
      <c r="CZ93" s="3070">
        <v>213894.57</v>
      </c>
      <c r="DA93" s="3070">
        <v>159426.93</v>
      </c>
      <c r="DB93" s="3070">
        <v>0</v>
      </c>
      <c r="DC93" s="3070">
        <v>0</v>
      </c>
      <c r="DD93" s="3070">
        <v>3290547602</v>
      </c>
      <c r="DE93" s="3070">
        <v>2764253109</v>
      </c>
      <c r="DF93" s="3070">
        <v>1464966739</v>
      </c>
      <c r="DG93" s="3070">
        <v>14938370</v>
      </c>
      <c r="DH93" s="3070">
        <v>1284348000</v>
      </c>
      <c r="DI93" s="3070">
        <v>1278128000</v>
      </c>
      <c r="DJ93" s="3070">
        <v>6220000</v>
      </c>
      <c r="DK93" s="3070">
        <v>0</v>
      </c>
      <c r="DL93" s="3070">
        <v>0</v>
      </c>
      <c r="DM93" s="3070">
        <v>25491817.620000001</v>
      </c>
      <c r="DN93" s="3070">
        <v>2764253109</v>
      </c>
      <c r="DP93" s="3070">
        <v>2764253109</v>
      </c>
    </row>
    <row r="94" spans="1:120">
      <c r="A94" s="3070">
        <v>93</v>
      </c>
      <c r="B94" s="3070" t="s">
        <v>3224</v>
      </c>
      <c r="C94" s="3070">
        <v>10</v>
      </c>
      <c r="E94" s="3070">
        <v>1503</v>
      </c>
      <c r="F94" s="3070" t="s">
        <v>4040</v>
      </c>
      <c r="G94" s="3070" t="s">
        <v>4041</v>
      </c>
      <c r="H94" s="3070">
        <v>1278432</v>
      </c>
      <c r="I94" s="3070">
        <v>1278432</v>
      </c>
      <c r="J94" s="3070">
        <v>102.56</v>
      </c>
      <c r="K94" s="3070">
        <v>74.53</v>
      </c>
      <c r="L94" s="3070">
        <v>0</v>
      </c>
      <c r="M94" s="3070">
        <v>0</v>
      </c>
      <c r="N94" s="3070">
        <v>15394.44</v>
      </c>
      <c r="O94" s="3070">
        <v>1578854</v>
      </c>
      <c r="P94" s="3070">
        <v>12465.21</v>
      </c>
      <c r="Q94" s="3070">
        <v>1278432</v>
      </c>
      <c r="R94" s="3070" t="s">
        <v>3227</v>
      </c>
      <c r="S94" s="3070" t="s">
        <v>4042</v>
      </c>
      <c r="T94" s="3070" t="s">
        <v>3258</v>
      </c>
      <c r="U94" s="3070" t="s">
        <v>3259</v>
      </c>
      <c r="V94" s="3070" t="s">
        <v>3230</v>
      </c>
      <c r="Y94" s="3070">
        <v>508432</v>
      </c>
      <c r="Z94" s="3070">
        <v>508432</v>
      </c>
      <c r="AA94" s="3070">
        <v>508432</v>
      </c>
      <c r="AB94" s="3070">
        <v>0</v>
      </c>
      <c r="AC94" s="3070">
        <v>770000</v>
      </c>
      <c r="AD94" s="3070">
        <v>770000</v>
      </c>
      <c r="AE94" s="3070">
        <v>0</v>
      </c>
      <c r="AI94" s="3070" t="s">
        <v>3227</v>
      </c>
      <c r="AJ94" s="3070">
        <v>0</v>
      </c>
      <c r="AK94" s="3070">
        <v>0</v>
      </c>
      <c r="AL94" s="3070">
        <v>0</v>
      </c>
      <c r="AM94" s="3070">
        <v>12465.21</v>
      </c>
      <c r="AN94" s="3070">
        <v>1278432</v>
      </c>
      <c r="AP94" s="3070">
        <v>1278432</v>
      </c>
      <c r="AQ94" s="3072">
        <v>45138</v>
      </c>
      <c r="AT94" s="3073">
        <v>45678</v>
      </c>
      <c r="AV94" s="3074">
        <v>3.21E+17</v>
      </c>
      <c r="AW94" s="3070" t="s">
        <v>4043</v>
      </c>
      <c r="AX94" s="3070" t="s">
        <v>4044</v>
      </c>
      <c r="AY94" s="3070" t="s">
        <v>3497</v>
      </c>
      <c r="BC94" s="3070" t="s">
        <v>3263</v>
      </c>
      <c r="BD94" s="3070" t="s">
        <v>3077</v>
      </c>
      <c r="BI94" s="3070" t="s">
        <v>3235</v>
      </c>
      <c r="BJ94" s="3070" t="s">
        <v>3296</v>
      </c>
      <c r="BL94" s="3070" t="s">
        <v>4045</v>
      </c>
      <c r="BM94" s="3070" t="s">
        <v>3841</v>
      </c>
      <c r="BN94" s="3070">
        <v>150</v>
      </c>
      <c r="BO94" s="3070" t="s">
        <v>3253</v>
      </c>
      <c r="BP94" s="3070" t="s">
        <v>3253</v>
      </c>
      <c r="BR94" s="3070">
        <v>279</v>
      </c>
      <c r="BS94" s="3070" t="s">
        <v>3238</v>
      </c>
      <c r="BT94" s="3070" t="s">
        <v>3086</v>
      </c>
      <c r="BZ94" s="3073">
        <v>44142.654861111114</v>
      </c>
      <c r="CA94" s="3070">
        <v>10</v>
      </c>
      <c r="CB94" s="3070" t="s">
        <v>3086</v>
      </c>
      <c r="CD94" s="3070" t="s">
        <v>3239</v>
      </c>
      <c r="CF94" s="3070" t="s">
        <v>3091</v>
      </c>
      <c r="CH94" s="3070" t="s">
        <v>3240</v>
      </c>
      <c r="CI94" s="3070">
        <v>0</v>
      </c>
      <c r="CJ94" s="3070" t="s">
        <v>3259</v>
      </c>
      <c r="CK94" s="3070" t="s">
        <v>3497</v>
      </c>
      <c r="CL94" s="3070" t="s">
        <v>3497</v>
      </c>
      <c r="CM94" s="3070">
        <v>1172873.3899999999</v>
      </c>
      <c r="CV94" s="3070" t="s">
        <v>3258</v>
      </c>
      <c r="CW94" s="3070" t="s">
        <v>4046</v>
      </c>
      <c r="CZ94" s="3070">
        <v>213894.57</v>
      </c>
      <c r="DA94" s="3070">
        <v>159426.93</v>
      </c>
      <c r="DB94" s="3070">
        <v>0</v>
      </c>
      <c r="DC94" s="3070">
        <v>0</v>
      </c>
      <c r="DD94" s="3070">
        <v>3290547602</v>
      </c>
      <c r="DE94" s="3070">
        <v>2764253109</v>
      </c>
      <c r="DF94" s="3070">
        <v>1464966739</v>
      </c>
      <c r="DG94" s="3070">
        <v>14938370</v>
      </c>
      <c r="DH94" s="3070">
        <v>1284348000</v>
      </c>
      <c r="DI94" s="3070">
        <v>1278128000</v>
      </c>
      <c r="DJ94" s="3070">
        <v>6220000</v>
      </c>
      <c r="DK94" s="3070">
        <v>0</v>
      </c>
      <c r="DL94" s="3070">
        <v>0</v>
      </c>
      <c r="DM94" s="3070">
        <v>25491817.620000001</v>
      </c>
      <c r="DN94" s="3070">
        <v>2764253109</v>
      </c>
      <c r="DP94" s="3070">
        <v>2764253109</v>
      </c>
    </row>
    <row r="95" spans="1:120">
      <c r="A95" s="3070">
        <v>94</v>
      </c>
      <c r="B95" s="3070" t="s">
        <v>3224</v>
      </c>
      <c r="C95" s="3070">
        <v>10</v>
      </c>
      <c r="E95" s="3070">
        <v>1504</v>
      </c>
      <c r="F95" s="3070" t="s">
        <v>4047</v>
      </c>
      <c r="G95" s="3070" t="s">
        <v>4048</v>
      </c>
      <c r="H95" s="3070">
        <v>1484893</v>
      </c>
      <c r="I95" s="3070">
        <v>1484893</v>
      </c>
      <c r="J95" s="3070">
        <v>114.02</v>
      </c>
      <c r="K95" s="3070">
        <v>82.85</v>
      </c>
      <c r="L95" s="3070">
        <v>0</v>
      </c>
      <c r="M95" s="3070">
        <v>0</v>
      </c>
      <c r="N95" s="3070">
        <v>15294.44</v>
      </c>
      <c r="O95" s="3070">
        <v>1743872</v>
      </c>
      <c r="P95" s="3070">
        <v>13023.09</v>
      </c>
      <c r="Q95" s="3070">
        <v>1484893</v>
      </c>
      <c r="R95" s="3070" t="s">
        <v>3227</v>
      </c>
      <c r="S95" s="3070" t="s">
        <v>4049</v>
      </c>
      <c r="T95" s="3070" t="s">
        <v>3246</v>
      </c>
      <c r="U95" s="3070" t="s">
        <v>3259</v>
      </c>
      <c r="V95" s="3070" t="s">
        <v>3230</v>
      </c>
      <c r="Y95" s="3070">
        <v>904893</v>
      </c>
      <c r="Z95" s="3070">
        <v>904893</v>
      </c>
      <c r="AA95" s="3070">
        <v>904893</v>
      </c>
      <c r="AB95" s="3070">
        <v>0</v>
      </c>
      <c r="AC95" s="3070">
        <v>580000</v>
      </c>
      <c r="AD95" s="3070">
        <v>580000</v>
      </c>
      <c r="AE95" s="3070">
        <v>0</v>
      </c>
      <c r="AI95" s="3070" t="s">
        <v>3227</v>
      </c>
      <c r="AJ95" s="3070">
        <v>0</v>
      </c>
      <c r="AK95" s="3070">
        <v>0</v>
      </c>
      <c r="AL95" s="3070">
        <v>0</v>
      </c>
      <c r="AM95" s="3070">
        <v>13023.09</v>
      </c>
      <c r="AN95" s="3070">
        <v>1484893</v>
      </c>
      <c r="AP95" s="3070">
        <v>1484893</v>
      </c>
      <c r="AQ95" s="3072">
        <v>45138</v>
      </c>
      <c r="AT95" s="3073">
        <v>45678</v>
      </c>
      <c r="AV95" s="3070" t="s">
        <v>4050</v>
      </c>
      <c r="AW95" s="3070" t="s">
        <v>4051</v>
      </c>
      <c r="AX95" s="3070" t="s">
        <v>4052</v>
      </c>
      <c r="AY95" s="3070" t="s">
        <v>3892</v>
      </c>
      <c r="BC95" s="3070" t="s">
        <v>4053</v>
      </c>
      <c r="BD95" s="3070" t="s">
        <v>3077</v>
      </c>
      <c r="BI95" s="3070" t="s">
        <v>3235</v>
      </c>
      <c r="BL95" s="3070" t="s">
        <v>4054</v>
      </c>
      <c r="BM95" s="3070" t="s">
        <v>3841</v>
      </c>
      <c r="BN95" s="3070">
        <v>150</v>
      </c>
      <c r="BO95" s="3070" t="s">
        <v>3253</v>
      </c>
      <c r="BR95" s="3070">
        <v>22</v>
      </c>
      <c r="BS95" s="3070" t="s">
        <v>3238</v>
      </c>
      <c r="BT95" s="3070" t="s">
        <v>3086</v>
      </c>
      <c r="BV95" s="3070" t="s">
        <v>4055</v>
      </c>
      <c r="BZ95" s="3073">
        <v>44195.805555555555</v>
      </c>
      <c r="CA95" s="3070">
        <v>10</v>
      </c>
      <c r="CB95" s="3070" t="s">
        <v>3086</v>
      </c>
      <c r="CD95" s="3070" t="s">
        <v>3239</v>
      </c>
      <c r="CF95" s="3070" t="s">
        <v>3091</v>
      </c>
      <c r="CH95" s="3070" t="s">
        <v>3240</v>
      </c>
      <c r="CI95" s="3070">
        <v>0</v>
      </c>
      <c r="CK95" s="3070" t="s">
        <v>4056</v>
      </c>
      <c r="CL95" s="3070" t="s">
        <v>4056</v>
      </c>
      <c r="CM95" s="3070">
        <v>1362287.16</v>
      </c>
      <c r="CV95" s="3070" t="s">
        <v>3246</v>
      </c>
      <c r="CW95" s="3070" t="s">
        <v>4057</v>
      </c>
      <c r="CZ95" s="3070">
        <v>213894.57</v>
      </c>
      <c r="DA95" s="3070">
        <v>159426.93</v>
      </c>
      <c r="DB95" s="3070">
        <v>0</v>
      </c>
      <c r="DC95" s="3070">
        <v>0</v>
      </c>
      <c r="DD95" s="3070">
        <v>3290547602</v>
      </c>
      <c r="DE95" s="3070">
        <v>2764253109</v>
      </c>
      <c r="DF95" s="3070">
        <v>1464966739</v>
      </c>
      <c r="DG95" s="3070">
        <v>14938370</v>
      </c>
      <c r="DH95" s="3070">
        <v>1284348000</v>
      </c>
      <c r="DI95" s="3070">
        <v>1278128000</v>
      </c>
      <c r="DJ95" s="3070">
        <v>6220000</v>
      </c>
      <c r="DK95" s="3070">
        <v>0</v>
      </c>
      <c r="DL95" s="3070">
        <v>0</v>
      </c>
      <c r="DM95" s="3070">
        <v>25491817.620000001</v>
      </c>
      <c r="DN95" s="3070">
        <v>2764253109</v>
      </c>
      <c r="DP95" s="3070">
        <v>2764253109</v>
      </c>
    </row>
    <row r="96" spans="1:120">
      <c r="A96" s="3070">
        <v>95</v>
      </c>
      <c r="B96" s="3070" t="s">
        <v>3224</v>
      </c>
      <c r="C96" s="3070">
        <v>10</v>
      </c>
      <c r="E96" s="3070">
        <v>1601</v>
      </c>
      <c r="F96" s="3070" t="s">
        <v>4058</v>
      </c>
      <c r="G96" s="3070" t="s">
        <v>4059</v>
      </c>
      <c r="H96" s="3070">
        <v>1544616</v>
      </c>
      <c r="I96" s="3070">
        <v>1544616</v>
      </c>
      <c r="J96" s="3070">
        <v>114.02</v>
      </c>
      <c r="K96" s="3070">
        <v>82.85</v>
      </c>
      <c r="L96" s="3070">
        <v>0</v>
      </c>
      <c r="M96" s="3070">
        <v>0</v>
      </c>
      <c r="N96" s="3070">
        <v>15344.44</v>
      </c>
      <c r="O96" s="3070">
        <v>1749573</v>
      </c>
      <c r="P96" s="3070">
        <v>13546.89</v>
      </c>
      <c r="Q96" s="3070">
        <v>1544616</v>
      </c>
      <c r="R96" s="3070" t="s">
        <v>3227</v>
      </c>
      <c r="S96" s="3070" t="s">
        <v>4060</v>
      </c>
      <c r="T96" s="3070" t="s">
        <v>4061</v>
      </c>
      <c r="V96" s="3070" t="s">
        <v>3230</v>
      </c>
      <c r="Y96" s="3070">
        <v>154462</v>
      </c>
      <c r="Z96" s="3070">
        <v>154462</v>
      </c>
      <c r="AA96" s="3070">
        <v>1544616</v>
      </c>
      <c r="AB96" s="3070">
        <v>0</v>
      </c>
      <c r="AC96" s="3070">
        <v>0</v>
      </c>
      <c r="AD96" s="3070">
        <v>0</v>
      </c>
      <c r="AE96" s="3070">
        <v>0</v>
      </c>
      <c r="AI96" s="3070" t="s">
        <v>3227</v>
      </c>
      <c r="AJ96" s="3070">
        <v>0</v>
      </c>
      <c r="AK96" s="3070">
        <v>0</v>
      </c>
      <c r="AL96" s="3070">
        <v>0</v>
      </c>
      <c r="AM96" s="3070">
        <v>13546.89</v>
      </c>
      <c r="AN96" s="3070">
        <v>1544616</v>
      </c>
      <c r="AP96" s="3070">
        <v>1544616</v>
      </c>
      <c r="AQ96" s="3072">
        <v>45138</v>
      </c>
      <c r="AT96" s="3073">
        <v>45678</v>
      </c>
      <c r="AV96" s="3070" t="s">
        <v>4062</v>
      </c>
      <c r="AW96" s="3070" t="s">
        <v>4063</v>
      </c>
      <c r="AX96" s="3070" t="s">
        <v>4064</v>
      </c>
      <c r="AY96" s="3070" t="s">
        <v>4065</v>
      </c>
      <c r="BC96" s="3070" t="s">
        <v>4066</v>
      </c>
      <c r="BD96" s="3070" t="s">
        <v>3077</v>
      </c>
      <c r="BI96" s="3070" t="s">
        <v>3295</v>
      </c>
      <c r="BL96" s="3070" t="s">
        <v>4067</v>
      </c>
      <c r="BM96" s="3070" t="s">
        <v>3841</v>
      </c>
      <c r="BN96" s="3070">
        <v>160</v>
      </c>
      <c r="BR96" s="3070">
        <v>0</v>
      </c>
      <c r="BS96" s="3070" t="s">
        <v>3238</v>
      </c>
      <c r="BT96" s="3070" t="s">
        <v>3086</v>
      </c>
      <c r="BZ96" s="3073">
        <v>44243.714583333334</v>
      </c>
      <c r="CA96" s="3070">
        <v>10</v>
      </c>
      <c r="CB96" s="3070" t="s">
        <v>3086</v>
      </c>
      <c r="CD96" s="3070" t="s">
        <v>3239</v>
      </c>
      <c r="CF96" s="3070" t="s">
        <v>3091</v>
      </c>
      <c r="CH96" s="3070" t="s">
        <v>3240</v>
      </c>
      <c r="CI96" s="3070">
        <v>0</v>
      </c>
      <c r="CK96" s="3070" t="s">
        <v>4068</v>
      </c>
      <c r="CL96" s="3070" t="s">
        <v>4065</v>
      </c>
      <c r="CM96" s="3070">
        <v>1417078.9</v>
      </c>
      <c r="CV96" s="3070" t="s">
        <v>3494</v>
      </c>
      <c r="CW96" s="3070" t="s">
        <v>4069</v>
      </c>
      <c r="CZ96" s="3070">
        <v>213894.57</v>
      </c>
      <c r="DA96" s="3070">
        <v>159426.93</v>
      </c>
      <c r="DB96" s="3070">
        <v>0</v>
      </c>
      <c r="DC96" s="3070">
        <v>0</v>
      </c>
      <c r="DD96" s="3070">
        <v>3290547602</v>
      </c>
      <c r="DE96" s="3070">
        <v>2764253109</v>
      </c>
      <c r="DF96" s="3070">
        <v>1464966739</v>
      </c>
      <c r="DG96" s="3070">
        <v>14938370</v>
      </c>
      <c r="DH96" s="3070">
        <v>1284348000</v>
      </c>
      <c r="DI96" s="3070">
        <v>1278128000</v>
      </c>
      <c r="DJ96" s="3070">
        <v>6220000</v>
      </c>
      <c r="DK96" s="3070">
        <v>0</v>
      </c>
      <c r="DL96" s="3070">
        <v>0</v>
      </c>
      <c r="DM96" s="3070">
        <v>25491817.620000001</v>
      </c>
      <c r="DN96" s="3070">
        <v>2764253109</v>
      </c>
      <c r="DP96" s="3070">
        <v>2764253109</v>
      </c>
    </row>
    <row r="97" spans="1:120">
      <c r="A97" s="3070">
        <v>96</v>
      </c>
      <c r="B97" s="3070" t="s">
        <v>3224</v>
      </c>
      <c r="C97" s="3070">
        <v>10</v>
      </c>
      <c r="E97" s="3070">
        <v>1602</v>
      </c>
      <c r="F97" s="3070" t="s">
        <v>4070</v>
      </c>
      <c r="G97" s="3070" t="s">
        <v>4071</v>
      </c>
      <c r="H97" s="3070">
        <v>1279181</v>
      </c>
      <c r="I97" s="3070">
        <v>1279181</v>
      </c>
      <c r="J97" s="3070">
        <v>102.62</v>
      </c>
      <c r="K97" s="3070">
        <v>74.569999999999993</v>
      </c>
      <c r="L97" s="3070">
        <v>0</v>
      </c>
      <c r="M97" s="3070">
        <v>0</v>
      </c>
      <c r="N97" s="3070">
        <v>15394.44</v>
      </c>
      <c r="O97" s="3070">
        <v>1579777</v>
      </c>
      <c r="P97" s="3070">
        <v>12465.22</v>
      </c>
      <c r="Q97" s="3070">
        <v>1279181</v>
      </c>
      <c r="R97" s="3070" t="s">
        <v>3227</v>
      </c>
      <c r="S97" s="3070" t="s">
        <v>4072</v>
      </c>
      <c r="T97" s="3070" t="s">
        <v>3246</v>
      </c>
      <c r="U97" s="3070" t="s">
        <v>3247</v>
      </c>
      <c r="V97" s="3070" t="s">
        <v>3230</v>
      </c>
      <c r="Y97" s="3070">
        <v>389181</v>
      </c>
      <c r="Z97" s="3070">
        <v>389181</v>
      </c>
      <c r="AA97" s="3070">
        <v>389181</v>
      </c>
      <c r="AB97" s="3070">
        <v>0</v>
      </c>
      <c r="AC97" s="3070">
        <v>890000</v>
      </c>
      <c r="AD97" s="3070">
        <v>890000</v>
      </c>
      <c r="AE97" s="3070">
        <v>0</v>
      </c>
      <c r="AI97" s="3070" t="s">
        <v>3227</v>
      </c>
      <c r="AJ97" s="3070">
        <v>0</v>
      </c>
      <c r="AK97" s="3070">
        <v>0</v>
      </c>
      <c r="AL97" s="3070">
        <v>0</v>
      </c>
      <c r="AM97" s="3070">
        <v>12465.22</v>
      </c>
      <c r="AN97" s="3070">
        <v>1279181</v>
      </c>
      <c r="AP97" s="3070">
        <v>1279181</v>
      </c>
      <c r="AQ97" s="3072">
        <v>45138</v>
      </c>
      <c r="AT97" s="3073">
        <v>45678</v>
      </c>
      <c r="AV97" s="3070" t="s">
        <v>4073</v>
      </c>
      <c r="AW97" s="3070" t="s">
        <v>4074</v>
      </c>
      <c r="AX97" s="3070" t="s">
        <v>4075</v>
      </c>
      <c r="AY97" s="3070" t="s">
        <v>3954</v>
      </c>
      <c r="BC97" s="3070" t="s">
        <v>3284</v>
      </c>
      <c r="BD97" s="3070" t="s">
        <v>3077</v>
      </c>
      <c r="BI97" s="3070" t="s">
        <v>3295</v>
      </c>
      <c r="BJ97" s="3070" t="s">
        <v>3296</v>
      </c>
      <c r="BL97" s="3070" t="s">
        <v>4076</v>
      </c>
      <c r="BM97" s="3070" t="s">
        <v>3841</v>
      </c>
      <c r="BN97" s="3070">
        <v>160</v>
      </c>
      <c r="BO97" s="3070" t="s">
        <v>3253</v>
      </c>
      <c r="BR97" s="3070">
        <v>591</v>
      </c>
      <c r="BS97" s="3070" t="s">
        <v>3238</v>
      </c>
      <c r="BT97" s="3070" t="s">
        <v>3086</v>
      </c>
      <c r="BZ97" s="3073">
        <v>44142.65347222222</v>
      </c>
      <c r="CA97" s="3070">
        <v>10</v>
      </c>
      <c r="CB97" s="3070" t="s">
        <v>3086</v>
      </c>
      <c r="CD97" s="3070" t="s">
        <v>3239</v>
      </c>
      <c r="CF97" s="3070" t="s">
        <v>3091</v>
      </c>
      <c r="CH97" s="3070" t="s">
        <v>3240</v>
      </c>
      <c r="CI97" s="3070">
        <v>0</v>
      </c>
      <c r="CK97" s="3070" t="s">
        <v>3957</v>
      </c>
      <c r="CL97" s="3070" t="s">
        <v>3954</v>
      </c>
      <c r="CM97" s="3070">
        <v>1173560.55</v>
      </c>
      <c r="CV97" s="3070" t="s">
        <v>3246</v>
      </c>
      <c r="CW97" s="3070" t="s">
        <v>4077</v>
      </c>
      <c r="CZ97" s="3070">
        <v>213894.57</v>
      </c>
      <c r="DA97" s="3070">
        <v>159426.93</v>
      </c>
      <c r="DB97" s="3070">
        <v>0</v>
      </c>
      <c r="DC97" s="3070">
        <v>0</v>
      </c>
      <c r="DD97" s="3070">
        <v>3290547602</v>
      </c>
      <c r="DE97" s="3070">
        <v>2764253109</v>
      </c>
      <c r="DF97" s="3070">
        <v>1464966739</v>
      </c>
      <c r="DG97" s="3070">
        <v>14938370</v>
      </c>
      <c r="DH97" s="3070">
        <v>1284348000</v>
      </c>
      <c r="DI97" s="3070">
        <v>1278128000</v>
      </c>
      <c r="DJ97" s="3070">
        <v>6220000</v>
      </c>
      <c r="DK97" s="3070">
        <v>0</v>
      </c>
      <c r="DL97" s="3070">
        <v>0</v>
      </c>
      <c r="DM97" s="3070">
        <v>25491817.620000001</v>
      </c>
      <c r="DN97" s="3070">
        <v>2764253109</v>
      </c>
      <c r="DP97" s="3070">
        <v>2764253109</v>
      </c>
    </row>
    <row r="98" spans="1:120">
      <c r="A98" s="3070">
        <v>97</v>
      </c>
      <c r="B98" s="3070" t="s">
        <v>3224</v>
      </c>
      <c r="C98" s="3070">
        <v>10</v>
      </c>
      <c r="E98" s="3070">
        <v>1603</v>
      </c>
      <c r="F98" s="3070" t="s">
        <v>4078</v>
      </c>
      <c r="G98" s="3070" t="s">
        <v>4079</v>
      </c>
      <c r="H98" s="3070">
        <v>1278432</v>
      </c>
      <c r="I98" s="3070">
        <v>1278432</v>
      </c>
      <c r="J98" s="3070">
        <v>102.56</v>
      </c>
      <c r="K98" s="3070">
        <v>74.53</v>
      </c>
      <c r="L98" s="3070">
        <v>0</v>
      </c>
      <c r="M98" s="3070">
        <v>0</v>
      </c>
      <c r="N98" s="3070">
        <v>15394.44</v>
      </c>
      <c r="O98" s="3070">
        <v>1578854</v>
      </c>
      <c r="P98" s="3070">
        <v>12465.21</v>
      </c>
      <c r="Q98" s="3070">
        <v>1278432</v>
      </c>
      <c r="R98" s="3070" t="s">
        <v>3227</v>
      </c>
      <c r="S98" s="3070" t="s">
        <v>4080</v>
      </c>
      <c r="T98" s="3070" t="s">
        <v>3246</v>
      </c>
      <c r="U98" s="3070" t="s">
        <v>3247</v>
      </c>
      <c r="V98" s="3070" t="s">
        <v>3230</v>
      </c>
      <c r="Y98" s="3070">
        <v>388432</v>
      </c>
      <c r="Z98" s="3070">
        <v>127843</v>
      </c>
      <c r="AA98" s="3070">
        <v>388432</v>
      </c>
      <c r="AB98" s="3070">
        <v>0</v>
      </c>
      <c r="AC98" s="3070">
        <v>890000</v>
      </c>
      <c r="AD98" s="3070">
        <v>890000</v>
      </c>
      <c r="AE98" s="3070">
        <v>0</v>
      </c>
      <c r="AI98" s="3070" t="s">
        <v>3227</v>
      </c>
      <c r="AJ98" s="3070">
        <v>0</v>
      </c>
      <c r="AK98" s="3070">
        <v>0</v>
      </c>
      <c r="AL98" s="3070">
        <v>0</v>
      </c>
      <c r="AM98" s="3070">
        <v>12465.21</v>
      </c>
      <c r="AN98" s="3070">
        <v>1278432</v>
      </c>
      <c r="AP98" s="3070">
        <v>1278432</v>
      </c>
      <c r="AQ98" s="3072">
        <v>45138</v>
      </c>
      <c r="AT98" s="3073">
        <v>45678</v>
      </c>
      <c r="AV98" s="3070" t="s">
        <v>4081</v>
      </c>
      <c r="AW98" s="3070" t="s">
        <v>4082</v>
      </c>
      <c r="AX98" s="3070" t="s">
        <v>4083</v>
      </c>
      <c r="AY98" s="3070" t="s">
        <v>4084</v>
      </c>
      <c r="BC98" s="3070" t="s">
        <v>3284</v>
      </c>
      <c r="BD98" s="3070" t="s">
        <v>3077</v>
      </c>
      <c r="BI98" s="3070" t="s">
        <v>3235</v>
      </c>
      <c r="BL98" s="3070" t="s">
        <v>4085</v>
      </c>
      <c r="BM98" s="3070" t="s">
        <v>3841</v>
      </c>
      <c r="BN98" s="3070">
        <v>160</v>
      </c>
      <c r="BO98" s="3070" t="s">
        <v>3253</v>
      </c>
      <c r="BR98" s="3070">
        <v>858</v>
      </c>
      <c r="BS98" s="3070" t="s">
        <v>3238</v>
      </c>
      <c r="BT98" s="3070" t="s">
        <v>3086</v>
      </c>
      <c r="BZ98" s="3073">
        <v>44142.649305555555</v>
      </c>
      <c r="CA98" s="3070">
        <v>10</v>
      </c>
      <c r="CB98" s="3070" t="s">
        <v>3086</v>
      </c>
      <c r="CD98" s="3070" t="s">
        <v>3239</v>
      </c>
      <c r="CF98" s="3070" t="s">
        <v>3091</v>
      </c>
      <c r="CH98" s="3070" t="s">
        <v>3240</v>
      </c>
      <c r="CI98" s="3070">
        <v>0</v>
      </c>
      <c r="CK98" s="3070" t="s">
        <v>4084</v>
      </c>
      <c r="CL98" s="3070" t="s">
        <v>4084</v>
      </c>
      <c r="CM98" s="3070">
        <v>1172873.3899999999</v>
      </c>
      <c r="CV98" s="3070" t="s">
        <v>3246</v>
      </c>
      <c r="CW98" s="3070" t="s">
        <v>4086</v>
      </c>
      <c r="CZ98" s="3070">
        <v>213894.57</v>
      </c>
      <c r="DA98" s="3070">
        <v>159426.93</v>
      </c>
      <c r="DB98" s="3070">
        <v>0</v>
      </c>
      <c r="DC98" s="3070">
        <v>0</v>
      </c>
      <c r="DD98" s="3070">
        <v>3290547602</v>
      </c>
      <c r="DE98" s="3070">
        <v>2764253109</v>
      </c>
      <c r="DF98" s="3070">
        <v>1464966739</v>
      </c>
      <c r="DG98" s="3070">
        <v>14938370</v>
      </c>
      <c r="DH98" s="3070">
        <v>1284348000</v>
      </c>
      <c r="DI98" s="3070">
        <v>1278128000</v>
      </c>
      <c r="DJ98" s="3070">
        <v>6220000</v>
      </c>
      <c r="DK98" s="3070">
        <v>0</v>
      </c>
      <c r="DL98" s="3070">
        <v>0</v>
      </c>
      <c r="DM98" s="3070">
        <v>25491817.620000001</v>
      </c>
      <c r="DN98" s="3070">
        <v>2764253109</v>
      </c>
      <c r="DP98" s="3070">
        <v>2764253109</v>
      </c>
    </row>
    <row r="99" spans="1:120">
      <c r="A99" s="3070">
        <v>98</v>
      </c>
      <c r="B99" s="3070" t="s">
        <v>3224</v>
      </c>
      <c r="C99" s="3070">
        <v>10</v>
      </c>
      <c r="E99" s="3070">
        <v>1604</v>
      </c>
      <c r="F99" s="3070" t="s">
        <v>4087</v>
      </c>
      <c r="G99" s="3070" t="s">
        <v>4088</v>
      </c>
      <c r="H99" s="3070">
        <v>1410445</v>
      </c>
      <c r="I99" s="3070">
        <v>1410445</v>
      </c>
      <c r="J99" s="3070">
        <v>114.02</v>
      </c>
      <c r="K99" s="3070">
        <v>82.85</v>
      </c>
      <c r="L99" s="3070">
        <v>0</v>
      </c>
      <c r="M99" s="3070">
        <v>0</v>
      </c>
      <c r="N99" s="3070">
        <v>15294.44</v>
      </c>
      <c r="O99" s="3070">
        <v>1743872</v>
      </c>
      <c r="P99" s="3070">
        <v>12370.15</v>
      </c>
      <c r="Q99" s="3070">
        <v>1410445</v>
      </c>
      <c r="R99" s="3070" t="s">
        <v>3227</v>
      </c>
      <c r="S99" s="3070" t="s">
        <v>4089</v>
      </c>
      <c r="T99" s="3070" t="s">
        <v>3246</v>
      </c>
      <c r="U99" s="3070" t="s">
        <v>3539</v>
      </c>
      <c r="V99" s="3070" t="s">
        <v>3230</v>
      </c>
      <c r="Y99" s="3070">
        <v>430445</v>
      </c>
      <c r="Z99" s="3070">
        <v>430445</v>
      </c>
      <c r="AA99" s="3070">
        <v>430445</v>
      </c>
      <c r="AB99" s="3070">
        <v>0</v>
      </c>
      <c r="AC99" s="3070">
        <v>980000</v>
      </c>
      <c r="AD99" s="3070">
        <v>980000</v>
      </c>
      <c r="AE99" s="3070">
        <v>0</v>
      </c>
      <c r="AI99" s="3070" t="s">
        <v>3227</v>
      </c>
      <c r="AJ99" s="3070">
        <v>0</v>
      </c>
      <c r="AK99" s="3070">
        <v>0</v>
      </c>
      <c r="AL99" s="3070">
        <v>0</v>
      </c>
      <c r="AM99" s="3070">
        <v>12370.15</v>
      </c>
      <c r="AN99" s="3070">
        <v>1410445</v>
      </c>
      <c r="AP99" s="3070">
        <v>1410445</v>
      </c>
      <c r="AQ99" s="3072">
        <v>45138</v>
      </c>
      <c r="AT99" s="3073">
        <v>45678</v>
      </c>
      <c r="AV99" s="3070" t="s">
        <v>4090</v>
      </c>
      <c r="AW99" s="3070" t="s">
        <v>4091</v>
      </c>
      <c r="AX99" s="3070" t="s">
        <v>4092</v>
      </c>
      <c r="AY99" s="3070" t="s">
        <v>3607</v>
      </c>
      <c r="BC99" s="3070" t="s">
        <v>3284</v>
      </c>
      <c r="BD99" s="3070" t="s">
        <v>3077</v>
      </c>
      <c r="BI99" s="3070" t="s">
        <v>3235</v>
      </c>
      <c r="BL99" s="3070" t="s">
        <v>4093</v>
      </c>
      <c r="BM99" s="3070" t="s">
        <v>3841</v>
      </c>
      <c r="BN99" s="3070">
        <v>160</v>
      </c>
      <c r="BO99" s="3070" t="s">
        <v>3253</v>
      </c>
      <c r="BR99" s="3070">
        <v>55</v>
      </c>
      <c r="BS99" s="3070" t="s">
        <v>3238</v>
      </c>
      <c r="BT99" s="3070" t="s">
        <v>3086</v>
      </c>
      <c r="BZ99" s="3073">
        <v>44142.614583333336</v>
      </c>
      <c r="CA99" s="3070">
        <v>10</v>
      </c>
      <c r="CB99" s="3070" t="s">
        <v>3086</v>
      </c>
      <c r="CD99" s="3070" t="s">
        <v>3239</v>
      </c>
      <c r="CF99" s="3070" t="s">
        <v>3091</v>
      </c>
      <c r="CH99" s="3070" t="s">
        <v>3240</v>
      </c>
      <c r="CI99" s="3070">
        <v>0</v>
      </c>
      <c r="CK99" s="3070" t="s">
        <v>3607</v>
      </c>
      <c r="CL99" s="3070" t="s">
        <v>3607</v>
      </c>
      <c r="CM99" s="3070">
        <v>1293986.24</v>
      </c>
      <c r="CV99" s="3070" t="s">
        <v>3246</v>
      </c>
      <c r="CW99" s="3070" t="s">
        <v>4094</v>
      </c>
      <c r="CZ99" s="3070">
        <v>213894.57</v>
      </c>
      <c r="DA99" s="3070">
        <v>159426.93</v>
      </c>
      <c r="DB99" s="3070">
        <v>0</v>
      </c>
      <c r="DC99" s="3070">
        <v>0</v>
      </c>
      <c r="DD99" s="3070">
        <v>3290547602</v>
      </c>
      <c r="DE99" s="3070">
        <v>2764253109</v>
      </c>
      <c r="DF99" s="3070">
        <v>1464966739</v>
      </c>
      <c r="DG99" s="3070">
        <v>14938370</v>
      </c>
      <c r="DH99" s="3070">
        <v>1284348000</v>
      </c>
      <c r="DI99" s="3070">
        <v>1278128000</v>
      </c>
      <c r="DJ99" s="3070">
        <v>6220000</v>
      </c>
      <c r="DK99" s="3070">
        <v>0</v>
      </c>
      <c r="DL99" s="3070">
        <v>0</v>
      </c>
      <c r="DM99" s="3070">
        <v>25491817.620000001</v>
      </c>
      <c r="DN99" s="3070">
        <v>2764253109</v>
      </c>
      <c r="DP99" s="3070">
        <v>2764253109</v>
      </c>
    </row>
    <row r="100" spans="1:120">
      <c r="A100" s="3070">
        <v>99</v>
      </c>
      <c r="B100" s="3070" t="s">
        <v>3224</v>
      </c>
      <c r="C100" s="3070">
        <v>10</v>
      </c>
      <c r="E100" s="3070">
        <v>1701</v>
      </c>
      <c r="F100" s="3070" t="s">
        <v>4095</v>
      </c>
      <c r="G100" s="3070" t="s">
        <v>4096</v>
      </c>
      <c r="H100" s="3070">
        <v>1355556</v>
      </c>
      <c r="I100" s="3070">
        <v>1355556</v>
      </c>
      <c r="J100" s="3070">
        <v>114.02</v>
      </c>
      <c r="K100" s="3070">
        <v>82.85</v>
      </c>
      <c r="L100" s="3070">
        <v>0</v>
      </c>
      <c r="M100" s="3070">
        <v>0</v>
      </c>
      <c r="N100" s="3070">
        <v>15244.44</v>
      </c>
      <c r="O100" s="3070">
        <v>1738171</v>
      </c>
      <c r="P100" s="3070">
        <v>11888.76</v>
      </c>
      <c r="Q100" s="3070">
        <v>1355556</v>
      </c>
      <c r="R100" s="3070" t="s">
        <v>3227</v>
      </c>
      <c r="S100" s="3070" t="s">
        <v>4097</v>
      </c>
      <c r="T100" s="3070" t="s">
        <v>3246</v>
      </c>
      <c r="U100" s="3070" t="s">
        <v>3279</v>
      </c>
      <c r="V100" s="3070" t="s">
        <v>3230</v>
      </c>
      <c r="Y100" s="3070">
        <v>415556</v>
      </c>
      <c r="Z100" s="3070">
        <v>406667</v>
      </c>
      <c r="AA100" s="3070">
        <v>415556</v>
      </c>
      <c r="AB100" s="3070">
        <v>0</v>
      </c>
      <c r="AC100" s="3070">
        <v>940000</v>
      </c>
      <c r="AD100" s="3070">
        <v>940000</v>
      </c>
      <c r="AE100" s="3070">
        <v>0</v>
      </c>
      <c r="AI100" s="3070" t="s">
        <v>3227</v>
      </c>
      <c r="AJ100" s="3070">
        <v>0</v>
      </c>
      <c r="AK100" s="3070">
        <v>0</v>
      </c>
      <c r="AL100" s="3070">
        <v>0</v>
      </c>
      <c r="AM100" s="3070">
        <v>11888.76</v>
      </c>
      <c r="AN100" s="3070">
        <v>1355556</v>
      </c>
      <c r="AP100" s="3070">
        <v>1355556</v>
      </c>
      <c r="AQ100" s="3072">
        <v>45138</v>
      </c>
      <c r="AT100" s="3073">
        <v>45678</v>
      </c>
      <c r="AV100" s="3074">
        <v>3.21E+17</v>
      </c>
      <c r="AW100" s="3070" t="s">
        <v>4098</v>
      </c>
      <c r="AX100" s="3070" t="s">
        <v>4099</v>
      </c>
      <c r="AY100" s="3070" t="s">
        <v>4100</v>
      </c>
      <c r="BA100" s="3070" t="s">
        <v>4100</v>
      </c>
      <c r="BC100" s="3070" t="s">
        <v>4101</v>
      </c>
      <c r="BD100" s="3070" t="s">
        <v>3077</v>
      </c>
      <c r="BI100" s="3070" t="s">
        <v>3295</v>
      </c>
      <c r="BL100" s="3070" t="s">
        <v>4102</v>
      </c>
      <c r="BM100" s="3070" t="s">
        <v>3841</v>
      </c>
      <c r="BN100" s="3070">
        <v>170</v>
      </c>
      <c r="BO100" s="3070" t="s">
        <v>3253</v>
      </c>
      <c r="BR100" s="3070">
        <v>21</v>
      </c>
      <c r="BS100" s="3070" t="s">
        <v>3238</v>
      </c>
      <c r="BT100" s="3070" t="s">
        <v>3404</v>
      </c>
      <c r="BU100" s="3070" t="s">
        <v>4100</v>
      </c>
      <c r="BZ100" s="3073">
        <v>44226.638888888891</v>
      </c>
      <c r="CA100" s="3070">
        <v>10</v>
      </c>
      <c r="CB100" s="3070" t="s">
        <v>3404</v>
      </c>
      <c r="CD100" s="3070" t="s">
        <v>3239</v>
      </c>
      <c r="CF100" s="3070" t="s">
        <v>3091</v>
      </c>
      <c r="CH100" s="3070" t="s">
        <v>3240</v>
      </c>
      <c r="CI100" s="3070">
        <v>0</v>
      </c>
      <c r="CK100" s="3070" t="s">
        <v>4100</v>
      </c>
      <c r="CL100" s="3070" t="s">
        <v>4100</v>
      </c>
      <c r="CM100" s="3070">
        <v>1243629.3600000001</v>
      </c>
      <c r="CV100" s="3070" t="s">
        <v>3246</v>
      </c>
      <c r="CW100" s="3070" t="s">
        <v>4103</v>
      </c>
      <c r="CZ100" s="3070">
        <v>213894.57</v>
      </c>
      <c r="DA100" s="3070">
        <v>159426.93</v>
      </c>
      <c r="DB100" s="3070">
        <v>0</v>
      </c>
      <c r="DC100" s="3070">
        <v>0</v>
      </c>
      <c r="DD100" s="3070">
        <v>3290547602</v>
      </c>
      <c r="DE100" s="3070">
        <v>2764253109</v>
      </c>
      <c r="DF100" s="3070">
        <v>1464966739</v>
      </c>
      <c r="DG100" s="3070">
        <v>14938370</v>
      </c>
      <c r="DH100" s="3070">
        <v>1284348000</v>
      </c>
      <c r="DI100" s="3070">
        <v>1278128000</v>
      </c>
      <c r="DJ100" s="3070">
        <v>6220000</v>
      </c>
      <c r="DK100" s="3070">
        <v>0</v>
      </c>
      <c r="DL100" s="3070">
        <v>0</v>
      </c>
      <c r="DM100" s="3070">
        <v>25491817.620000001</v>
      </c>
      <c r="DN100" s="3070">
        <v>2764253109</v>
      </c>
      <c r="DP100" s="3070">
        <v>2764253109</v>
      </c>
    </row>
    <row r="101" spans="1:120">
      <c r="A101" s="3070">
        <v>100</v>
      </c>
      <c r="B101" s="3070" t="s">
        <v>3224</v>
      </c>
      <c r="C101" s="3070">
        <v>10</v>
      </c>
      <c r="E101" s="3070">
        <v>1702</v>
      </c>
      <c r="F101" s="3070" t="s">
        <v>4104</v>
      </c>
      <c r="G101" s="3070" t="s">
        <v>4105</v>
      </c>
      <c r="H101" s="3070">
        <v>1269426</v>
      </c>
      <c r="I101" s="3070">
        <v>1269426</v>
      </c>
      <c r="J101" s="3070">
        <v>102.62</v>
      </c>
      <c r="K101" s="3070">
        <v>74.569999999999993</v>
      </c>
      <c r="L101" s="3070">
        <v>0</v>
      </c>
      <c r="M101" s="3070">
        <v>0</v>
      </c>
      <c r="N101" s="3070">
        <v>15294.44</v>
      </c>
      <c r="O101" s="3070">
        <v>1569515</v>
      </c>
      <c r="P101" s="3070">
        <v>12370.16</v>
      </c>
      <c r="Q101" s="3070">
        <v>1269426</v>
      </c>
      <c r="R101" s="3070" t="s">
        <v>3227</v>
      </c>
      <c r="S101" s="3070" t="s">
        <v>4106</v>
      </c>
      <c r="T101" s="3070" t="s">
        <v>3246</v>
      </c>
      <c r="U101" s="3070" t="s">
        <v>3247</v>
      </c>
      <c r="V101" s="3070" t="s">
        <v>3230</v>
      </c>
      <c r="Y101" s="3070">
        <v>439426</v>
      </c>
      <c r="Z101" s="3070">
        <v>439426</v>
      </c>
      <c r="AA101" s="3070">
        <v>769426</v>
      </c>
      <c r="AB101" s="3070">
        <v>0</v>
      </c>
      <c r="AC101" s="3070">
        <v>500000</v>
      </c>
      <c r="AD101" s="3070">
        <v>500000</v>
      </c>
      <c r="AE101" s="3070">
        <v>0</v>
      </c>
      <c r="AI101" s="3070" t="s">
        <v>3227</v>
      </c>
      <c r="AJ101" s="3070">
        <v>0</v>
      </c>
      <c r="AK101" s="3070">
        <v>0</v>
      </c>
      <c r="AL101" s="3070">
        <v>0</v>
      </c>
      <c r="AM101" s="3070">
        <v>12370.16</v>
      </c>
      <c r="AN101" s="3070">
        <v>1269426</v>
      </c>
      <c r="AP101" s="3070">
        <v>1269426</v>
      </c>
      <c r="AQ101" s="3072">
        <v>45138</v>
      </c>
      <c r="AT101" s="3073">
        <v>45678</v>
      </c>
      <c r="AV101" s="3070" t="s">
        <v>4107</v>
      </c>
      <c r="AW101" s="3070" t="s">
        <v>4108</v>
      </c>
      <c r="AX101" s="3070" t="s">
        <v>4109</v>
      </c>
      <c r="AY101" s="3070" t="s">
        <v>3346</v>
      </c>
      <c r="BC101" s="3070" t="s">
        <v>3284</v>
      </c>
      <c r="BD101" s="3070" t="s">
        <v>3077</v>
      </c>
      <c r="BI101" s="3070" t="s">
        <v>3235</v>
      </c>
      <c r="BJ101" s="3070" t="s">
        <v>3338</v>
      </c>
      <c r="BL101" s="3070" t="s">
        <v>4110</v>
      </c>
      <c r="BM101" s="3070" t="s">
        <v>3841</v>
      </c>
      <c r="BN101" s="3070">
        <v>170</v>
      </c>
      <c r="BO101" s="3070" t="s">
        <v>3253</v>
      </c>
      <c r="BR101" s="3070">
        <v>10</v>
      </c>
      <c r="BS101" s="3070" t="s">
        <v>3238</v>
      </c>
      <c r="BT101" s="3070" t="s">
        <v>3086</v>
      </c>
      <c r="BZ101" s="3073">
        <v>44142.757638888892</v>
      </c>
      <c r="CA101" s="3070">
        <v>10</v>
      </c>
      <c r="CB101" s="3070" t="s">
        <v>3086</v>
      </c>
      <c r="CD101" s="3070" t="s">
        <v>3239</v>
      </c>
      <c r="CF101" s="3070" t="s">
        <v>3091</v>
      </c>
      <c r="CH101" s="3070" t="s">
        <v>3240</v>
      </c>
      <c r="CI101" s="3070">
        <v>0</v>
      </c>
      <c r="CK101" s="3070" t="s">
        <v>3346</v>
      </c>
      <c r="CL101" s="3070" t="s">
        <v>3346</v>
      </c>
      <c r="CM101" s="3070">
        <v>1164611.01</v>
      </c>
      <c r="CV101" s="3070" t="s">
        <v>3246</v>
      </c>
      <c r="CW101" s="3070" t="s">
        <v>4111</v>
      </c>
      <c r="CZ101" s="3070">
        <v>213894.57</v>
      </c>
      <c r="DA101" s="3070">
        <v>159426.93</v>
      </c>
      <c r="DB101" s="3070">
        <v>0</v>
      </c>
      <c r="DC101" s="3070">
        <v>0</v>
      </c>
      <c r="DD101" s="3070">
        <v>3290547602</v>
      </c>
      <c r="DE101" s="3070">
        <v>2764253109</v>
      </c>
      <c r="DF101" s="3070">
        <v>1464966739</v>
      </c>
      <c r="DG101" s="3070">
        <v>14938370</v>
      </c>
      <c r="DH101" s="3070">
        <v>1284348000</v>
      </c>
      <c r="DI101" s="3070">
        <v>1278128000</v>
      </c>
      <c r="DJ101" s="3070">
        <v>6220000</v>
      </c>
      <c r="DK101" s="3070">
        <v>0</v>
      </c>
      <c r="DL101" s="3070">
        <v>0</v>
      </c>
      <c r="DM101" s="3070">
        <v>25491817.620000001</v>
      </c>
      <c r="DN101" s="3070">
        <v>2764253109</v>
      </c>
      <c r="DP101" s="3070">
        <v>2764253109</v>
      </c>
    </row>
    <row r="102" spans="1:120">
      <c r="A102" s="3070">
        <v>101</v>
      </c>
      <c r="B102" s="3070" t="s">
        <v>3224</v>
      </c>
      <c r="C102" s="3070">
        <v>10</v>
      </c>
      <c r="E102" s="3070">
        <v>1703</v>
      </c>
      <c r="F102" s="3070" t="s">
        <v>4112</v>
      </c>
      <c r="G102" s="3070" t="s">
        <v>4113</v>
      </c>
      <c r="H102" s="3070">
        <v>1335331</v>
      </c>
      <c r="I102" s="3070">
        <v>1335331</v>
      </c>
      <c r="J102" s="3070">
        <v>102.56</v>
      </c>
      <c r="K102" s="3070">
        <v>74.53</v>
      </c>
      <c r="L102" s="3070">
        <v>0</v>
      </c>
      <c r="M102" s="3070">
        <v>0</v>
      </c>
      <c r="N102" s="3070">
        <v>15294.44</v>
      </c>
      <c r="O102" s="3070">
        <v>1568598</v>
      </c>
      <c r="P102" s="3070">
        <v>13020</v>
      </c>
      <c r="Q102" s="3070">
        <v>1335331</v>
      </c>
      <c r="R102" s="3070" t="s">
        <v>3227</v>
      </c>
      <c r="S102" s="3070" t="s">
        <v>4114</v>
      </c>
      <c r="T102" s="3070" t="s">
        <v>3494</v>
      </c>
      <c r="V102" s="3070" t="s">
        <v>3230</v>
      </c>
      <c r="Y102" s="3070">
        <v>133533</v>
      </c>
      <c r="Z102" s="3070">
        <v>133533</v>
      </c>
      <c r="AA102" s="3070">
        <v>1335331</v>
      </c>
      <c r="AB102" s="3070">
        <v>0</v>
      </c>
      <c r="AC102" s="3070">
        <v>0</v>
      </c>
      <c r="AD102" s="3070">
        <v>0</v>
      </c>
      <c r="AE102" s="3070">
        <v>0</v>
      </c>
      <c r="AI102" s="3070" t="s">
        <v>3227</v>
      </c>
      <c r="AJ102" s="3070">
        <v>0</v>
      </c>
      <c r="AK102" s="3070">
        <v>0</v>
      </c>
      <c r="AL102" s="3070">
        <v>0</v>
      </c>
      <c r="AM102" s="3070">
        <v>13020</v>
      </c>
      <c r="AN102" s="3070">
        <v>1335331</v>
      </c>
      <c r="AP102" s="3070">
        <v>1335331</v>
      </c>
      <c r="AQ102" s="3072">
        <v>45138</v>
      </c>
      <c r="AT102" s="3073">
        <v>45678</v>
      </c>
      <c r="AV102" s="3074">
        <v>3.21E+17</v>
      </c>
      <c r="AW102" s="3070" t="s">
        <v>4115</v>
      </c>
      <c r="AX102" s="3070" t="s">
        <v>4116</v>
      </c>
      <c r="AY102" s="3070" t="s">
        <v>3892</v>
      </c>
      <c r="BC102" s="3070" t="s">
        <v>4117</v>
      </c>
      <c r="BD102" s="3070" t="s">
        <v>3077</v>
      </c>
      <c r="BI102" s="3070" t="s">
        <v>3235</v>
      </c>
      <c r="BL102" s="3070" t="s">
        <v>4118</v>
      </c>
      <c r="BM102" s="3070" t="s">
        <v>3841</v>
      </c>
      <c r="BN102" s="3070">
        <v>170</v>
      </c>
      <c r="BR102" s="3070">
        <v>20</v>
      </c>
      <c r="BS102" s="3070" t="s">
        <v>3238</v>
      </c>
      <c r="BT102" s="3070" t="s">
        <v>3086</v>
      </c>
      <c r="BZ102" s="3073">
        <v>44188.819444444445</v>
      </c>
      <c r="CA102" s="3070">
        <v>10</v>
      </c>
      <c r="CB102" s="3070" t="s">
        <v>3086</v>
      </c>
      <c r="CD102" s="3070" t="s">
        <v>3239</v>
      </c>
      <c r="CF102" s="3070" t="s">
        <v>3091</v>
      </c>
      <c r="CH102" s="3070" t="s">
        <v>3240</v>
      </c>
      <c r="CI102" s="3070">
        <v>0</v>
      </c>
      <c r="CK102" s="3070" t="s">
        <v>4056</v>
      </c>
      <c r="CL102" s="3070" t="s">
        <v>4056</v>
      </c>
      <c r="CM102" s="3070">
        <v>1225074.31</v>
      </c>
      <c r="CV102" s="3070" t="s">
        <v>3494</v>
      </c>
      <c r="CW102" s="3070" t="s">
        <v>4119</v>
      </c>
      <c r="CZ102" s="3070">
        <v>213894.57</v>
      </c>
      <c r="DA102" s="3070">
        <v>159426.93</v>
      </c>
      <c r="DB102" s="3070">
        <v>0</v>
      </c>
      <c r="DC102" s="3070">
        <v>0</v>
      </c>
      <c r="DD102" s="3070">
        <v>3290547602</v>
      </c>
      <c r="DE102" s="3070">
        <v>2764253109</v>
      </c>
      <c r="DF102" s="3070">
        <v>1464966739</v>
      </c>
      <c r="DG102" s="3070">
        <v>14938370</v>
      </c>
      <c r="DH102" s="3070">
        <v>1284348000</v>
      </c>
      <c r="DI102" s="3070">
        <v>1278128000</v>
      </c>
      <c r="DJ102" s="3070">
        <v>6220000</v>
      </c>
      <c r="DK102" s="3070">
        <v>0</v>
      </c>
      <c r="DL102" s="3070">
        <v>0</v>
      </c>
      <c r="DM102" s="3070">
        <v>25491817.620000001</v>
      </c>
      <c r="DN102" s="3070">
        <v>2764253109</v>
      </c>
      <c r="DP102" s="3070">
        <v>2764253109</v>
      </c>
    </row>
    <row r="103" spans="1:120">
      <c r="A103" s="3070">
        <v>102</v>
      </c>
      <c r="B103" s="3070" t="s">
        <v>3224</v>
      </c>
      <c r="C103" s="3070">
        <v>10</v>
      </c>
      <c r="E103" s="3070">
        <v>1704</v>
      </c>
      <c r="F103" s="3070" t="s">
        <v>4120</v>
      </c>
      <c r="G103" s="3070" t="s">
        <v>4121</v>
      </c>
      <c r="H103" s="3070">
        <v>1381240</v>
      </c>
      <c r="I103" s="3070">
        <v>1381240</v>
      </c>
      <c r="J103" s="3070">
        <v>114.02</v>
      </c>
      <c r="K103" s="3070">
        <v>82.85</v>
      </c>
      <c r="L103" s="3070">
        <v>0</v>
      </c>
      <c r="M103" s="3070">
        <v>0</v>
      </c>
      <c r="N103" s="3070">
        <v>15194.44</v>
      </c>
      <c r="O103" s="3070">
        <v>1732470</v>
      </c>
      <c r="P103" s="3070">
        <v>12114.02</v>
      </c>
      <c r="Q103" s="3070">
        <v>1381240</v>
      </c>
      <c r="R103" s="3070" t="s">
        <v>3227</v>
      </c>
      <c r="S103" s="3070" t="s">
        <v>4122</v>
      </c>
      <c r="T103" s="3070" t="s">
        <v>3246</v>
      </c>
      <c r="U103" s="3070" t="s">
        <v>3259</v>
      </c>
      <c r="V103" s="3070" t="s">
        <v>3230</v>
      </c>
      <c r="Y103" s="3070">
        <v>421240</v>
      </c>
      <c r="Z103" s="3070">
        <v>421240</v>
      </c>
      <c r="AA103" s="3070">
        <v>421240</v>
      </c>
      <c r="AB103" s="3070">
        <v>0</v>
      </c>
      <c r="AC103" s="3070">
        <v>960000</v>
      </c>
      <c r="AD103" s="3070">
        <v>960000</v>
      </c>
      <c r="AE103" s="3070">
        <v>0</v>
      </c>
      <c r="AI103" s="3070" t="s">
        <v>3227</v>
      </c>
      <c r="AJ103" s="3070">
        <v>0</v>
      </c>
      <c r="AK103" s="3070">
        <v>0</v>
      </c>
      <c r="AL103" s="3070">
        <v>0</v>
      </c>
      <c r="AM103" s="3070">
        <v>12114.02</v>
      </c>
      <c r="AN103" s="3070">
        <v>1381240</v>
      </c>
      <c r="AP103" s="3070">
        <v>1381240</v>
      </c>
      <c r="AQ103" s="3072">
        <v>45138</v>
      </c>
      <c r="AT103" s="3073">
        <v>45678</v>
      </c>
      <c r="AV103" s="3070" t="s">
        <v>4123</v>
      </c>
      <c r="AW103" s="3070" t="s">
        <v>4124</v>
      </c>
      <c r="AX103" s="3070" t="s">
        <v>4125</v>
      </c>
      <c r="AY103" s="3070" t="s">
        <v>3587</v>
      </c>
      <c r="BA103" s="3070" t="s">
        <v>3587</v>
      </c>
      <c r="BC103" s="3070" t="s">
        <v>4126</v>
      </c>
      <c r="BD103" s="3070" t="s">
        <v>3077</v>
      </c>
      <c r="BI103" s="3070" t="s">
        <v>3235</v>
      </c>
      <c r="BL103" s="3070" t="s">
        <v>4127</v>
      </c>
      <c r="BM103" s="3070" t="s">
        <v>3841</v>
      </c>
      <c r="BN103" s="3070">
        <v>170</v>
      </c>
      <c r="BO103" s="3070" t="s">
        <v>3253</v>
      </c>
      <c r="BR103" s="3070">
        <v>23</v>
      </c>
      <c r="BS103" s="3070" t="s">
        <v>3238</v>
      </c>
      <c r="BT103" s="3070" t="s">
        <v>3086</v>
      </c>
      <c r="BU103" s="3070" t="s">
        <v>3587</v>
      </c>
      <c r="BZ103" s="3073">
        <v>44212.817361111112</v>
      </c>
      <c r="CA103" s="3070">
        <v>10</v>
      </c>
      <c r="CB103" s="3070" t="s">
        <v>3086</v>
      </c>
      <c r="CD103" s="3070" t="s">
        <v>3239</v>
      </c>
      <c r="CF103" s="3070" t="s">
        <v>3091</v>
      </c>
      <c r="CH103" s="3070" t="s">
        <v>3240</v>
      </c>
      <c r="CI103" s="3070">
        <v>0</v>
      </c>
      <c r="CK103" s="3070" t="s">
        <v>3587</v>
      </c>
      <c r="CL103" s="3070" t="s">
        <v>3590</v>
      </c>
      <c r="CM103" s="3070">
        <v>1267192.6599999999</v>
      </c>
      <c r="CV103" s="3070" t="s">
        <v>3246</v>
      </c>
      <c r="CW103" s="3070" t="s">
        <v>4128</v>
      </c>
      <c r="CZ103" s="3070">
        <v>213894.57</v>
      </c>
      <c r="DA103" s="3070">
        <v>159426.93</v>
      </c>
      <c r="DB103" s="3070">
        <v>0</v>
      </c>
      <c r="DC103" s="3070">
        <v>0</v>
      </c>
      <c r="DD103" s="3070">
        <v>3290547602</v>
      </c>
      <c r="DE103" s="3070">
        <v>2764253109</v>
      </c>
      <c r="DF103" s="3070">
        <v>1464966739</v>
      </c>
      <c r="DG103" s="3070">
        <v>14938370</v>
      </c>
      <c r="DH103" s="3070">
        <v>1284348000</v>
      </c>
      <c r="DI103" s="3070">
        <v>1278128000</v>
      </c>
      <c r="DJ103" s="3070">
        <v>6220000</v>
      </c>
      <c r="DK103" s="3070">
        <v>0</v>
      </c>
      <c r="DL103" s="3070">
        <v>0</v>
      </c>
      <c r="DM103" s="3070">
        <v>25491817.620000001</v>
      </c>
      <c r="DN103" s="3070">
        <v>2764253109</v>
      </c>
      <c r="DP103" s="3070">
        <v>2764253109</v>
      </c>
    </row>
    <row r="104" spans="1:120">
      <c r="A104" s="3070">
        <v>103</v>
      </c>
      <c r="B104" s="3070" t="s">
        <v>3224</v>
      </c>
      <c r="C104" s="3070">
        <v>10</v>
      </c>
      <c r="E104" s="3070">
        <v>1801</v>
      </c>
      <c r="F104" s="3070" t="s">
        <v>4129</v>
      </c>
      <c r="G104" s="3070" t="s">
        <v>4019</v>
      </c>
      <c r="H104" s="3070">
        <v>1020681</v>
      </c>
      <c r="I104" s="3070">
        <v>1020681</v>
      </c>
      <c r="J104" s="3070">
        <v>114.02</v>
      </c>
      <c r="K104" s="3070">
        <v>82.85</v>
      </c>
      <c r="L104" s="3070">
        <v>0</v>
      </c>
      <c r="M104" s="3070">
        <v>0</v>
      </c>
      <c r="N104" s="3070">
        <v>15044.44</v>
      </c>
      <c r="O104" s="3070">
        <v>1715367</v>
      </c>
      <c r="P104" s="3070">
        <v>8951.77</v>
      </c>
      <c r="Q104" s="3070">
        <v>1020681</v>
      </c>
      <c r="R104" s="3070" t="s">
        <v>3227</v>
      </c>
      <c r="S104" s="3070" t="s">
        <v>4130</v>
      </c>
      <c r="T104" s="3070" t="s">
        <v>3878</v>
      </c>
      <c r="U104" s="3070" t="s">
        <v>3371</v>
      </c>
      <c r="V104" s="3070" t="s">
        <v>3230</v>
      </c>
      <c r="Y104" s="3070">
        <v>510681</v>
      </c>
      <c r="Z104" s="3070">
        <v>510681</v>
      </c>
      <c r="AA104" s="3070">
        <v>510681</v>
      </c>
      <c r="AB104" s="3070">
        <v>0</v>
      </c>
      <c r="AC104" s="3070">
        <v>510000</v>
      </c>
      <c r="AD104" s="3070">
        <v>510000</v>
      </c>
      <c r="AE104" s="3070">
        <v>0</v>
      </c>
      <c r="AI104" s="3070" t="s">
        <v>3227</v>
      </c>
      <c r="AJ104" s="3070">
        <v>0</v>
      </c>
      <c r="AK104" s="3070">
        <v>0</v>
      </c>
      <c r="AL104" s="3070">
        <v>0</v>
      </c>
      <c r="AM104" s="3070">
        <v>8951.77</v>
      </c>
      <c r="AN104" s="3070">
        <v>1020681</v>
      </c>
      <c r="AP104" s="3070">
        <v>1020681</v>
      </c>
      <c r="AQ104" s="3072">
        <v>45138</v>
      </c>
      <c r="AT104" s="3073">
        <v>45678</v>
      </c>
      <c r="AV104" s="3074">
        <v>5.13E+17</v>
      </c>
      <c r="AW104" s="3070" t="s">
        <v>4131</v>
      </c>
      <c r="AX104" s="3070" t="s">
        <v>4132</v>
      </c>
      <c r="AY104" s="3070" t="s">
        <v>4019</v>
      </c>
      <c r="BC104" s="3070" t="s">
        <v>4133</v>
      </c>
      <c r="BD104" s="3070" t="s">
        <v>3077</v>
      </c>
      <c r="BI104" s="3070" t="s">
        <v>3235</v>
      </c>
      <c r="BJ104" s="3070" t="s">
        <v>3236</v>
      </c>
      <c r="BL104" s="3070" t="s">
        <v>4134</v>
      </c>
      <c r="BM104" s="3070" t="s">
        <v>3841</v>
      </c>
      <c r="BN104" s="3070">
        <v>180</v>
      </c>
      <c r="BO104" s="3070" t="s">
        <v>3253</v>
      </c>
      <c r="BR104" s="3070">
        <v>0</v>
      </c>
      <c r="BS104" s="3070" t="s">
        <v>3238</v>
      </c>
      <c r="BT104" s="3070" t="s">
        <v>3086</v>
      </c>
      <c r="BV104" s="3070" t="s">
        <v>4135</v>
      </c>
      <c r="BW104" s="3070" t="s">
        <v>4136</v>
      </c>
      <c r="BX104" s="3070" t="s">
        <v>4137</v>
      </c>
      <c r="BZ104" s="3073">
        <v>44263.361111111109</v>
      </c>
      <c r="CA104" s="3070">
        <v>10</v>
      </c>
      <c r="CB104" s="3070" t="s">
        <v>3086</v>
      </c>
      <c r="CD104" s="3070" t="s">
        <v>3239</v>
      </c>
      <c r="CF104" s="3070" t="s">
        <v>3091</v>
      </c>
      <c r="CH104" s="3070" t="s">
        <v>3240</v>
      </c>
      <c r="CI104" s="3070">
        <v>0</v>
      </c>
      <c r="CK104" s="3070" t="s">
        <v>4138</v>
      </c>
      <c r="CL104" s="3070" t="s">
        <v>4019</v>
      </c>
      <c r="CM104" s="3070">
        <v>936404.59</v>
      </c>
      <c r="CV104" s="3070" t="s">
        <v>3246</v>
      </c>
      <c r="CW104" s="3070" t="s">
        <v>4139</v>
      </c>
      <c r="CX104" s="3070" t="s">
        <v>3311</v>
      </c>
      <c r="CZ104" s="3070">
        <v>213894.57</v>
      </c>
      <c r="DA104" s="3070">
        <v>159426.93</v>
      </c>
      <c r="DB104" s="3070">
        <v>0</v>
      </c>
      <c r="DC104" s="3070">
        <v>0</v>
      </c>
      <c r="DD104" s="3070">
        <v>3290547602</v>
      </c>
      <c r="DE104" s="3070">
        <v>2764253109</v>
      </c>
      <c r="DF104" s="3070">
        <v>1464966739</v>
      </c>
      <c r="DG104" s="3070">
        <v>14938370</v>
      </c>
      <c r="DH104" s="3070">
        <v>1284348000</v>
      </c>
      <c r="DI104" s="3070">
        <v>1278128000</v>
      </c>
      <c r="DJ104" s="3070">
        <v>6220000</v>
      </c>
      <c r="DK104" s="3070">
        <v>0</v>
      </c>
      <c r="DL104" s="3070">
        <v>0</v>
      </c>
      <c r="DM104" s="3070">
        <v>25491817.620000001</v>
      </c>
      <c r="DN104" s="3070">
        <v>2764253109</v>
      </c>
      <c r="DP104" s="3070">
        <v>2764253109</v>
      </c>
    </row>
    <row r="105" spans="1:120">
      <c r="A105" s="3070">
        <v>104</v>
      </c>
      <c r="B105" s="3070" t="s">
        <v>3224</v>
      </c>
      <c r="C105" s="3070">
        <v>10</v>
      </c>
      <c r="E105" s="3070">
        <v>1802</v>
      </c>
      <c r="F105" s="3070" t="s">
        <v>4140</v>
      </c>
      <c r="G105" s="3070" t="s">
        <v>4141</v>
      </c>
      <c r="H105" s="3070">
        <v>1205124</v>
      </c>
      <c r="I105" s="3070">
        <v>1205124</v>
      </c>
      <c r="J105" s="3070">
        <v>102.62</v>
      </c>
      <c r="K105" s="3070">
        <v>74.569999999999993</v>
      </c>
      <c r="L105" s="3070">
        <v>0</v>
      </c>
      <c r="M105" s="3070">
        <v>0</v>
      </c>
      <c r="N105" s="3070">
        <v>15094.44</v>
      </c>
      <c r="O105" s="3070">
        <v>1548991</v>
      </c>
      <c r="P105" s="3070">
        <v>11743.56</v>
      </c>
      <c r="Q105" s="3070">
        <v>1205124</v>
      </c>
      <c r="R105" s="3070" t="s">
        <v>3227</v>
      </c>
      <c r="S105" s="3070" t="s">
        <v>4142</v>
      </c>
      <c r="T105" s="3070" t="s">
        <v>3991</v>
      </c>
      <c r="V105" s="3070" t="s">
        <v>3230</v>
      </c>
      <c r="Y105" s="3070">
        <v>361537</v>
      </c>
      <c r="Z105" s="3070">
        <v>361537</v>
      </c>
      <c r="AA105" s="3070">
        <v>1205124</v>
      </c>
      <c r="AB105" s="3070">
        <v>0</v>
      </c>
      <c r="AC105" s="3070">
        <v>0</v>
      </c>
      <c r="AD105" s="3070">
        <v>0</v>
      </c>
      <c r="AE105" s="3070">
        <v>0</v>
      </c>
      <c r="AI105" s="3070" t="s">
        <v>3227</v>
      </c>
      <c r="AJ105" s="3070">
        <v>0</v>
      </c>
      <c r="AK105" s="3070">
        <v>0</v>
      </c>
      <c r="AL105" s="3070">
        <v>0</v>
      </c>
      <c r="AM105" s="3070">
        <v>11743.56</v>
      </c>
      <c r="AN105" s="3070">
        <v>1205124</v>
      </c>
      <c r="AP105" s="3070">
        <v>1205124</v>
      </c>
      <c r="AQ105" s="3072">
        <v>45138</v>
      </c>
      <c r="AT105" s="3073">
        <v>45678</v>
      </c>
      <c r="AV105" s="3074">
        <v>3.21E+17</v>
      </c>
      <c r="AW105" s="3070" t="s">
        <v>4143</v>
      </c>
      <c r="AX105" s="3070" t="s">
        <v>4144</v>
      </c>
      <c r="AY105" s="3070" t="s">
        <v>4019</v>
      </c>
      <c r="BA105" s="3070" t="s">
        <v>4022</v>
      </c>
      <c r="BC105" s="3070" t="s">
        <v>4145</v>
      </c>
      <c r="BD105" s="3070" t="s">
        <v>3077</v>
      </c>
      <c r="BI105" s="3070" t="s">
        <v>3235</v>
      </c>
      <c r="BL105" s="3070" t="s">
        <v>4146</v>
      </c>
      <c r="BM105" s="3070" t="s">
        <v>3841</v>
      </c>
      <c r="BN105" s="3070">
        <v>180</v>
      </c>
      <c r="BR105" s="3070">
        <v>20</v>
      </c>
      <c r="BS105" s="3070" t="s">
        <v>3238</v>
      </c>
      <c r="BT105" s="3070" t="s">
        <v>3086</v>
      </c>
      <c r="BU105" s="3070" t="s">
        <v>4022</v>
      </c>
      <c r="BZ105" s="3073">
        <v>44205.771527777775</v>
      </c>
      <c r="CA105" s="3070">
        <v>10</v>
      </c>
      <c r="CB105" s="3070" t="s">
        <v>3086</v>
      </c>
      <c r="CD105" s="3070" t="s">
        <v>3239</v>
      </c>
      <c r="CF105" s="3070" t="s">
        <v>3091</v>
      </c>
      <c r="CH105" s="3070" t="s">
        <v>3240</v>
      </c>
      <c r="CI105" s="3070">
        <v>0</v>
      </c>
      <c r="CK105" s="3070" t="s">
        <v>4138</v>
      </c>
      <c r="CL105" s="3070" t="s">
        <v>4022</v>
      </c>
      <c r="CM105" s="3070">
        <v>1105618.3500000001</v>
      </c>
      <c r="CV105" s="3070" t="s">
        <v>3494</v>
      </c>
      <c r="CW105" s="3070" t="s">
        <v>4147</v>
      </c>
      <c r="CZ105" s="3070">
        <v>213894.57</v>
      </c>
      <c r="DA105" s="3070">
        <v>159426.93</v>
      </c>
      <c r="DB105" s="3070">
        <v>0</v>
      </c>
      <c r="DC105" s="3070">
        <v>0</v>
      </c>
      <c r="DD105" s="3070">
        <v>3290547602</v>
      </c>
      <c r="DE105" s="3070">
        <v>2764253109</v>
      </c>
      <c r="DF105" s="3070">
        <v>1464966739</v>
      </c>
      <c r="DG105" s="3070">
        <v>14938370</v>
      </c>
      <c r="DH105" s="3070">
        <v>1284348000</v>
      </c>
      <c r="DI105" s="3070">
        <v>1278128000</v>
      </c>
      <c r="DJ105" s="3070">
        <v>6220000</v>
      </c>
      <c r="DK105" s="3070">
        <v>0</v>
      </c>
      <c r="DL105" s="3070">
        <v>0</v>
      </c>
      <c r="DM105" s="3070">
        <v>25491817.620000001</v>
      </c>
      <c r="DN105" s="3070">
        <v>2764253109</v>
      </c>
      <c r="DP105" s="3070">
        <v>2764253109</v>
      </c>
    </row>
    <row r="106" spans="1:120">
      <c r="A106" s="3070">
        <v>105</v>
      </c>
      <c r="B106" s="3070" t="s">
        <v>3224</v>
      </c>
      <c r="C106" s="3070">
        <v>10</v>
      </c>
      <c r="E106" s="3070">
        <v>1803</v>
      </c>
      <c r="F106" s="3070" t="s">
        <v>4148</v>
      </c>
      <c r="G106" s="3070" t="s">
        <v>4149</v>
      </c>
      <c r="H106" s="3070">
        <v>1231616</v>
      </c>
      <c r="I106" s="3070">
        <v>1231616</v>
      </c>
      <c r="J106" s="3070">
        <v>102.56</v>
      </c>
      <c r="K106" s="3070">
        <v>74.53</v>
      </c>
      <c r="L106" s="3070">
        <v>0</v>
      </c>
      <c r="M106" s="3070">
        <v>0</v>
      </c>
      <c r="N106" s="3070">
        <v>15094.44</v>
      </c>
      <c r="O106" s="3070">
        <v>1548086</v>
      </c>
      <c r="P106" s="3070">
        <v>12008.74</v>
      </c>
      <c r="Q106" s="3070">
        <v>1231616</v>
      </c>
      <c r="R106" s="3070" t="s">
        <v>3227</v>
      </c>
      <c r="S106" s="3070" t="s">
        <v>4150</v>
      </c>
      <c r="T106" s="3070" t="s">
        <v>3246</v>
      </c>
      <c r="U106" s="3070" t="s">
        <v>3381</v>
      </c>
      <c r="V106" s="3070" t="s">
        <v>3230</v>
      </c>
      <c r="Y106" s="3070">
        <v>491616</v>
      </c>
      <c r="Z106" s="3070">
        <v>491616</v>
      </c>
      <c r="AA106" s="3070">
        <v>491616</v>
      </c>
      <c r="AB106" s="3070">
        <v>0</v>
      </c>
      <c r="AC106" s="3070">
        <v>740000</v>
      </c>
      <c r="AD106" s="3070">
        <v>740000</v>
      </c>
      <c r="AE106" s="3070">
        <v>0</v>
      </c>
      <c r="AI106" s="3070" t="s">
        <v>3227</v>
      </c>
      <c r="AJ106" s="3070">
        <v>0</v>
      </c>
      <c r="AK106" s="3070">
        <v>0</v>
      </c>
      <c r="AL106" s="3070">
        <v>0</v>
      </c>
      <c r="AM106" s="3070">
        <v>12008.74</v>
      </c>
      <c r="AN106" s="3070">
        <v>1231616</v>
      </c>
      <c r="AP106" s="3070">
        <v>1231616</v>
      </c>
      <c r="AQ106" s="3072">
        <v>45138</v>
      </c>
      <c r="AT106" s="3073">
        <v>45678</v>
      </c>
      <c r="AV106" s="3074">
        <v>3.21E+17</v>
      </c>
      <c r="AW106" s="3070" t="s">
        <v>4151</v>
      </c>
      <c r="AX106" s="3070" t="s">
        <v>4152</v>
      </c>
      <c r="AY106" s="3070" t="s">
        <v>3981</v>
      </c>
      <c r="BA106" s="3070" t="s">
        <v>3981</v>
      </c>
      <c r="BC106" s="3070" t="s">
        <v>4126</v>
      </c>
      <c r="BD106" s="3070" t="s">
        <v>3077</v>
      </c>
      <c r="BI106" s="3070" t="s">
        <v>3235</v>
      </c>
      <c r="BL106" s="3070" t="s">
        <v>4153</v>
      </c>
      <c r="BM106" s="3070" t="s">
        <v>3841</v>
      </c>
      <c r="BN106" s="3070">
        <v>180</v>
      </c>
      <c r="BO106" s="3070" t="s">
        <v>3253</v>
      </c>
      <c r="BR106" s="3070">
        <v>21</v>
      </c>
      <c r="BS106" s="3070" t="s">
        <v>3238</v>
      </c>
      <c r="BT106" s="3070" t="s">
        <v>3086</v>
      </c>
      <c r="BU106" s="3070" t="s">
        <v>3981</v>
      </c>
      <c r="BZ106" s="3073">
        <v>44219.82916666667</v>
      </c>
      <c r="CA106" s="3070">
        <v>10</v>
      </c>
      <c r="CB106" s="3070" t="s">
        <v>3086</v>
      </c>
      <c r="CD106" s="3070" t="s">
        <v>3239</v>
      </c>
      <c r="CF106" s="3070" t="s">
        <v>3091</v>
      </c>
      <c r="CH106" s="3070" t="s">
        <v>3240</v>
      </c>
      <c r="CI106" s="3070">
        <v>0</v>
      </c>
      <c r="CK106" s="3070" t="s">
        <v>3981</v>
      </c>
      <c r="CL106" s="3070" t="s">
        <v>3986</v>
      </c>
      <c r="CM106" s="3070">
        <v>1129922.94</v>
      </c>
      <c r="CV106" s="3070" t="s">
        <v>3246</v>
      </c>
      <c r="CW106" s="3070" t="s">
        <v>4154</v>
      </c>
      <c r="CZ106" s="3070">
        <v>213894.57</v>
      </c>
      <c r="DA106" s="3070">
        <v>159426.93</v>
      </c>
      <c r="DB106" s="3070">
        <v>0</v>
      </c>
      <c r="DC106" s="3070">
        <v>0</v>
      </c>
      <c r="DD106" s="3070">
        <v>3290547602</v>
      </c>
      <c r="DE106" s="3070">
        <v>2764253109</v>
      </c>
      <c r="DF106" s="3070">
        <v>1464966739</v>
      </c>
      <c r="DG106" s="3070">
        <v>14938370</v>
      </c>
      <c r="DH106" s="3070">
        <v>1284348000</v>
      </c>
      <c r="DI106" s="3070">
        <v>1278128000</v>
      </c>
      <c r="DJ106" s="3070">
        <v>6220000</v>
      </c>
      <c r="DK106" s="3070">
        <v>0</v>
      </c>
      <c r="DL106" s="3070">
        <v>0</v>
      </c>
      <c r="DM106" s="3070">
        <v>25491817.620000001</v>
      </c>
      <c r="DN106" s="3070">
        <v>2764253109</v>
      </c>
      <c r="DP106" s="3070">
        <v>2764253109</v>
      </c>
    </row>
    <row r="107" spans="1:120">
      <c r="A107" s="3070">
        <v>106</v>
      </c>
      <c r="B107" s="3070" t="s">
        <v>3224</v>
      </c>
      <c r="C107" s="3070">
        <v>10</v>
      </c>
      <c r="E107" s="3070">
        <v>1804</v>
      </c>
      <c r="F107" s="3070" t="s">
        <v>4155</v>
      </c>
      <c r="G107" s="3070" t="s">
        <v>4156</v>
      </c>
      <c r="H107" s="3070">
        <v>1017090</v>
      </c>
      <c r="I107" s="3070">
        <v>1017090</v>
      </c>
      <c r="J107" s="3070">
        <v>114.02</v>
      </c>
      <c r="K107" s="3070">
        <v>82.85</v>
      </c>
      <c r="L107" s="3070">
        <v>0</v>
      </c>
      <c r="M107" s="3070">
        <v>0</v>
      </c>
      <c r="N107" s="3070">
        <v>14994.44</v>
      </c>
      <c r="O107" s="3070">
        <v>1709666</v>
      </c>
      <c r="P107" s="3070">
        <v>8920.2800000000007</v>
      </c>
      <c r="Q107" s="3070">
        <v>1017090</v>
      </c>
      <c r="R107" s="3070" t="s">
        <v>3227</v>
      </c>
      <c r="S107" s="3070" t="s">
        <v>4157</v>
      </c>
      <c r="T107" s="3070" t="s">
        <v>4158</v>
      </c>
      <c r="V107" s="3070" t="s">
        <v>3230</v>
      </c>
      <c r="Y107" s="3070">
        <v>508545</v>
      </c>
      <c r="Z107" s="3070">
        <v>508545</v>
      </c>
      <c r="AA107" s="3070">
        <v>1017090</v>
      </c>
      <c r="AB107" s="3070">
        <v>0</v>
      </c>
      <c r="AC107" s="3070">
        <v>0</v>
      </c>
      <c r="AD107" s="3070">
        <v>0</v>
      </c>
      <c r="AE107" s="3070">
        <v>0</v>
      </c>
      <c r="AI107" s="3070" t="s">
        <v>3227</v>
      </c>
      <c r="AJ107" s="3070">
        <v>0</v>
      </c>
      <c r="AK107" s="3070">
        <v>0</v>
      </c>
      <c r="AL107" s="3070">
        <v>0</v>
      </c>
      <c r="AM107" s="3070">
        <v>8920.2800000000007</v>
      </c>
      <c r="AN107" s="3070">
        <v>1017090</v>
      </c>
      <c r="AP107" s="3070">
        <v>1017090</v>
      </c>
      <c r="AQ107" s="3072">
        <v>45138</v>
      </c>
      <c r="AT107" s="3073">
        <v>45678</v>
      </c>
      <c r="AV107" s="3070" t="s">
        <v>4159</v>
      </c>
      <c r="AW107" s="3070" t="s">
        <v>4160</v>
      </c>
      <c r="AX107" s="3070" t="s">
        <v>4161</v>
      </c>
      <c r="AY107" s="3070" t="s">
        <v>4065</v>
      </c>
      <c r="BC107" s="3070" t="s">
        <v>4162</v>
      </c>
      <c r="BD107" s="3070" t="s">
        <v>3077</v>
      </c>
      <c r="BI107" s="3070" t="s">
        <v>3235</v>
      </c>
      <c r="BJ107" s="3070" t="s">
        <v>3296</v>
      </c>
      <c r="BL107" s="3070" t="s">
        <v>4163</v>
      </c>
      <c r="BM107" s="3070" t="s">
        <v>3841</v>
      </c>
      <c r="BN107" s="3070">
        <v>180</v>
      </c>
      <c r="BR107" s="3070">
        <v>0</v>
      </c>
      <c r="BS107" s="3070" t="s">
        <v>3238</v>
      </c>
      <c r="BT107" s="3070" t="s">
        <v>3086</v>
      </c>
      <c r="BV107" s="3070" t="s">
        <v>4164</v>
      </c>
      <c r="BW107" s="3070" t="s">
        <v>4165</v>
      </c>
      <c r="BX107" s="3070" t="s">
        <v>4166</v>
      </c>
      <c r="BZ107" s="3073">
        <v>44259.625694444447</v>
      </c>
      <c r="CA107" s="3070">
        <v>10</v>
      </c>
      <c r="CB107" s="3070" t="s">
        <v>3086</v>
      </c>
      <c r="CD107" s="3070" t="s">
        <v>3239</v>
      </c>
      <c r="CF107" s="3070" t="s">
        <v>3091</v>
      </c>
      <c r="CH107" s="3070" t="s">
        <v>3240</v>
      </c>
      <c r="CI107" s="3070">
        <v>0</v>
      </c>
      <c r="CK107" s="3070" t="s">
        <v>4167</v>
      </c>
      <c r="CL107" s="3070" t="s">
        <v>4065</v>
      </c>
      <c r="CM107" s="3070">
        <v>933110.09</v>
      </c>
      <c r="CV107" s="3070" t="s">
        <v>3494</v>
      </c>
      <c r="CW107" s="3070" t="s">
        <v>4168</v>
      </c>
      <c r="CX107" s="3070" t="s">
        <v>3510</v>
      </c>
      <c r="CZ107" s="3070">
        <v>213894.57</v>
      </c>
      <c r="DA107" s="3070">
        <v>159426.93</v>
      </c>
      <c r="DB107" s="3070">
        <v>0</v>
      </c>
      <c r="DC107" s="3070">
        <v>0</v>
      </c>
      <c r="DD107" s="3070">
        <v>3290547602</v>
      </c>
      <c r="DE107" s="3070">
        <v>2764253109</v>
      </c>
      <c r="DF107" s="3070">
        <v>1464966739</v>
      </c>
      <c r="DG107" s="3070">
        <v>14938370</v>
      </c>
      <c r="DH107" s="3070">
        <v>1284348000</v>
      </c>
      <c r="DI107" s="3070">
        <v>1278128000</v>
      </c>
      <c r="DJ107" s="3070">
        <v>6220000</v>
      </c>
      <c r="DK107" s="3070">
        <v>0</v>
      </c>
      <c r="DL107" s="3070">
        <v>0</v>
      </c>
      <c r="DM107" s="3070">
        <v>25491817.620000001</v>
      </c>
      <c r="DN107" s="3070">
        <v>2764253109</v>
      </c>
      <c r="DP107" s="3070">
        <v>2764253109</v>
      </c>
    </row>
    <row r="108" spans="1:120">
      <c r="A108" s="3070">
        <v>107</v>
      </c>
      <c r="B108" s="3070" t="s">
        <v>3224</v>
      </c>
      <c r="C108" s="3070">
        <v>10</v>
      </c>
      <c r="E108" s="3070">
        <v>201</v>
      </c>
      <c r="F108" s="3070" t="s">
        <v>4169</v>
      </c>
      <c r="G108" s="3070" t="s">
        <v>4170</v>
      </c>
      <c r="H108" s="3070">
        <v>1498438</v>
      </c>
      <c r="I108" s="3070">
        <v>1498438</v>
      </c>
      <c r="J108" s="3070">
        <v>114.02</v>
      </c>
      <c r="K108" s="3070">
        <v>82.85</v>
      </c>
      <c r="L108" s="3070">
        <v>0</v>
      </c>
      <c r="M108" s="3070">
        <v>0</v>
      </c>
      <c r="N108" s="3070">
        <v>14894.44</v>
      </c>
      <c r="O108" s="3070">
        <v>1698264</v>
      </c>
      <c r="P108" s="3070">
        <v>13141.89</v>
      </c>
      <c r="Q108" s="3070">
        <v>1498438</v>
      </c>
      <c r="R108" s="3070" t="s">
        <v>3227</v>
      </c>
      <c r="S108" s="3070" t="s">
        <v>4171</v>
      </c>
      <c r="T108" s="3070" t="s">
        <v>3246</v>
      </c>
      <c r="U108" s="3070" t="s">
        <v>3381</v>
      </c>
      <c r="V108" s="3070" t="s">
        <v>3230</v>
      </c>
      <c r="Y108" s="3070">
        <v>848438</v>
      </c>
      <c r="Z108" s="3070">
        <v>848438</v>
      </c>
      <c r="AA108" s="3070">
        <v>848438</v>
      </c>
      <c r="AB108" s="3070">
        <v>0</v>
      </c>
      <c r="AC108" s="3070">
        <v>650000</v>
      </c>
      <c r="AD108" s="3070">
        <v>650000</v>
      </c>
      <c r="AE108" s="3070">
        <v>0</v>
      </c>
      <c r="AI108" s="3070" t="s">
        <v>3227</v>
      </c>
      <c r="AJ108" s="3070">
        <v>0</v>
      </c>
      <c r="AK108" s="3070">
        <v>0</v>
      </c>
      <c r="AL108" s="3070">
        <v>0</v>
      </c>
      <c r="AM108" s="3070">
        <v>13141.89</v>
      </c>
      <c r="AN108" s="3070">
        <v>1498438</v>
      </c>
      <c r="AP108" s="3070">
        <v>1498438</v>
      </c>
      <c r="AQ108" s="3072">
        <v>45138</v>
      </c>
      <c r="AT108" s="3073">
        <v>45678</v>
      </c>
      <c r="AV108" s="3070" t="s">
        <v>4172</v>
      </c>
      <c r="AW108" s="3070" t="s">
        <v>4173</v>
      </c>
      <c r="AX108" s="3070" t="s">
        <v>4174</v>
      </c>
      <c r="AY108" s="3070" t="s">
        <v>4019</v>
      </c>
      <c r="BC108" s="3070" t="s">
        <v>4175</v>
      </c>
      <c r="BD108" s="3070" t="s">
        <v>3077</v>
      </c>
      <c r="BI108" s="3070" t="s">
        <v>3235</v>
      </c>
      <c r="BJ108" s="3070" t="s">
        <v>3236</v>
      </c>
      <c r="BL108" s="3070" t="s">
        <v>4176</v>
      </c>
      <c r="BM108" s="3070" t="s">
        <v>3841</v>
      </c>
      <c r="BN108" s="3070">
        <v>201</v>
      </c>
      <c r="BO108" s="3070" t="s">
        <v>3253</v>
      </c>
      <c r="BR108" s="3070">
        <v>0</v>
      </c>
      <c r="BS108" s="3070" t="s">
        <v>3238</v>
      </c>
      <c r="BT108" s="3070" t="s">
        <v>3086</v>
      </c>
      <c r="BZ108" s="3073">
        <v>44244.720138888886</v>
      </c>
      <c r="CA108" s="3070">
        <v>10</v>
      </c>
      <c r="CB108" s="3070" t="s">
        <v>3086</v>
      </c>
      <c r="CD108" s="3070" t="s">
        <v>3239</v>
      </c>
      <c r="CF108" s="3070" t="s">
        <v>3091</v>
      </c>
      <c r="CH108" s="3070" t="s">
        <v>3240</v>
      </c>
      <c r="CI108" s="3070">
        <v>0</v>
      </c>
      <c r="CK108" s="3070" t="s">
        <v>4019</v>
      </c>
      <c r="CL108" s="3070" t="s">
        <v>4019</v>
      </c>
      <c r="CM108" s="3070">
        <v>1374713.76</v>
      </c>
      <c r="CV108" s="3070" t="s">
        <v>3246</v>
      </c>
      <c r="CW108" s="3070" t="s">
        <v>4177</v>
      </c>
      <c r="CX108" s="3070" t="s">
        <v>3510</v>
      </c>
      <c r="CZ108" s="3070">
        <v>213894.57</v>
      </c>
      <c r="DA108" s="3070">
        <v>159426.93</v>
      </c>
      <c r="DB108" s="3070">
        <v>0</v>
      </c>
      <c r="DC108" s="3070">
        <v>0</v>
      </c>
      <c r="DD108" s="3070">
        <v>3290547602</v>
      </c>
      <c r="DE108" s="3070">
        <v>2764253109</v>
      </c>
      <c r="DF108" s="3070">
        <v>1464966739</v>
      </c>
      <c r="DG108" s="3070">
        <v>14938370</v>
      </c>
      <c r="DH108" s="3070">
        <v>1284348000</v>
      </c>
      <c r="DI108" s="3070">
        <v>1278128000</v>
      </c>
      <c r="DJ108" s="3070">
        <v>6220000</v>
      </c>
      <c r="DK108" s="3070">
        <v>0</v>
      </c>
      <c r="DL108" s="3070">
        <v>0</v>
      </c>
      <c r="DM108" s="3070">
        <v>25491817.620000001</v>
      </c>
      <c r="DN108" s="3070">
        <v>2764253109</v>
      </c>
      <c r="DP108" s="3070">
        <v>2764253109</v>
      </c>
    </row>
    <row r="109" spans="1:120">
      <c r="A109" s="3070">
        <v>108</v>
      </c>
      <c r="B109" s="3070" t="s">
        <v>3224</v>
      </c>
      <c r="C109" s="3070">
        <v>10</v>
      </c>
      <c r="E109" s="3070">
        <v>202</v>
      </c>
      <c r="F109" s="3070" t="s">
        <v>4178</v>
      </c>
      <c r="G109" s="3070" t="s">
        <v>4179</v>
      </c>
      <c r="H109" s="3070">
        <v>1260193</v>
      </c>
      <c r="I109" s="3070">
        <v>1260193</v>
      </c>
      <c r="J109" s="3070">
        <v>102.67</v>
      </c>
      <c r="K109" s="3070">
        <v>74.61</v>
      </c>
      <c r="L109" s="3070">
        <v>0</v>
      </c>
      <c r="M109" s="3070">
        <v>0</v>
      </c>
      <c r="N109" s="3070">
        <v>14944.44</v>
      </c>
      <c r="O109" s="3070">
        <v>1534346</v>
      </c>
      <c r="P109" s="3070">
        <v>12274.21</v>
      </c>
      <c r="Q109" s="3070">
        <v>1260193</v>
      </c>
      <c r="R109" s="3070" t="s">
        <v>3227</v>
      </c>
      <c r="S109" s="3070" t="s">
        <v>4180</v>
      </c>
      <c r="T109" s="3070" t="s">
        <v>3246</v>
      </c>
      <c r="U109" s="3070" t="s">
        <v>3279</v>
      </c>
      <c r="V109" s="3070" t="s">
        <v>3230</v>
      </c>
      <c r="Y109" s="3070">
        <v>380193</v>
      </c>
      <c r="Z109" s="3070">
        <v>380193</v>
      </c>
      <c r="AA109" s="3070">
        <v>380193</v>
      </c>
      <c r="AB109" s="3070">
        <v>0</v>
      </c>
      <c r="AC109" s="3070">
        <v>880000</v>
      </c>
      <c r="AD109" s="3070">
        <v>880000</v>
      </c>
      <c r="AE109" s="3070">
        <v>0</v>
      </c>
      <c r="AI109" s="3070" t="s">
        <v>3227</v>
      </c>
      <c r="AJ109" s="3070">
        <v>0</v>
      </c>
      <c r="AK109" s="3070">
        <v>0</v>
      </c>
      <c r="AL109" s="3070">
        <v>0</v>
      </c>
      <c r="AM109" s="3070">
        <v>12274.21</v>
      </c>
      <c r="AN109" s="3070">
        <v>1260193</v>
      </c>
      <c r="AP109" s="3070">
        <v>1260193</v>
      </c>
      <c r="AQ109" s="3072">
        <v>45138</v>
      </c>
      <c r="AT109" s="3073">
        <v>45678</v>
      </c>
      <c r="AV109" s="3070" t="s">
        <v>4181</v>
      </c>
      <c r="AW109" s="3070" t="s">
        <v>4182</v>
      </c>
      <c r="AX109" s="3070" t="s">
        <v>4183</v>
      </c>
      <c r="AY109" s="3070" t="s">
        <v>3981</v>
      </c>
      <c r="BA109" s="3070" t="s">
        <v>3981</v>
      </c>
      <c r="BC109" s="3070" t="s">
        <v>4184</v>
      </c>
      <c r="BD109" s="3070" t="s">
        <v>3077</v>
      </c>
      <c r="BI109" s="3070" t="s">
        <v>3295</v>
      </c>
      <c r="BL109" s="3070" t="s">
        <v>4185</v>
      </c>
      <c r="BM109" s="3070" t="s">
        <v>3841</v>
      </c>
      <c r="BN109" s="3070">
        <v>202</v>
      </c>
      <c r="BO109" s="3070" t="s">
        <v>3253</v>
      </c>
      <c r="BR109" s="3070">
        <v>16</v>
      </c>
      <c r="BS109" s="3070" t="s">
        <v>3238</v>
      </c>
      <c r="BT109" s="3070" t="s">
        <v>3086</v>
      </c>
      <c r="BU109" s="3070" t="s">
        <v>3981</v>
      </c>
      <c r="BZ109" s="3073">
        <v>44211.468055555553</v>
      </c>
      <c r="CA109" s="3070">
        <v>10</v>
      </c>
      <c r="CB109" s="3070" t="s">
        <v>3086</v>
      </c>
      <c r="CD109" s="3070" t="s">
        <v>3239</v>
      </c>
      <c r="CF109" s="3070" t="s">
        <v>3091</v>
      </c>
      <c r="CH109" s="3070" t="s">
        <v>3240</v>
      </c>
      <c r="CI109" s="3070">
        <v>0</v>
      </c>
      <c r="CK109" s="3070" t="s">
        <v>3981</v>
      </c>
      <c r="CL109" s="3070" t="s">
        <v>3986</v>
      </c>
      <c r="CM109" s="3070">
        <v>1156140.3700000001</v>
      </c>
      <c r="CV109" s="3070" t="s">
        <v>3246</v>
      </c>
      <c r="CW109" s="3070" t="s">
        <v>4186</v>
      </c>
      <c r="CZ109" s="3070">
        <v>213894.57</v>
      </c>
      <c r="DA109" s="3070">
        <v>159426.93</v>
      </c>
      <c r="DB109" s="3070">
        <v>0</v>
      </c>
      <c r="DC109" s="3070">
        <v>0</v>
      </c>
      <c r="DD109" s="3070">
        <v>3290547602</v>
      </c>
      <c r="DE109" s="3070">
        <v>2764253109</v>
      </c>
      <c r="DF109" s="3070">
        <v>1464966739</v>
      </c>
      <c r="DG109" s="3070">
        <v>14938370</v>
      </c>
      <c r="DH109" s="3070">
        <v>1284348000</v>
      </c>
      <c r="DI109" s="3070">
        <v>1278128000</v>
      </c>
      <c r="DJ109" s="3070">
        <v>6220000</v>
      </c>
      <c r="DK109" s="3070">
        <v>0</v>
      </c>
      <c r="DL109" s="3070">
        <v>0</v>
      </c>
      <c r="DM109" s="3070">
        <v>25491817.620000001</v>
      </c>
      <c r="DN109" s="3070">
        <v>2764253109</v>
      </c>
      <c r="DP109" s="3070">
        <v>2764253109</v>
      </c>
    </row>
    <row r="110" spans="1:120">
      <c r="A110" s="3070">
        <v>109</v>
      </c>
      <c r="B110" s="3070" t="s">
        <v>3224</v>
      </c>
      <c r="C110" s="3070">
        <v>10</v>
      </c>
      <c r="E110" s="3070">
        <v>203</v>
      </c>
      <c r="F110" s="3070" t="s">
        <v>4187</v>
      </c>
      <c r="G110" s="3070" t="s">
        <v>4188</v>
      </c>
      <c r="H110" s="3070">
        <v>1192814</v>
      </c>
      <c r="I110" s="3070">
        <v>1192814</v>
      </c>
      <c r="J110" s="3070">
        <v>102.67</v>
      </c>
      <c r="K110" s="3070">
        <v>74.61</v>
      </c>
      <c r="L110" s="3070">
        <v>0</v>
      </c>
      <c r="M110" s="3070">
        <v>0</v>
      </c>
      <c r="N110" s="3070">
        <v>14944.44</v>
      </c>
      <c r="O110" s="3070">
        <v>1534346</v>
      </c>
      <c r="P110" s="3070">
        <v>11617.94</v>
      </c>
      <c r="Q110" s="3070">
        <v>1192814</v>
      </c>
      <c r="R110" s="3070" t="s">
        <v>3227</v>
      </c>
      <c r="S110" s="3070" t="s">
        <v>3353</v>
      </c>
      <c r="T110" s="3070" t="s">
        <v>3991</v>
      </c>
      <c r="V110" s="3070" t="s">
        <v>3230</v>
      </c>
      <c r="Y110" s="3070">
        <v>357844</v>
      </c>
      <c r="Z110" s="3070">
        <v>357844</v>
      </c>
      <c r="AA110" s="3070">
        <v>1192814</v>
      </c>
      <c r="AB110" s="3070">
        <v>0</v>
      </c>
      <c r="AC110" s="3070">
        <v>0</v>
      </c>
      <c r="AD110" s="3070">
        <v>0</v>
      </c>
      <c r="AE110" s="3070">
        <v>0</v>
      </c>
      <c r="AI110" s="3070" t="s">
        <v>3227</v>
      </c>
      <c r="AJ110" s="3070">
        <v>0</v>
      </c>
      <c r="AK110" s="3070">
        <v>0</v>
      </c>
      <c r="AL110" s="3070">
        <v>0</v>
      </c>
      <c r="AM110" s="3070">
        <v>11617.94</v>
      </c>
      <c r="AN110" s="3070">
        <v>1192814</v>
      </c>
      <c r="AP110" s="3070">
        <v>1192814</v>
      </c>
      <c r="AQ110" s="3072">
        <v>45138</v>
      </c>
      <c r="AT110" s="3073">
        <v>45678</v>
      </c>
      <c r="AV110" s="3074">
        <v>3.21E+17</v>
      </c>
      <c r="AW110" s="3070" t="s">
        <v>4189</v>
      </c>
      <c r="AX110" s="3070" t="s">
        <v>4190</v>
      </c>
      <c r="AY110" s="3070" t="s">
        <v>3981</v>
      </c>
      <c r="AZ110" s="3070" t="s">
        <v>3981</v>
      </c>
      <c r="BC110" s="3070" t="s">
        <v>4145</v>
      </c>
      <c r="BD110" s="3070" t="s">
        <v>3077</v>
      </c>
      <c r="BI110" s="3070" t="s">
        <v>3235</v>
      </c>
      <c r="BL110" s="3070" t="s">
        <v>4191</v>
      </c>
      <c r="BM110" s="3070" t="s">
        <v>3841</v>
      </c>
      <c r="BN110" s="3070">
        <v>203</v>
      </c>
      <c r="BR110" s="3070">
        <v>16</v>
      </c>
      <c r="BS110" s="3070" t="s">
        <v>3238</v>
      </c>
      <c r="BT110" s="3070" t="s">
        <v>3086</v>
      </c>
      <c r="BZ110" s="3073">
        <v>44227.513888888891</v>
      </c>
      <c r="CA110" s="3070">
        <v>10</v>
      </c>
      <c r="CB110" s="3070" t="s">
        <v>3086</v>
      </c>
      <c r="CD110" s="3070" t="s">
        <v>3239</v>
      </c>
      <c r="CF110" s="3070" t="s">
        <v>3091</v>
      </c>
      <c r="CH110" s="3070" t="s">
        <v>3240</v>
      </c>
      <c r="CI110" s="3070">
        <v>0</v>
      </c>
      <c r="CK110" s="3070" t="s">
        <v>3985</v>
      </c>
      <c r="CL110" s="3070" t="s">
        <v>3981</v>
      </c>
      <c r="CM110" s="3070">
        <v>1094324.77</v>
      </c>
      <c r="CV110" s="3070" t="s">
        <v>3494</v>
      </c>
      <c r="CW110" s="3070" t="s">
        <v>4192</v>
      </c>
      <c r="CX110" s="3070" t="s">
        <v>3267</v>
      </c>
      <c r="CZ110" s="3070">
        <v>213894.57</v>
      </c>
      <c r="DA110" s="3070">
        <v>159426.93</v>
      </c>
      <c r="DB110" s="3070">
        <v>0</v>
      </c>
      <c r="DC110" s="3070">
        <v>0</v>
      </c>
      <c r="DD110" s="3070">
        <v>3290547602</v>
      </c>
      <c r="DE110" s="3070">
        <v>2764253109</v>
      </c>
      <c r="DF110" s="3070">
        <v>1464966739</v>
      </c>
      <c r="DG110" s="3070">
        <v>14938370</v>
      </c>
      <c r="DH110" s="3070">
        <v>1284348000</v>
      </c>
      <c r="DI110" s="3070">
        <v>1278128000</v>
      </c>
      <c r="DJ110" s="3070">
        <v>6220000</v>
      </c>
      <c r="DK110" s="3070">
        <v>0</v>
      </c>
      <c r="DL110" s="3070">
        <v>0</v>
      </c>
      <c r="DM110" s="3070">
        <v>25491817.620000001</v>
      </c>
      <c r="DN110" s="3070">
        <v>2764253109</v>
      </c>
      <c r="DP110" s="3070">
        <v>2764253109</v>
      </c>
    </row>
    <row r="111" spans="1:120">
      <c r="A111" s="3070">
        <v>110</v>
      </c>
      <c r="B111" s="3070" t="s">
        <v>3224</v>
      </c>
      <c r="C111" s="3070">
        <v>10</v>
      </c>
      <c r="E111" s="3070">
        <v>204</v>
      </c>
      <c r="F111" s="3070" t="s">
        <v>4193</v>
      </c>
      <c r="G111" s="3070" t="s">
        <v>4194</v>
      </c>
      <c r="H111" s="3070">
        <v>1493307</v>
      </c>
      <c r="I111" s="3070">
        <v>1493307</v>
      </c>
      <c r="J111" s="3070">
        <v>114.02</v>
      </c>
      <c r="K111" s="3070">
        <v>82.85</v>
      </c>
      <c r="L111" s="3070">
        <v>0</v>
      </c>
      <c r="M111" s="3070">
        <v>0</v>
      </c>
      <c r="N111" s="3070">
        <v>14844.44</v>
      </c>
      <c r="O111" s="3070">
        <v>1692563</v>
      </c>
      <c r="P111" s="3070">
        <v>13096.89</v>
      </c>
      <c r="Q111" s="3070">
        <v>1493307</v>
      </c>
      <c r="R111" s="3070" t="s">
        <v>3227</v>
      </c>
      <c r="S111" s="3070" t="s">
        <v>4195</v>
      </c>
      <c r="T111" s="3070" t="s">
        <v>3258</v>
      </c>
      <c r="U111" s="3070" t="s">
        <v>3259</v>
      </c>
      <c r="V111" s="3070" t="s">
        <v>3230</v>
      </c>
      <c r="Y111" s="3070">
        <v>463307</v>
      </c>
      <c r="Z111" s="3070">
        <v>463307</v>
      </c>
      <c r="AA111" s="3070">
        <v>463307</v>
      </c>
      <c r="AB111" s="3070">
        <v>0</v>
      </c>
      <c r="AC111" s="3070">
        <v>1030000</v>
      </c>
      <c r="AD111" s="3070">
        <v>1030000</v>
      </c>
      <c r="AE111" s="3070">
        <v>0</v>
      </c>
      <c r="AI111" s="3070" t="s">
        <v>3227</v>
      </c>
      <c r="AJ111" s="3070">
        <v>0</v>
      </c>
      <c r="AK111" s="3070">
        <v>0</v>
      </c>
      <c r="AL111" s="3070">
        <v>0</v>
      </c>
      <c r="AM111" s="3070">
        <v>13096.89</v>
      </c>
      <c r="AN111" s="3070">
        <v>1493307</v>
      </c>
      <c r="AP111" s="3070">
        <v>1493307</v>
      </c>
      <c r="AQ111" s="3072">
        <v>45138</v>
      </c>
      <c r="AT111" s="3073">
        <v>45678</v>
      </c>
      <c r="AV111" s="3070" t="s">
        <v>4196</v>
      </c>
      <c r="AW111" s="3070" t="s">
        <v>4197</v>
      </c>
      <c r="AX111" s="3070" t="s">
        <v>4198</v>
      </c>
      <c r="AY111" s="3070" t="s">
        <v>4019</v>
      </c>
      <c r="BC111" s="3070" t="s">
        <v>4199</v>
      </c>
      <c r="BD111" s="3070" t="s">
        <v>3077</v>
      </c>
      <c r="BI111" s="3070" t="s">
        <v>3235</v>
      </c>
      <c r="BJ111" s="3070" t="s">
        <v>3236</v>
      </c>
      <c r="BL111" s="3070" t="s">
        <v>4200</v>
      </c>
      <c r="BM111" s="3070" t="s">
        <v>3841</v>
      </c>
      <c r="BN111" s="3070">
        <v>204</v>
      </c>
      <c r="BO111" s="3070" t="s">
        <v>3403</v>
      </c>
      <c r="BP111" s="3070" t="s">
        <v>3403</v>
      </c>
      <c r="BR111" s="3070">
        <v>0</v>
      </c>
      <c r="BS111" s="3070" t="s">
        <v>3238</v>
      </c>
      <c r="BT111" s="3070" t="s">
        <v>3086</v>
      </c>
      <c r="BZ111" s="3073">
        <v>44251.683333333334</v>
      </c>
      <c r="CA111" s="3070">
        <v>10</v>
      </c>
      <c r="CB111" s="3070" t="s">
        <v>3086</v>
      </c>
      <c r="CD111" s="3070" t="s">
        <v>3239</v>
      </c>
      <c r="CF111" s="3070" t="s">
        <v>3091</v>
      </c>
      <c r="CH111" s="3070" t="s">
        <v>3240</v>
      </c>
      <c r="CI111" s="3070">
        <v>0</v>
      </c>
      <c r="CJ111" s="3070" t="s">
        <v>3259</v>
      </c>
      <c r="CK111" s="3070" t="s">
        <v>4019</v>
      </c>
      <c r="CL111" s="3070" t="s">
        <v>4019</v>
      </c>
      <c r="CM111" s="3070">
        <v>1370006.42</v>
      </c>
      <c r="CV111" s="3070" t="s">
        <v>3258</v>
      </c>
      <c r="CW111" s="3070" t="s">
        <v>4201</v>
      </c>
      <c r="CZ111" s="3070">
        <v>213894.57</v>
      </c>
      <c r="DA111" s="3070">
        <v>159426.93</v>
      </c>
      <c r="DB111" s="3070">
        <v>0</v>
      </c>
      <c r="DC111" s="3070">
        <v>0</v>
      </c>
      <c r="DD111" s="3070">
        <v>3290547602</v>
      </c>
      <c r="DE111" s="3070">
        <v>2764253109</v>
      </c>
      <c r="DF111" s="3070">
        <v>1464966739</v>
      </c>
      <c r="DG111" s="3070">
        <v>14938370</v>
      </c>
      <c r="DH111" s="3070">
        <v>1284348000</v>
      </c>
      <c r="DI111" s="3070">
        <v>1278128000</v>
      </c>
      <c r="DJ111" s="3070">
        <v>6220000</v>
      </c>
      <c r="DK111" s="3070">
        <v>0</v>
      </c>
      <c r="DL111" s="3070">
        <v>0</v>
      </c>
      <c r="DM111" s="3070">
        <v>25491817.620000001</v>
      </c>
      <c r="DN111" s="3070">
        <v>2764253109</v>
      </c>
      <c r="DP111" s="3070">
        <v>2764253109</v>
      </c>
    </row>
    <row r="112" spans="1:120">
      <c r="A112" s="3070">
        <v>111</v>
      </c>
      <c r="B112" s="3070" t="s">
        <v>3224</v>
      </c>
      <c r="C112" s="3070">
        <v>10</v>
      </c>
      <c r="E112" s="3070">
        <v>301</v>
      </c>
      <c r="F112" s="3070" t="s">
        <v>4202</v>
      </c>
      <c r="G112" s="3070" t="s">
        <v>4203</v>
      </c>
      <c r="H112" s="3070">
        <v>1391740</v>
      </c>
      <c r="I112" s="3070">
        <v>1391740</v>
      </c>
      <c r="J112" s="3070">
        <v>114.02</v>
      </c>
      <c r="K112" s="3070">
        <v>82.85</v>
      </c>
      <c r="L112" s="3070">
        <v>0</v>
      </c>
      <c r="M112" s="3070">
        <v>0</v>
      </c>
      <c r="N112" s="3070">
        <v>14994.44</v>
      </c>
      <c r="O112" s="3070">
        <v>1709666</v>
      </c>
      <c r="P112" s="3070">
        <v>12206.1</v>
      </c>
      <c r="Q112" s="3070">
        <v>1391740</v>
      </c>
      <c r="R112" s="3070" t="s">
        <v>3227</v>
      </c>
      <c r="S112" s="3070" t="s">
        <v>4204</v>
      </c>
      <c r="T112" s="3070" t="s">
        <v>3246</v>
      </c>
      <c r="U112" s="3070" t="s">
        <v>3467</v>
      </c>
      <c r="V112" s="3070" t="s">
        <v>3230</v>
      </c>
      <c r="Y112" s="3070">
        <v>1091740</v>
      </c>
      <c r="Z112" s="3070">
        <v>1091740</v>
      </c>
      <c r="AA112" s="3070">
        <v>1091740</v>
      </c>
      <c r="AB112" s="3070">
        <v>0</v>
      </c>
      <c r="AC112" s="3070">
        <v>300000</v>
      </c>
      <c r="AD112" s="3070">
        <v>300000</v>
      </c>
      <c r="AE112" s="3070">
        <v>0</v>
      </c>
      <c r="AI112" s="3070" t="s">
        <v>3227</v>
      </c>
      <c r="AJ112" s="3070">
        <v>0</v>
      </c>
      <c r="AK112" s="3070">
        <v>0</v>
      </c>
      <c r="AL112" s="3070">
        <v>0</v>
      </c>
      <c r="AM112" s="3070">
        <v>12206.1</v>
      </c>
      <c r="AN112" s="3070">
        <v>1391740</v>
      </c>
      <c r="AP112" s="3070">
        <v>1391740</v>
      </c>
      <c r="AQ112" s="3072">
        <v>45138</v>
      </c>
      <c r="AT112" s="3073">
        <v>45678</v>
      </c>
      <c r="AV112" s="3070" t="s">
        <v>4205</v>
      </c>
      <c r="AW112" s="3070" t="s">
        <v>4206</v>
      </c>
      <c r="AX112" s="3070" t="s">
        <v>4207</v>
      </c>
      <c r="AY112" s="3070" t="s">
        <v>4208</v>
      </c>
      <c r="BC112" s="3070" t="s">
        <v>4209</v>
      </c>
      <c r="BD112" s="3070" t="s">
        <v>3077</v>
      </c>
      <c r="BI112" s="3070" t="s">
        <v>3235</v>
      </c>
      <c r="BL112" s="3070" t="s">
        <v>4210</v>
      </c>
      <c r="BM112" s="3070" t="s">
        <v>3841</v>
      </c>
      <c r="BN112" s="3070">
        <v>301</v>
      </c>
      <c r="BO112" s="3070" t="s">
        <v>3253</v>
      </c>
      <c r="BR112" s="3070">
        <v>26</v>
      </c>
      <c r="BS112" s="3070" t="s">
        <v>3238</v>
      </c>
      <c r="BT112" s="3070" t="s">
        <v>3086</v>
      </c>
      <c r="BZ112" s="3073">
        <v>44219.65</v>
      </c>
      <c r="CA112" s="3070">
        <v>10</v>
      </c>
      <c r="CB112" s="3070" t="s">
        <v>3086</v>
      </c>
      <c r="CD112" s="3070" t="s">
        <v>3239</v>
      </c>
      <c r="CF112" s="3070" t="s">
        <v>3091</v>
      </c>
      <c r="CH112" s="3070" t="s">
        <v>3240</v>
      </c>
      <c r="CI112" s="3070">
        <v>0</v>
      </c>
      <c r="CK112" s="3070" t="s">
        <v>4208</v>
      </c>
      <c r="CL112" s="3070" t="s">
        <v>4211</v>
      </c>
      <c r="CM112" s="3070">
        <v>1276825.69</v>
      </c>
      <c r="CV112" s="3070" t="s">
        <v>3246</v>
      </c>
      <c r="CW112" s="3070" t="s">
        <v>4212</v>
      </c>
      <c r="CZ112" s="3070">
        <v>213894.57</v>
      </c>
      <c r="DA112" s="3070">
        <v>159426.93</v>
      </c>
      <c r="DB112" s="3070">
        <v>0</v>
      </c>
      <c r="DC112" s="3070">
        <v>0</v>
      </c>
      <c r="DD112" s="3070">
        <v>3290547602</v>
      </c>
      <c r="DE112" s="3070">
        <v>2764253109</v>
      </c>
      <c r="DF112" s="3070">
        <v>1464966739</v>
      </c>
      <c r="DG112" s="3070">
        <v>14938370</v>
      </c>
      <c r="DH112" s="3070">
        <v>1284348000</v>
      </c>
      <c r="DI112" s="3070">
        <v>1278128000</v>
      </c>
      <c r="DJ112" s="3070">
        <v>6220000</v>
      </c>
      <c r="DK112" s="3070">
        <v>0</v>
      </c>
      <c r="DL112" s="3070">
        <v>0</v>
      </c>
      <c r="DM112" s="3070">
        <v>25491817.620000001</v>
      </c>
      <c r="DN112" s="3070">
        <v>2764253109</v>
      </c>
      <c r="DP112" s="3070">
        <v>2764253109</v>
      </c>
    </row>
    <row r="113" spans="1:120">
      <c r="A113" s="3070">
        <v>112</v>
      </c>
      <c r="B113" s="3070" t="s">
        <v>3224</v>
      </c>
      <c r="C113" s="3070">
        <v>10</v>
      </c>
      <c r="E113" s="3070">
        <v>302</v>
      </c>
      <c r="F113" s="3070" t="s">
        <v>4213</v>
      </c>
      <c r="G113" s="3070" t="s">
        <v>4214</v>
      </c>
      <c r="H113" s="3070">
        <v>1245644</v>
      </c>
      <c r="I113" s="3070">
        <v>1245644</v>
      </c>
      <c r="J113" s="3070">
        <v>102.67</v>
      </c>
      <c r="K113" s="3070">
        <v>74.61</v>
      </c>
      <c r="L113" s="3070">
        <v>0</v>
      </c>
      <c r="M113" s="3070">
        <v>0</v>
      </c>
      <c r="N113" s="3070">
        <v>15044.44</v>
      </c>
      <c r="O113" s="3070">
        <v>1544613</v>
      </c>
      <c r="P113" s="3070">
        <v>12132.5</v>
      </c>
      <c r="Q113" s="3070">
        <v>1245644</v>
      </c>
      <c r="R113" s="3070" t="s">
        <v>3227</v>
      </c>
      <c r="S113" s="3070" t="s">
        <v>4215</v>
      </c>
      <c r="T113" s="3070" t="s">
        <v>3258</v>
      </c>
      <c r="U113" s="3070" t="s">
        <v>3259</v>
      </c>
      <c r="V113" s="3070" t="s">
        <v>3230</v>
      </c>
      <c r="Y113" s="3070">
        <v>515644</v>
      </c>
      <c r="Z113" s="3070">
        <v>515644</v>
      </c>
      <c r="AA113" s="3070">
        <v>515644</v>
      </c>
      <c r="AB113" s="3070">
        <v>0</v>
      </c>
      <c r="AC113" s="3070">
        <v>730000</v>
      </c>
      <c r="AD113" s="3070">
        <v>730000</v>
      </c>
      <c r="AE113" s="3070">
        <v>0</v>
      </c>
      <c r="AI113" s="3070" t="s">
        <v>3227</v>
      </c>
      <c r="AJ113" s="3070">
        <v>0</v>
      </c>
      <c r="AK113" s="3070">
        <v>0</v>
      </c>
      <c r="AL113" s="3070">
        <v>0</v>
      </c>
      <c r="AM113" s="3070">
        <v>12132.5</v>
      </c>
      <c r="AN113" s="3070">
        <v>1245644</v>
      </c>
      <c r="AP113" s="3070">
        <v>1245644</v>
      </c>
      <c r="AQ113" s="3072">
        <v>45138</v>
      </c>
      <c r="AT113" s="3073">
        <v>45678</v>
      </c>
      <c r="AV113" s="3070" t="s">
        <v>4216</v>
      </c>
      <c r="AW113" s="3070" t="s">
        <v>4217</v>
      </c>
      <c r="AX113" s="3070" t="s">
        <v>4218</v>
      </c>
      <c r="AY113" s="3070" t="s">
        <v>3318</v>
      </c>
      <c r="BC113" s="3070" t="s">
        <v>3263</v>
      </c>
      <c r="BD113" s="3070" t="s">
        <v>3077</v>
      </c>
      <c r="BI113" s="3070" t="s">
        <v>3295</v>
      </c>
      <c r="BL113" s="3070" t="s">
        <v>4219</v>
      </c>
      <c r="BM113" s="3070" t="s">
        <v>3841</v>
      </c>
      <c r="BN113" s="3070">
        <v>302</v>
      </c>
      <c r="BO113" s="3070" t="s">
        <v>3253</v>
      </c>
      <c r="BP113" s="3070" t="s">
        <v>3253</v>
      </c>
      <c r="BR113" s="3070">
        <v>912</v>
      </c>
      <c r="BS113" s="3070" t="s">
        <v>3238</v>
      </c>
      <c r="BT113" s="3070" t="s">
        <v>3086</v>
      </c>
      <c r="BZ113" s="3073">
        <v>44142.95208333333</v>
      </c>
      <c r="CA113" s="3070">
        <v>10</v>
      </c>
      <c r="CB113" s="3070" t="s">
        <v>3086</v>
      </c>
      <c r="CD113" s="3070" t="s">
        <v>3239</v>
      </c>
      <c r="CF113" s="3070" t="s">
        <v>3091</v>
      </c>
      <c r="CH113" s="3070" t="s">
        <v>3240</v>
      </c>
      <c r="CI113" s="3070">
        <v>0</v>
      </c>
      <c r="CJ113" s="3070" t="s">
        <v>3259</v>
      </c>
      <c r="CK113" s="3070" t="s">
        <v>3318</v>
      </c>
      <c r="CL113" s="3070" t="s">
        <v>3318</v>
      </c>
      <c r="CM113" s="3070">
        <v>1142792.6599999999</v>
      </c>
      <c r="CV113" s="3070" t="s">
        <v>3258</v>
      </c>
      <c r="CW113" s="3070" t="s">
        <v>4220</v>
      </c>
      <c r="CZ113" s="3070">
        <v>213894.57</v>
      </c>
      <c r="DA113" s="3070">
        <v>159426.93</v>
      </c>
      <c r="DB113" s="3070">
        <v>0</v>
      </c>
      <c r="DC113" s="3070">
        <v>0</v>
      </c>
      <c r="DD113" s="3070">
        <v>3290547602</v>
      </c>
      <c r="DE113" s="3070">
        <v>2764253109</v>
      </c>
      <c r="DF113" s="3070">
        <v>1464966739</v>
      </c>
      <c r="DG113" s="3070">
        <v>14938370</v>
      </c>
      <c r="DH113" s="3070">
        <v>1284348000</v>
      </c>
      <c r="DI113" s="3070">
        <v>1278128000</v>
      </c>
      <c r="DJ113" s="3070">
        <v>6220000</v>
      </c>
      <c r="DK113" s="3070">
        <v>0</v>
      </c>
      <c r="DL113" s="3070">
        <v>0</v>
      </c>
      <c r="DM113" s="3070">
        <v>25491817.620000001</v>
      </c>
      <c r="DN113" s="3070">
        <v>2764253109</v>
      </c>
      <c r="DP113" s="3070">
        <v>2764253109</v>
      </c>
    </row>
    <row r="114" spans="1:120">
      <c r="A114" s="3070">
        <v>113</v>
      </c>
      <c r="B114" s="3070" t="s">
        <v>3224</v>
      </c>
      <c r="C114" s="3070">
        <v>10</v>
      </c>
      <c r="E114" s="3070">
        <v>303</v>
      </c>
      <c r="F114" s="3070" t="s">
        <v>4221</v>
      </c>
      <c r="G114" s="3070" t="s">
        <v>4222</v>
      </c>
      <c r="H114" s="3070">
        <v>1245644</v>
      </c>
      <c r="I114" s="3070">
        <v>1245644</v>
      </c>
      <c r="J114" s="3070">
        <v>102.67</v>
      </c>
      <c r="K114" s="3070">
        <v>74.61</v>
      </c>
      <c r="L114" s="3070">
        <v>0</v>
      </c>
      <c r="M114" s="3070">
        <v>0</v>
      </c>
      <c r="N114" s="3070">
        <v>15044.44</v>
      </c>
      <c r="O114" s="3070">
        <v>1544613</v>
      </c>
      <c r="P114" s="3070">
        <v>12132.5</v>
      </c>
      <c r="Q114" s="3070">
        <v>1245644</v>
      </c>
      <c r="R114" s="3070" t="s">
        <v>3227</v>
      </c>
      <c r="S114" s="3070" t="s">
        <v>4223</v>
      </c>
      <c r="T114" s="3070" t="s">
        <v>3246</v>
      </c>
      <c r="U114" s="3070" t="s">
        <v>3247</v>
      </c>
      <c r="V114" s="3070" t="s">
        <v>3230</v>
      </c>
      <c r="Y114" s="3070">
        <v>595644</v>
      </c>
      <c r="Z114" s="3070">
        <v>375644</v>
      </c>
      <c r="AA114" s="3070">
        <v>595644</v>
      </c>
      <c r="AB114" s="3070">
        <v>0</v>
      </c>
      <c r="AC114" s="3070">
        <v>650000</v>
      </c>
      <c r="AD114" s="3070">
        <v>650000</v>
      </c>
      <c r="AE114" s="3070">
        <v>0</v>
      </c>
      <c r="AI114" s="3070" t="s">
        <v>3227</v>
      </c>
      <c r="AJ114" s="3070">
        <v>0</v>
      </c>
      <c r="AK114" s="3070">
        <v>0</v>
      </c>
      <c r="AL114" s="3070">
        <v>0</v>
      </c>
      <c r="AM114" s="3070">
        <v>12132.5</v>
      </c>
      <c r="AN114" s="3070">
        <v>1245644</v>
      </c>
      <c r="AP114" s="3070">
        <v>1245644</v>
      </c>
      <c r="AQ114" s="3072">
        <v>45138</v>
      </c>
      <c r="AT114" s="3073">
        <v>45678</v>
      </c>
      <c r="AV114" s="3070" t="s">
        <v>4224</v>
      </c>
      <c r="AW114" s="3070" t="s">
        <v>4225</v>
      </c>
      <c r="AX114" s="3070" t="s">
        <v>4226</v>
      </c>
      <c r="AY114" s="3070" t="s">
        <v>3262</v>
      </c>
      <c r="BC114" s="3070" t="s">
        <v>3284</v>
      </c>
      <c r="BD114" s="3070" t="s">
        <v>3077</v>
      </c>
      <c r="BI114" s="3070" t="s">
        <v>3235</v>
      </c>
      <c r="BL114" s="3070" t="s">
        <v>4227</v>
      </c>
      <c r="BM114" s="3070" t="s">
        <v>3841</v>
      </c>
      <c r="BN114" s="3070">
        <v>303</v>
      </c>
      <c r="BO114" s="3070" t="s">
        <v>3253</v>
      </c>
      <c r="BR114" s="3070">
        <v>764</v>
      </c>
      <c r="BS114" s="3070" t="s">
        <v>3238</v>
      </c>
      <c r="BT114" s="3070" t="s">
        <v>3086</v>
      </c>
      <c r="BZ114" s="3073">
        <v>44142.953472222223</v>
      </c>
      <c r="CA114" s="3070">
        <v>10</v>
      </c>
      <c r="CB114" s="3070" t="s">
        <v>3086</v>
      </c>
      <c r="CD114" s="3070" t="s">
        <v>3239</v>
      </c>
      <c r="CF114" s="3070" t="s">
        <v>3091</v>
      </c>
      <c r="CH114" s="3070" t="s">
        <v>3240</v>
      </c>
      <c r="CI114" s="3070">
        <v>0</v>
      </c>
      <c r="CK114" s="3070" t="s">
        <v>3262</v>
      </c>
      <c r="CL114" s="3070" t="s">
        <v>3262</v>
      </c>
      <c r="CM114" s="3070">
        <v>1142792.6599999999</v>
      </c>
      <c r="CV114" s="3070" t="s">
        <v>3246</v>
      </c>
      <c r="CW114" s="3070" t="s">
        <v>4228</v>
      </c>
      <c r="CZ114" s="3070">
        <v>213894.57</v>
      </c>
      <c r="DA114" s="3070">
        <v>159426.93</v>
      </c>
      <c r="DB114" s="3070">
        <v>0</v>
      </c>
      <c r="DC114" s="3070">
        <v>0</v>
      </c>
      <c r="DD114" s="3070">
        <v>3290547602</v>
      </c>
      <c r="DE114" s="3070">
        <v>2764253109</v>
      </c>
      <c r="DF114" s="3070">
        <v>1464966739</v>
      </c>
      <c r="DG114" s="3070">
        <v>14938370</v>
      </c>
      <c r="DH114" s="3070">
        <v>1284348000</v>
      </c>
      <c r="DI114" s="3070">
        <v>1278128000</v>
      </c>
      <c r="DJ114" s="3070">
        <v>6220000</v>
      </c>
      <c r="DK114" s="3070">
        <v>0</v>
      </c>
      <c r="DL114" s="3070">
        <v>0</v>
      </c>
      <c r="DM114" s="3070">
        <v>25491817.620000001</v>
      </c>
      <c r="DN114" s="3070">
        <v>2764253109</v>
      </c>
      <c r="DP114" s="3070">
        <v>2764253109</v>
      </c>
    </row>
    <row r="115" spans="1:120">
      <c r="A115" s="3070">
        <v>114</v>
      </c>
      <c r="B115" s="3070" t="s">
        <v>3224</v>
      </c>
      <c r="C115" s="3070">
        <v>10</v>
      </c>
      <c r="E115" s="3070">
        <v>304</v>
      </c>
      <c r="F115" s="3070" t="s">
        <v>4229</v>
      </c>
      <c r="G115" s="3070" t="s">
        <v>4230</v>
      </c>
      <c r="H115" s="3070">
        <v>1326888</v>
      </c>
      <c r="I115" s="3070">
        <v>1326888</v>
      </c>
      <c r="J115" s="3070">
        <v>114.02</v>
      </c>
      <c r="K115" s="3070">
        <v>82.85</v>
      </c>
      <c r="L115" s="3070">
        <v>0</v>
      </c>
      <c r="M115" s="3070">
        <v>0</v>
      </c>
      <c r="N115" s="3070">
        <v>14944.44</v>
      </c>
      <c r="O115" s="3070">
        <v>1703965</v>
      </c>
      <c r="P115" s="3070">
        <v>11637.33</v>
      </c>
      <c r="Q115" s="3070">
        <v>1326888</v>
      </c>
      <c r="R115" s="3070" t="s">
        <v>3227</v>
      </c>
      <c r="S115" s="3070" t="s">
        <v>4231</v>
      </c>
      <c r="T115" s="3070" t="s">
        <v>3991</v>
      </c>
      <c r="V115" s="3070" t="s">
        <v>3230</v>
      </c>
      <c r="Y115" s="3070">
        <v>398066</v>
      </c>
      <c r="Z115" s="3070">
        <v>398066</v>
      </c>
      <c r="AA115" s="3070">
        <v>1326888</v>
      </c>
      <c r="AB115" s="3070">
        <v>0</v>
      </c>
      <c r="AC115" s="3070">
        <v>0</v>
      </c>
      <c r="AD115" s="3070">
        <v>0</v>
      </c>
      <c r="AE115" s="3070">
        <v>0</v>
      </c>
      <c r="AI115" s="3070" t="s">
        <v>3227</v>
      </c>
      <c r="AJ115" s="3070">
        <v>0</v>
      </c>
      <c r="AK115" s="3070">
        <v>0</v>
      </c>
      <c r="AL115" s="3070">
        <v>0</v>
      </c>
      <c r="AM115" s="3070">
        <v>11637.33</v>
      </c>
      <c r="AN115" s="3070">
        <v>1326888</v>
      </c>
      <c r="AP115" s="3070">
        <v>1326888</v>
      </c>
      <c r="AQ115" s="3072">
        <v>45138</v>
      </c>
      <c r="AT115" s="3073">
        <v>45678</v>
      </c>
      <c r="AV115" s="3074">
        <v>3.21E+17</v>
      </c>
      <c r="AW115" s="3070" t="s">
        <v>4232</v>
      </c>
      <c r="AX115" s="3070" t="s">
        <v>4233</v>
      </c>
      <c r="AY115" s="3070" t="s">
        <v>4208</v>
      </c>
      <c r="BC115" s="3070" t="s">
        <v>4234</v>
      </c>
      <c r="BD115" s="3070" t="s">
        <v>3077</v>
      </c>
      <c r="BI115" s="3070" t="s">
        <v>3295</v>
      </c>
      <c r="BL115" s="3070" t="s">
        <v>4235</v>
      </c>
      <c r="BM115" s="3070" t="s">
        <v>3841</v>
      </c>
      <c r="BN115" s="3070">
        <v>304</v>
      </c>
      <c r="BR115" s="3070">
        <v>16</v>
      </c>
      <c r="BS115" s="3070" t="s">
        <v>3238</v>
      </c>
      <c r="BT115" s="3070" t="s">
        <v>3086</v>
      </c>
      <c r="BZ115" s="3073">
        <v>44227.458333333336</v>
      </c>
      <c r="CA115" s="3070">
        <v>10</v>
      </c>
      <c r="CB115" s="3070" t="s">
        <v>3086</v>
      </c>
      <c r="CD115" s="3070" t="s">
        <v>3239</v>
      </c>
      <c r="CF115" s="3070" t="s">
        <v>3091</v>
      </c>
      <c r="CH115" s="3070" t="s">
        <v>3240</v>
      </c>
      <c r="CI115" s="3070">
        <v>0</v>
      </c>
      <c r="CK115" s="3070" t="s">
        <v>4208</v>
      </c>
      <c r="CL115" s="3070" t="s">
        <v>4211</v>
      </c>
      <c r="CM115" s="3070">
        <v>1217328.44</v>
      </c>
      <c r="CV115" s="3070" t="s">
        <v>3494</v>
      </c>
      <c r="CW115" s="3070" t="s">
        <v>4236</v>
      </c>
      <c r="CZ115" s="3070">
        <v>213894.57</v>
      </c>
      <c r="DA115" s="3070">
        <v>159426.93</v>
      </c>
      <c r="DB115" s="3070">
        <v>0</v>
      </c>
      <c r="DC115" s="3070">
        <v>0</v>
      </c>
      <c r="DD115" s="3070">
        <v>3290547602</v>
      </c>
      <c r="DE115" s="3070">
        <v>2764253109</v>
      </c>
      <c r="DF115" s="3070">
        <v>1464966739</v>
      </c>
      <c r="DG115" s="3070">
        <v>14938370</v>
      </c>
      <c r="DH115" s="3070">
        <v>1284348000</v>
      </c>
      <c r="DI115" s="3070">
        <v>1278128000</v>
      </c>
      <c r="DJ115" s="3070">
        <v>6220000</v>
      </c>
      <c r="DK115" s="3070">
        <v>0</v>
      </c>
      <c r="DL115" s="3070">
        <v>0</v>
      </c>
      <c r="DM115" s="3070">
        <v>25491817.620000001</v>
      </c>
      <c r="DN115" s="3070">
        <v>2764253109</v>
      </c>
      <c r="DP115" s="3070">
        <v>2764253109</v>
      </c>
    </row>
    <row r="116" spans="1:120">
      <c r="A116" s="3070">
        <v>115</v>
      </c>
      <c r="B116" s="3070" t="s">
        <v>3224</v>
      </c>
      <c r="C116" s="3070">
        <v>10</v>
      </c>
      <c r="E116" s="3070">
        <v>401</v>
      </c>
      <c r="F116" s="3070" t="s">
        <v>4237</v>
      </c>
      <c r="G116" s="3070" t="s">
        <v>4238</v>
      </c>
      <c r="H116" s="3070">
        <v>1322111</v>
      </c>
      <c r="I116" s="3070">
        <v>1322111</v>
      </c>
      <c r="J116" s="3070">
        <v>114.02</v>
      </c>
      <c r="K116" s="3070">
        <v>82.85</v>
      </c>
      <c r="L116" s="3070">
        <v>0</v>
      </c>
      <c r="M116" s="3070">
        <v>0</v>
      </c>
      <c r="N116" s="3070">
        <v>14894.44</v>
      </c>
      <c r="O116" s="3070">
        <v>1698264</v>
      </c>
      <c r="P116" s="3070">
        <v>11595.43</v>
      </c>
      <c r="Q116" s="3070">
        <v>1322111</v>
      </c>
      <c r="R116" s="3070" t="s">
        <v>3227</v>
      </c>
      <c r="S116" s="3070" t="s">
        <v>3353</v>
      </c>
      <c r="T116" s="3070" t="s">
        <v>3991</v>
      </c>
      <c r="V116" s="3070" t="s">
        <v>3230</v>
      </c>
      <c r="Y116" s="3070">
        <v>396633</v>
      </c>
      <c r="Z116" s="3070">
        <v>396633</v>
      </c>
      <c r="AA116" s="3070">
        <v>1322111</v>
      </c>
      <c r="AB116" s="3070">
        <v>0</v>
      </c>
      <c r="AC116" s="3070">
        <v>0</v>
      </c>
      <c r="AD116" s="3070">
        <v>0</v>
      </c>
      <c r="AE116" s="3070">
        <v>0</v>
      </c>
      <c r="AI116" s="3070" t="s">
        <v>3227</v>
      </c>
      <c r="AJ116" s="3070">
        <v>0</v>
      </c>
      <c r="AK116" s="3070">
        <v>0</v>
      </c>
      <c r="AL116" s="3070">
        <v>0</v>
      </c>
      <c r="AM116" s="3070">
        <v>11595.43</v>
      </c>
      <c r="AN116" s="3070">
        <v>1322111</v>
      </c>
      <c r="AP116" s="3070">
        <v>1322111</v>
      </c>
      <c r="AQ116" s="3072">
        <v>45138</v>
      </c>
      <c r="AT116" s="3073">
        <v>45678</v>
      </c>
      <c r="AV116" s="3074">
        <v>3.21E+17</v>
      </c>
      <c r="AW116" s="3070" t="s">
        <v>4239</v>
      </c>
      <c r="AX116" s="3070" t="s">
        <v>4240</v>
      </c>
      <c r="AY116" s="3070" t="s">
        <v>4065</v>
      </c>
      <c r="BA116" s="3070" t="s">
        <v>4065</v>
      </c>
      <c r="BC116" s="3070" t="s">
        <v>4145</v>
      </c>
      <c r="BD116" s="3070" t="s">
        <v>3077</v>
      </c>
      <c r="BI116" s="3070" t="s">
        <v>3235</v>
      </c>
      <c r="BL116" s="3070" t="s">
        <v>4241</v>
      </c>
      <c r="BM116" s="3070" t="s">
        <v>3841</v>
      </c>
      <c r="BN116" s="3070">
        <v>401</v>
      </c>
      <c r="BR116" s="3070">
        <v>21</v>
      </c>
      <c r="BS116" s="3070" t="s">
        <v>3238</v>
      </c>
      <c r="BT116" s="3070" t="s">
        <v>3086</v>
      </c>
      <c r="BU116" s="3070" t="s">
        <v>4065</v>
      </c>
      <c r="BZ116" s="3073">
        <v>44208.568055555559</v>
      </c>
      <c r="CA116" s="3070">
        <v>10</v>
      </c>
      <c r="CB116" s="3070" t="s">
        <v>3086</v>
      </c>
      <c r="CD116" s="3070" t="s">
        <v>3239</v>
      </c>
      <c r="CF116" s="3070" t="s">
        <v>3091</v>
      </c>
      <c r="CH116" s="3070" t="s">
        <v>3240</v>
      </c>
      <c r="CI116" s="3070">
        <v>0</v>
      </c>
      <c r="CK116" s="3070" t="s">
        <v>4068</v>
      </c>
      <c r="CL116" s="3070" t="s">
        <v>4242</v>
      </c>
      <c r="CM116" s="3070">
        <v>1212945.8700000001</v>
      </c>
      <c r="CV116" s="3070" t="s">
        <v>3494</v>
      </c>
      <c r="CW116" s="3070" t="s">
        <v>4243</v>
      </c>
      <c r="CZ116" s="3070">
        <v>213894.57</v>
      </c>
      <c r="DA116" s="3070">
        <v>159426.93</v>
      </c>
      <c r="DB116" s="3070">
        <v>0</v>
      </c>
      <c r="DC116" s="3070">
        <v>0</v>
      </c>
      <c r="DD116" s="3070">
        <v>3290547602</v>
      </c>
      <c r="DE116" s="3070">
        <v>2764253109</v>
      </c>
      <c r="DF116" s="3070">
        <v>1464966739</v>
      </c>
      <c r="DG116" s="3070">
        <v>14938370</v>
      </c>
      <c r="DH116" s="3070">
        <v>1284348000</v>
      </c>
      <c r="DI116" s="3070">
        <v>1278128000</v>
      </c>
      <c r="DJ116" s="3070">
        <v>6220000</v>
      </c>
      <c r="DK116" s="3070">
        <v>0</v>
      </c>
      <c r="DL116" s="3070">
        <v>0</v>
      </c>
      <c r="DM116" s="3070">
        <v>25491817.620000001</v>
      </c>
      <c r="DN116" s="3070">
        <v>2764253109</v>
      </c>
      <c r="DP116" s="3070">
        <v>2764253109</v>
      </c>
    </row>
    <row r="117" spans="1:120">
      <c r="A117" s="3070">
        <v>116</v>
      </c>
      <c r="B117" s="3070" t="s">
        <v>3224</v>
      </c>
      <c r="C117" s="3070">
        <v>10</v>
      </c>
      <c r="E117" s="3070">
        <v>402</v>
      </c>
      <c r="F117" s="3070" t="s">
        <v>4244</v>
      </c>
      <c r="G117" s="3070" t="s">
        <v>4245</v>
      </c>
      <c r="H117" s="3070">
        <v>1235885</v>
      </c>
      <c r="I117" s="3070">
        <v>1235885</v>
      </c>
      <c r="J117" s="3070">
        <v>102.67</v>
      </c>
      <c r="K117" s="3070">
        <v>74.61</v>
      </c>
      <c r="L117" s="3070">
        <v>0</v>
      </c>
      <c r="M117" s="3070">
        <v>0</v>
      </c>
      <c r="N117" s="3070">
        <v>14944.44</v>
      </c>
      <c r="O117" s="3070">
        <v>1534346</v>
      </c>
      <c r="P117" s="3070">
        <v>12037.45</v>
      </c>
      <c r="Q117" s="3070">
        <v>1235885</v>
      </c>
      <c r="R117" s="3070" t="s">
        <v>3227</v>
      </c>
      <c r="S117" s="3070" t="s">
        <v>4246</v>
      </c>
      <c r="T117" s="3070" t="s">
        <v>3258</v>
      </c>
      <c r="U117" s="3070" t="s">
        <v>3259</v>
      </c>
      <c r="V117" s="3070" t="s">
        <v>3230</v>
      </c>
      <c r="Y117" s="3070">
        <v>495885</v>
      </c>
      <c r="Z117" s="3070">
        <v>495885</v>
      </c>
      <c r="AA117" s="3070">
        <v>495885</v>
      </c>
      <c r="AB117" s="3070">
        <v>0</v>
      </c>
      <c r="AC117" s="3070">
        <v>740000</v>
      </c>
      <c r="AD117" s="3070">
        <v>740000</v>
      </c>
      <c r="AE117" s="3070">
        <v>0</v>
      </c>
      <c r="AI117" s="3070" t="s">
        <v>3227</v>
      </c>
      <c r="AJ117" s="3070">
        <v>0</v>
      </c>
      <c r="AK117" s="3070">
        <v>0</v>
      </c>
      <c r="AL117" s="3070">
        <v>0</v>
      </c>
      <c r="AM117" s="3070">
        <v>12037.45</v>
      </c>
      <c r="AN117" s="3070">
        <v>1235885</v>
      </c>
      <c r="AP117" s="3070">
        <v>1235885</v>
      </c>
      <c r="AQ117" s="3072">
        <v>45138</v>
      </c>
      <c r="AT117" s="3073">
        <v>45678</v>
      </c>
      <c r="AV117" s="3070" t="s">
        <v>4247</v>
      </c>
      <c r="AW117" s="3070" t="s">
        <v>4248</v>
      </c>
      <c r="AX117" s="3070" t="s">
        <v>4249</v>
      </c>
      <c r="AY117" s="3070" t="s">
        <v>3306</v>
      </c>
      <c r="BC117" s="3070" t="s">
        <v>3263</v>
      </c>
      <c r="BD117" s="3070" t="s">
        <v>3077</v>
      </c>
      <c r="BI117" s="3070" t="s">
        <v>3235</v>
      </c>
      <c r="BJ117" s="3070" t="s">
        <v>3338</v>
      </c>
      <c r="BL117" s="3070" t="s">
        <v>4250</v>
      </c>
      <c r="BM117" s="3070" t="s">
        <v>3841</v>
      </c>
      <c r="BN117" s="3070">
        <v>402</v>
      </c>
      <c r="BO117" s="3070" t="s">
        <v>3253</v>
      </c>
      <c r="BP117" s="3070" t="s">
        <v>3253</v>
      </c>
      <c r="BR117" s="3070">
        <v>514</v>
      </c>
      <c r="BS117" s="3070" t="s">
        <v>3238</v>
      </c>
      <c r="BT117" s="3070" t="s">
        <v>3086</v>
      </c>
      <c r="BZ117" s="3073">
        <v>44142.952777777777</v>
      </c>
      <c r="CA117" s="3070">
        <v>10</v>
      </c>
      <c r="CB117" s="3070" t="s">
        <v>3086</v>
      </c>
      <c r="CD117" s="3070" t="s">
        <v>3239</v>
      </c>
      <c r="CF117" s="3070" t="s">
        <v>3091</v>
      </c>
      <c r="CH117" s="3070" t="s">
        <v>3240</v>
      </c>
      <c r="CI117" s="3070">
        <v>0</v>
      </c>
      <c r="CJ117" s="3070" t="s">
        <v>3259</v>
      </c>
      <c r="CK117" s="3070" t="s">
        <v>3306</v>
      </c>
      <c r="CL117" s="3070" t="s">
        <v>3306</v>
      </c>
      <c r="CM117" s="3070">
        <v>1133839.44</v>
      </c>
      <c r="CV117" s="3070" t="s">
        <v>3258</v>
      </c>
      <c r="CW117" s="3070" t="s">
        <v>4251</v>
      </c>
      <c r="CZ117" s="3070">
        <v>213894.57</v>
      </c>
      <c r="DA117" s="3070">
        <v>159426.93</v>
      </c>
      <c r="DB117" s="3070">
        <v>0</v>
      </c>
      <c r="DC117" s="3070">
        <v>0</v>
      </c>
      <c r="DD117" s="3070">
        <v>3290547602</v>
      </c>
      <c r="DE117" s="3070">
        <v>2764253109</v>
      </c>
      <c r="DF117" s="3070">
        <v>1464966739</v>
      </c>
      <c r="DG117" s="3070">
        <v>14938370</v>
      </c>
      <c r="DH117" s="3070">
        <v>1284348000</v>
      </c>
      <c r="DI117" s="3070">
        <v>1278128000</v>
      </c>
      <c r="DJ117" s="3070">
        <v>6220000</v>
      </c>
      <c r="DK117" s="3070">
        <v>0</v>
      </c>
      <c r="DL117" s="3070">
        <v>0</v>
      </c>
      <c r="DM117" s="3070">
        <v>25491817.620000001</v>
      </c>
      <c r="DN117" s="3070">
        <v>2764253109</v>
      </c>
      <c r="DP117" s="3070">
        <v>2764253109</v>
      </c>
    </row>
    <row r="118" spans="1:120">
      <c r="A118" s="3070">
        <v>117</v>
      </c>
      <c r="B118" s="3070" t="s">
        <v>3224</v>
      </c>
      <c r="C118" s="3070">
        <v>10</v>
      </c>
      <c r="E118" s="3070">
        <v>403</v>
      </c>
      <c r="F118" s="3070" t="s">
        <v>4252</v>
      </c>
      <c r="G118" s="3070" t="s">
        <v>4253</v>
      </c>
      <c r="H118" s="3070">
        <v>1235885</v>
      </c>
      <c r="I118" s="3070">
        <v>1235885</v>
      </c>
      <c r="J118" s="3070">
        <v>102.67</v>
      </c>
      <c r="K118" s="3070">
        <v>74.61</v>
      </c>
      <c r="L118" s="3070">
        <v>0</v>
      </c>
      <c r="M118" s="3070">
        <v>0</v>
      </c>
      <c r="N118" s="3070">
        <v>14944.44</v>
      </c>
      <c r="O118" s="3070">
        <v>1534346</v>
      </c>
      <c r="P118" s="3070">
        <v>12037.45</v>
      </c>
      <c r="Q118" s="3070">
        <v>1235885</v>
      </c>
      <c r="R118" s="3070" t="s">
        <v>3227</v>
      </c>
      <c r="S118" s="3070" t="s">
        <v>4254</v>
      </c>
      <c r="T118" s="3070" t="s">
        <v>3246</v>
      </c>
      <c r="U118" s="3070" t="s">
        <v>3539</v>
      </c>
      <c r="V118" s="3070" t="s">
        <v>3230</v>
      </c>
      <c r="Y118" s="3070">
        <v>375885</v>
      </c>
      <c r="Z118" s="3070">
        <v>375885</v>
      </c>
      <c r="AA118" s="3070">
        <v>375885</v>
      </c>
      <c r="AB118" s="3070">
        <v>0</v>
      </c>
      <c r="AC118" s="3070">
        <v>860000</v>
      </c>
      <c r="AD118" s="3070">
        <v>860000</v>
      </c>
      <c r="AE118" s="3070">
        <v>0</v>
      </c>
      <c r="AI118" s="3070" t="s">
        <v>3227</v>
      </c>
      <c r="AJ118" s="3070">
        <v>0</v>
      </c>
      <c r="AK118" s="3070">
        <v>0</v>
      </c>
      <c r="AL118" s="3070">
        <v>0</v>
      </c>
      <c r="AM118" s="3070">
        <v>12037.45</v>
      </c>
      <c r="AN118" s="3070">
        <v>1235885</v>
      </c>
      <c r="AP118" s="3070">
        <v>1235885</v>
      </c>
      <c r="AQ118" s="3072">
        <v>45138</v>
      </c>
      <c r="AT118" s="3073">
        <v>45678</v>
      </c>
      <c r="AV118" s="3070" t="s">
        <v>4255</v>
      </c>
      <c r="AW118" s="3070" t="s">
        <v>4256</v>
      </c>
      <c r="AX118" s="3070" t="s">
        <v>4257</v>
      </c>
      <c r="AY118" s="3070" t="s">
        <v>3283</v>
      </c>
      <c r="BC118" s="3070" t="s">
        <v>3284</v>
      </c>
      <c r="BD118" s="3070" t="s">
        <v>3077</v>
      </c>
      <c r="BI118" s="3070" t="s">
        <v>3235</v>
      </c>
      <c r="BL118" s="3070" t="s">
        <v>4258</v>
      </c>
      <c r="BM118" s="3070" t="s">
        <v>3841</v>
      </c>
      <c r="BN118" s="3070">
        <v>403</v>
      </c>
      <c r="BO118" s="3070" t="s">
        <v>3253</v>
      </c>
      <c r="BR118" s="3070">
        <v>502</v>
      </c>
      <c r="BS118" s="3070" t="s">
        <v>3238</v>
      </c>
      <c r="BT118" s="3070" t="s">
        <v>3086</v>
      </c>
      <c r="BZ118" s="3073">
        <v>44142.688888888886</v>
      </c>
      <c r="CA118" s="3070">
        <v>10</v>
      </c>
      <c r="CB118" s="3070" t="s">
        <v>3086</v>
      </c>
      <c r="CD118" s="3070" t="s">
        <v>3239</v>
      </c>
      <c r="CF118" s="3070" t="s">
        <v>3091</v>
      </c>
      <c r="CH118" s="3070" t="s">
        <v>3240</v>
      </c>
      <c r="CI118" s="3070">
        <v>0</v>
      </c>
      <c r="CK118" s="3070" t="s">
        <v>3283</v>
      </c>
      <c r="CL118" s="3070" t="s">
        <v>3283</v>
      </c>
      <c r="CM118" s="3070">
        <v>1133839.45</v>
      </c>
      <c r="CV118" s="3070" t="s">
        <v>3246</v>
      </c>
      <c r="CW118" s="3070" t="s">
        <v>4259</v>
      </c>
      <c r="CX118" s="3070" t="s">
        <v>3267</v>
      </c>
      <c r="CZ118" s="3070">
        <v>213894.57</v>
      </c>
      <c r="DA118" s="3070">
        <v>159426.93</v>
      </c>
      <c r="DB118" s="3070">
        <v>0</v>
      </c>
      <c r="DC118" s="3070">
        <v>0</v>
      </c>
      <c r="DD118" s="3070">
        <v>3290547602</v>
      </c>
      <c r="DE118" s="3070">
        <v>2764253109</v>
      </c>
      <c r="DF118" s="3070">
        <v>1464966739</v>
      </c>
      <c r="DG118" s="3070">
        <v>14938370</v>
      </c>
      <c r="DH118" s="3070">
        <v>1284348000</v>
      </c>
      <c r="DI118" s="3070">
        <v>1278128000</v>
      </c>
      <c r="DJ118" s="3070">
        <v>6220000</v>
      </c>
      <c r="DK118" s="3070">
        <v>0</v>
      </c>
      <c r="DL118" s="3070">
        <v>0</v>
      </c>
      <c r="DM118" s="3070">
        <v>25491817.620000001</v>
      </c>
      <c r="DN118" s="3070">
        <v>2764253109</v>
      </c>
      <c r="DP118" s="3070">
        <v>2764253109</v>
      </c>
    </row>
    <row r="119" spans="1:120">
      <c r="A119" s="3070">
        <v>118</v>
      </c>
      <c r="B119" s="3070" t="s">
        <v>3224</v>
      </c>
      <c r="C119" s="3070">
        <v>10</v>
      </c>
      <c r="E119" s="3070">
        <v>404</v>
      </c>
      <c r="F119" s="3070" t="s">
        <v>4260</v>
      </c>
      <c r="G119" s="3070" t="s">
        <v>4261</v>
      </c>
      <c r="H119" s="3070">
        <v>1464807</v>
      </c>
      <c r="I119" s="3070">
        <v>1464807</v>
      </c>
      <c r="J119" s="3070">
        <v>114.02</v>
      </c>
      <c r="K119" s="3070">
        <v>82.85</v>
      </c>
      <c r="L119" s="3070">
        <v>0</v>
      </c>
      <c r="M119" s="3070">
        <v>0</v>
      </c>
      <c r="N119" s="3070">
        <v>14844.44</v>
      </c>
      <c r="O119" s="3070">
        <v>1692563</v>
      </c>
      <c r="P119" s="3070">
        <v>12846.93</v>
      </c>
      <c r="Q119" s="3070">
        <v>1464807</v>
      </c>
      <c r="R119" s="3070" t="s">
        <v>3227</v>
      </c>
      <c r="S119" s="3070" t="s">
        <v>4262</v>
      </c>
      <c r="T119" s="3070" t="s">
        <v>4061</v>
      </c>
      <c r="V119" s="3070" t="s">
        <v>3230</v>
      </c>
      <c r="Y119" s="3070">
        <v>146481</v>
      </c>
      <c r="Z119" s="3070">
        <v>146481</v>
      </c>
      <c r="AA119" s="3070">
        <v>1464807</v>
      </c>
      <c r="AB119" s="3070">
        <v>0</v>
      </c>
      <c r="AC119" s="3070">
        <v>0</v>
      </c>
      <c r="AD119" s="3070">
        <v>0</v>
      </c>
      <c r="AE119" s="3070">
        <v>0</v>
      </c>
      <c r="AI119" s="3070" t="s">
        <v>3227</v>
      </c>
      <c r="AJ119" s="3070">
        <v>0</v>
      </c>
      <c r="AK119" s="3070">
        <v>0</v>
      </c>
      <c r="AL119" s="3070">
        <v>0</v>
      </c>
      <c r="AM119" s="3070">
        <v>12846.93</v>
      </c>
      <c r="AN119" s="3070">
        <v>1464807</v>
      </c>
      <c r="AP119" s="3070">
        <v>1464807</v>
      </c>
      <c r="AQ119" s="3072">
        <v>45138</v>
      </c>
      <c r="AT119" s="3073">
        <v>45678</v>
      </c>
      <c r="AV119" s="3074">
        <v>3.21E+17</v>
      </c>
      <c r="AW119" s="3070" t="s">
        <v>4263</v>
      </c>
      <c r="AX119" s="3070" t="s">
        <v>4264</v>
      </c>
      <c r="AY119" s="3070" t="s">
        <v>4265</v>
      </c>
      <c r="BC119" s="3070" t="s">
        <v>4266</v>
      </c>
      <c r="BD119" s="3070" t="s">
        <v>3077</v>
      </c>
      <c r="BI119" s="3070" t="s">
        <v>3235</v>
      </c>
      <c r="BJ119" s="3070" t="s">
        <v>4267</v>
      </c>
      <c r="BL119" s="3070" t="s">
        <v>4268</v>
      </c>
      <c r="BM119" s="3070" t="s">
        <v>3841</v>
      </c>
      <c r="BN119" s="3070">
        <v>404</v>
      </c>
      <c r="BR119" s="3070">
        <v>0</v>
      </c>
      <c r="BS119" s="3070" t="s">
        <v>3238</v>
      </c>
      <c r="BT119" s="3070" t="s">
        <v>3086</v>
      </c>
      <c r="BV119" s="3070" t="s">
        <v>4269</v>
      </c>
      <c r="BW119" s="3070" t="s">
        <v>4270</v>
      </c>
      <c r="BX119" s="3070" t="s">
        <v>4271</v>
      </c>
      <c r="BZ119" s="3073">
        <v>44263.640277777777</v>
      </c>
      <c r="CA119" s="3070">
        <v>10</v>
      </c>
      <c r="CB119" s="3070" t="s">
        <v>3086</v>
      </c>
      <c r="CD119" s="3070" t="s">
        <v>3239</v>
      </c>
      <c r="CF119" s="3070" t="s">
        <v>3091</v>
      </c>
      <c r="CH119" s="3070" t="s">
        <v>3240</v>
      </c>
      <c r="CI119" s="3070">
        <v>0</v>
      </c>
      <c r="CK119" s="3070" t="s">
        <v>3892</v>
      </c>
      <c r="CL119" s="3070" t="s">
        <v>4265</v>
      </c>
      <c r="CM119" s="3070">
        <v>1343859.63</v>
      </c>
      <c r="CV119" s="3070" t="s">
        <v>3494</v>
      </c>
      <c r="CW119" s="3070" t="s">
        <v>4272</v>
      </c>
      <c r="CX119" s="3070" t="s">
        <v>3510</v>
      </c>
      <c r="CZ119" s="3070">
        <v>213894.57</v>
      </c>
      <c r="DA119" s="3070">
        <v>159426.93</v>
      </c>
      <c r="DB119" s="3070">
        <v>0</v>
      </c>
      <c r="DC119" s="3070">
        <v>0</v>
      </c>
      <c r="DD119" s="3070">
        <v>3290547602</v>
      </c>
      <c r="DE119" s="3070">
        <v>2764253109</v>
      </c>
      <c r="DF119" s="3070">
        <v>1464966739</v>
      </c>
      <c r="DG119" s="3070">
        <v>14938370</v>
      </c>
      <c r="DH119" s="3070">
        <v>1284348000</v>
      </c>
      <c r="DI119" s="3070">
        <v>1278128000</v>
      </c>
      <c r="DJ119" s="3070">
        <v>6220000</v>
      </c>
      <c r="DK119" s="3070">
        <v>0</v>
      </c>
      <c r="DL119" s="3070">
        <v>0</v>
      </c>
      <c r="DM119" s="3070">
        <v>25491817.620000001</v>
      </c>
      <c r="DN119" s="3070">
        <v>2764253109</v>
      </c>
      <c r="DP119" s="3070">
        <v>2764253109</v>
      </c>
    </row>
    <row r="120" spans="1:120">
      <c r="A120" s="3070">
        <v>119</v>
      </c>
      <c r="B120" s="3070" t="s">
        <v>3224</v>
      </c>
      <c r="C120" s="3070">
        <v>10</v>
      </c>
      <c r="E120" s="3070">
        <v>501</v>
      </c>
      <c r="F120" s="3070" t="s">
        <v>4273</v>
      </c>
      <c r="G120" s="3070" t="s">
        <v>4274</v>
      </c>
      <c r="H120" s="3070">
        <v>1383348</v>
      </c>
      <c r="I120" s="3070">
        <v>1383348</v>
      </c>
      <c r="J120" s="3070">
        <v>114.02</v>
      </c>
      <c r="K120" s="3070">
        <v>82.85</v>
      </c>
      <c r="L120" s="3070">
        <v>0</v>
      </c>
      <c r="M120" s="3070">
        <v>0</v>
      </c>
      <c r="N120" s="3070">
        <v>15044.44</v>
      </c>
      <c r="O120" s="3070">
        <v>1715367</v>
      </c>
      <c r="P120" s="3070">
        <v>12132.5</v>
      </c>
      <c r="Q120" s="3070">
        <v>1383348</v>
      </c>
      <c r="R120" s="3070" t="s">
        <v>3227</v>
      </c>
      <c r="S120" s="3070" t="s">
        <v>4275</v>
      </c>
      <c r="T120" s="3070" t="s">
        <v>3246</v>
      </c>
      <c r="U120" s="3070" t="s">
        <v>3539</v>
      </c>
      <c r="V120" s="3070" t="s">
        <v>3230</v>
      </c>
      <c r="Y120" s="3070">
        <v>423348</v>
      </c>
      <c r="Z120" s="3070">
        <v>423348</v>
      </c>
      <c r="AA120" s="3070">
        <v>423348</v>
      </c>
      <c r="AB120" s="3070">
        <v>0</v>
      </c>
      <c r="AC120" s="3070">
        <v>960000</v>
      </c>
      <c r="AD120" s="3070">
        <v>960000</v>
      </c>
      <c r="AE120" s="3070">
        <v>0</v>
      </c>
      <c r="AI120" s="3070" t="s">
        <v>3227</v>
      </c>
      <c r="AJ120" s="3070">
        <v>0</v>
      </c>
      <c r="AK120" s="3070">
        <v>0</v>
      </c>
      <c r="AL120" s="3070">
        <v>0</v>
      </c>
      <c r="AM120" s="3070">
        <v>12132.5</v>
      </c>
      <c r="AN120" s="3070">
        <v>1383348</v>
      </c>
      <c r="AP120" s="3070">
        <v>1383348</v>
      </c>
      <c r="AQ120" s="3072">
        <v>45138</v>
      </c>
      <c r="AT120" s="3073">
        <v>45678</v>
      </c>
      <c r="AV120" s="3074">
        <v>3.2E+17</v>
      </c>
      <c r="AW120" s="3070" t="s">
        <v>4276</v>
      </c>
      <c r="AX120" s="3070" t="s">
        <v>4277</v>
      </c>
      <c r="AY120" s="3070" t="s">
        <v>3722</v>
      </c>
      <c r="BC120" s="3070" t="s">
        <v>3284</v>
      </c>
      <c r="BD120" s="3070" t="s">
        <v>3077</v>
      </c>
      <c r="BI120" s="3070" t="s">
        <v>3235</v>
      </c>
      <c r="BL120" s="3070" t="s">
        <v>4278</v>
      </c>
      <c r="BM120" s="3070" t="s">
        <v>3841</v>
      </c>
      <c r="BN120" s="3070">
        <v>501</v>
      </c>
      <c r="BO120" s="3070" t="s">
        <v>3253</v>
      </c>
      <c r="BR120" s="3070">
        <v>800</v>
      </c>
      <c r="BS120" s="3070" t="s">
        <v>3238</v>
      </c>
      <c r="BT120" s="3070" t="s">
        <v>3086</v>
      </c>
      <c r="BZ120" s="3073">
        <v>44142.600694444445</v>
      </c>
      <c r="CA120" s="3070">
        <v>10</v>
      </c>
      <c r="CB120" s="3070" t="s">
        <v>3086</v>
      </c>
      <c r="CD120" s="3070" t="s">
        <v>3239</v>
      </c>
      <c r="CF120" s="3070" t="s">
        <v>3091</v>
      </c>
      <c r="CH120" s="3070" t="s">
        <v>3240</v>
      </c>
      <c r="CI120" s="3070">
        <v>0</v>
      </c>
      <c r="CK120" s="3070" t="s">
        <v>3722</v>
      </c>
      <c r="CL120" s="3070" t="s">
        <v>3722</v>
      </c>
      <c r="CM120" s="3070">
        <v>1269126.6100000001</v>
      </c>
      <c r="CV120" s="3070" t="s">
        <v>3246</v>
      </c>
      <c r="CW120" s="3070" t="s">
        <v>4279</v>
      </c>
      <c r="CZ120" s="3070">
        <v>213894.57</v>
      </c>
      <c r="DA120" s="3070">
        <v>159426.93</v>
      </c>
      <c r="DB120" s="3070">
        <v>0</v>
      </c>
      <c r="DC120" s="3070">
        <v>0</v>
      </c>
      <c r="DD120" s="3070">
        <v>3290547602</v>
      </c>
      <c r="DE120" s="3070">
        <v>2764253109</v>
      </c>
      <c r="DF120" s="3070">
        <v>1464966739</v>
      </c>
      <c r="DG120" s="3070">
        <v>14938370</v>
      </c>
      <c r="DH120" s="3070">
        <v>1284348000</v>
      </c>
      <c r="DI120" s="3070">
        <v>1278128000</v>
      </c>
      <c r="DJ120" s="3070">
        <v>6220000</v>
      </c>
      <c r="DK120" s="3070">
        <v>0</v>
      </c>
      <c r="DL120" s="3070">
        <v>0</v>
      </c>
      <c r="DM120" s="3070">
        <v>25491817.620000001</v>
      </c>
      <c r="DN120" s="3070">
        <v>2764253109</v>
      </c>
      <c r="DP120" s="3070">
        <v>2764253109</v>
      </c>
    </row>
    <row r="121" spans="1:120">
      <c r="A121" s="3070">
        <v>120</v>
      </c>
      <c r="B121" s="3070" t="s">
        <v>3224</v>
      </c>
      <c r="C121" s="3070">
        <v>10</v>
      </c>
      <c r="E121" s="3070">
        <v>502</v>
      </c>
      <c r="F121" s="3070" t="s">
        <v>4280</v>
      </c>
      <c r="G121" s="3070" t="s">
        <v>4281</v>
      </c>
      <c r="H121" s="3070">
        <v>1225514</v>
      </c>
      <c r="I121" s="3070">
        <v>1225514</v>
      </c>
      <c r="J121" s="3070">
        <v>102.67</v>
      </c>
      <c r="K121" s="3070">
        <v>74.61</v>
      </c>
      <c r="L121" s="3070">
        <v>0</v>
      </c>
      <c r="M121" s="3070">
        <v>0</v>
      </c>
      <c r="N121" s="3070">
        <v>15094.44</v>
      </c>
      <c r="O121" s="3070">
        <v>1549746</v>
      </c>
      <c r="P121" s="3070">
        <v>11936.44</v>
      </c>
      <c r="Q121" s="3070">
        <v>1225514</v>
      </c>
      <c r="R121" s="3070" t="s">
        <v>3227</v>
      </c>
      <c r="S121" s="3070" t="s">
        <v>4282</v>
      </c>
      <c r="T121" s="3070" t="s">
        <v>3302</v>
      </c>
      <c r="V121" s="3070" t="s">
        <v>3230</v>
      </c>
      <c r="Y121" s="3070">
        <v>122551</v>
      </c>
      <c r="Z121" s="3070">
        <v>122551</v>
      </c>
      <c r="AA121" s="3070">
        <v>1225514</v>
      </c>
      <c r="AB121" s="3070">
        <v>0</v>
      </c>
      <c r="AC121" s="3070">
        <v>0</v>
      </c>
      <c r="AD121" s="3070">
        <v>0</v>
      </c>
      <c r="AE121" s="3070">
        <v>0</v>
      </c>
      <c r="AI121" s="3070" t="s">
        <v>3227</v>
      </c>
      <c r="AJ121" s="3070">
        <v>0</v>
      </c>
      <c r="AK121" s="3070">
        <v>0</v>
      </c>
      <c r="AL121" s="3070">
        <v>0</v>
      </c>
      <c r="AM121" s="3070">
        <v>11936.44</v>
      </c>
      <c r="AN121" s="3070">
        <v>1225514</v>
      </c>
      <c r="AP121" s="3070">
        <v>1225514</v>
      </c>
      <c r="AQ121" s="3072">
        <v>45138</v>
      </c>
      <c r="AT121" s="3073">
        <v>45678</v>
      </c>
      <c r="AV121" s="3074">
        <v>3.21E+17</v>
      </c>
      <c r="AW121" s="3070" t="s">
        <v>4283</v>
      </c>
      <c r="AX121" s="3070" t="s">
        <v>4284</v>
      </c>
      <c r="AY121" s="3070" t="s">
        <v>3262</v>
      </c>
      <c r="BC121" s="3070" t="s">
        <v>4285</v>
      </c>
      <c r="BD121" s="3070" t="s">
        <v>3077</v>
      </c>
      <c r="BI121" s="3070" t="s">
        <v>3235</v>
      </c>
      <c r="BL121" s="3070" t="s">
        <v>4286</v>
      </c>
      <c r="BM121" s="3070" t="s">
        <v>3841</v>
      </c>
      <c r="BN121" s="3070">
        <v>502</v>
      </c>
      <c r="BR121" s="3070">
        <v>431</v>
      </c>
      <c r="BS121" s="3070" t="s">
        <v>3238</v>
      </c>
      <c r="BT121" s="3070" t="s">
        <v>3086</v>
      </c>
      <c r="BZ121" s="3073">
        <v>44142.953472222223</v>
      </c>
      <c r="CA121" s="3070">
        <v>10</v>
      </c>
      <c r="CB121" s="3070" t="s">
        <v>3086</v>
      </c>
      <c r="CD121" s="3070" t="s">
        <v>3239</v>
      </c>
      <c r="CF121" s="3070" t="s">
        <v>3091</v>
      </c>
      <c r="CH121" s="3070" t="s">
        <v>3240</v>
      </c>
      <c r="CI121" s="3070">
        <v>0</v>
      </c>
      <c r="CK121" s="3070" t="s">
        <v>3262</v>
      </c>
      <c r="CL121" s="3070" t="s">
        <v>3262</v>
      </c>
      <c r="CM121" s="3070">
        <v>1124324.77</v>
      </c>
      <c r="CV121" s="3070" t="s">
        <v>3309</v>
      </c>
      <c r="CW121" s="3070" t="s">
        <v>4287</v>
      </c>
      <c r="CX121" s="3070" t="s">
        <v>3510</v>
      </c>
      <c r="CZ121" s="3070">
        <v>213894.57</v>
      </c>
      <c r="DA121" s="3070">
        <v>159426.93</v>
      </c>
      <c r="DB121" s="3070">
        <v>0</v>
      </c>
      <c r="DC121" s="3070">
        <v>0</v>
      </c>
      <c r="DD121" s="3070">
        <v>3290547602</v>
      </c>
      <c r="DE121" s="3070">
        <v>2764253109</v>
      </c>
      <c r="DF121" s="3070">
        <v>1464966739</v>
      </c>
      <c r="DG121" s="3070">
        <v>14938370</v>
      </c>
      <c r="DH121" s="3070">
        <v>1284348000</v>
      </c>
      <c r="DI121" s="3070">
        <v>1278128000</v>
      </c>
      <c r="DJ121" s="3070">
        <v>6220000</v>
      </c>
      <c r="DK121" s="3070">
        <v>0</v>
      </c>
      <c r="DL121" s="3070">
        <v>0</v>
      </c>
      <c r="DM121" s="3070">
        <v>25491817.620000001</v>
      </c>
      <c r="DN121" s="3070">
        <v>2764253109</v>
      </c>
      <c r="DP121" s="3070">
        <v>2764253109</v>
      </c>
    </row>
    <row r="122" spans="1:120">
      <c r="A122" s="3070">
        <v>121</v>
      </c>
      <c r="B122" s="3070" t="s">
        <v>3224</v>
      </c>
      <c r="C122" s="3070">
        <v>10</v>
      </c>
      <c r="E122" s="3070">
        <v>503</v>
      </c>
      <c r="F122" s="3070" t="s">
        <v>4288</v>
      </c>
      <c r="G122" s="3070" t="s">
        <v>4289</v>
      </c>
      <c r="H122" s="3070">
        <v>1250525</v>
      </c>
      <c r="I122" s="3070">
        <v>1250525</v>
      </c>
      <c r="J122" s="3070">
        <v>102.67</v>
      </c>
      <c r="K122" s="3070">
        <v>74.61</v>
      </c>
      <c r="L122" s="3070">
        <v>0</v>
      </c>
      <c r="M122" s="3070">
        <v>0</v>
      </c>
      <c r="N122" s="3070">
        <v>15094.44</v>
      </c>
      <c r="O122" s="3070">
        <v>1549746</v>
      </c>
      <c r="P122" s="3070">
        <v>12180.04</v>
      </c>
      <c r="Q122" s="3070">
        <v>1250525</v>
      </c>
      <c r="R122" s="3070" t="s">
        <v>3227</v>
      </c>
      <c r="S122" s="3070" t="s">
        <v>4290</v>
      </c>
      <c r="T122" s="3070" t="s">
        <v>3258</v>
      </c>
      <c r="U122" s="3070" t="s">
        <v>3259</v>
      </c>
      <c r="V122" s="3070" t="s">
        <v>3230</v>
      </c>
      <c r="Y122" s="3070">
        <v>380525</v>
      </c>
      <c r="Z122" s="3070">
        <v>380525</v>
      </c>
      <c r="AA122" s="3070">
        <v>380525</v>
      </c>
      <c r="AB122" s="3070">
        <v>0</v>
      </c>
      <c r="AC122" s="3070">
        <v>870000</v>
      </c>
      <c r="AD122" s="3070">
        <v>870000</v>
      </c>
      <c r="AE122" s="3070">
        <v>0</v>
      </c>
      <c r="AI122" s="3070" t="s">
        <v>3227</v>
      </c>
      <c r="AJ122" s="3070">
        <v>0</v>
      </c>
      <c r="AK122" s="3070">
        <v>0</v>
      </c>
      <c r="AL122" s="3070">
        <v>0</v>
      </c>
      <c r="AM122" s="3070">
        <v>12180.04</v>
      </c>
      <c r="AN122" s="3070">
        <v>1250525</v>
      </c>
      <c r="AP122" s="3070">
        <v>1250525</v>
      </c>
      <c r="AQ122" s="3072">
        <v>45138</v>
      </c>
      <c r="AT122" s="3073">
        <v>45678</v>
      </c>
      <c r="AV122" s="3074">
        <v>3.72E+17</v>
      </c>
      <c r="AW122" s="3070" t="s">
        <v>4291</v>
      </c>
      <c r="AX122" s="3070" t="s">
        <v>4292</v>
      </c>
      <c r="AY122" s="3070" t="s">
        <v>3306</v>
      </c>
      <c r="BC122" s="3070" t="s">
        <v>3263</v>
      </c>
      <c r="BD122" s="3070" t="s">
        <v>3077</v>
      </c>
      <c r="BI122" s="3070" t="s">
        <v>3235</v>
      </c>
      <c r="BL122" s="3070" t="s">
        <v>4293</v>
      </c>
      <c r="BM122" s="3070" t="s">
        <v>3841</v>
      </c>
      <c r="BN122" s="3070">
        <v>503</v>
      </c>
      <c r="BO122" s="3070" t="s">
        <v>3253</v>
      </c>
      <c r="BP122" s="3070" t="s">
        <v>3253</v>
      </c>
      <c r="BR122" s="3070">
        <v>523</v>
      </c>
      <c r="BS122" s="3070" t="s">
        <v>3238</v>
      </c>
      <c r="BT122" s="3070" t="s">
        <v>3086</v>
      </c>
      <c r="BZ122" s="3073">
        <v>44142.6875</v>
      </c>
      <c r="CA122" s="3070">
        <v>10</v>
      </c>
      <c r="CB122" s="3070" t="s">
        <v>3086</v>
      </c>
      <c r="CD122" s="3070" t="s">
        <v>3239</v>
      </c>
      <c r="CF122" s="3070" t="s">
        <v>3091</v>
      </c>
      <c r="CH122" s="3070" t="s">
        <v>3240</v>
      </c>
      <c r="CI122" s="3070">
        <v>0</v>
      </c>
      <c r="CJ122" s="3070" t="s">
        <v>3259</v>
      </c>
      <c r="CK122" s="3070" t="s">
        <v>3306</v>
      </c>
      <c r="CL122" s="3070" t="s">
        <v>3306</v>
      </c>
      <c r="CM122" s="3070">
        <v>1147270.6399999999</v>
      </c>
      <c r="CV122" s="3070" t="s">
        <v>3258</v>
      </c>
      <c r="CW122" s="3070" t="s">
        <v>4294</v>
      </c>
      <c r="CZ122" s="3070">
        <v>213894.57</v>
      </c>
      <c r="DA122" s="3070">
        <v>159426.93</v>
      </c>
      <c r="DB122" s="3070">
        <v>0</v>
      </c>
      <c r="DC122" s="3070">
        <v>0</v>
      </c>
      <c r="DD122" s="3070">
        <v>3290547602</v>
      </c>
      <c r="DE122" s="3070">
        <v>2764253109</v>
      </c>
      <c r="DF122" s="3070">
        <v>1464966739</v>
      </c>
      <c r="DG122" s="3070">
        <v>14938370</v>
      </c>
      <c r="DH122" s="3070">
        <v>1284348000</v>
      </c>
      <c r="DI122" s="3070">
        <v>1278128000</v>
      </c>
      <c r="DJ122" s="3070">
        <v>6220000</v>
      </c>
      <c r="DK122" s="3070">
        <v>0</v>
      </c>
      <c r="DL122" s="3070">
        <v>0</v>
      </c>
      <c r="DM122" s="3070">
        <v>25491817.620000001</v>
      </c>
      <c r="DN122" s="3070">
        <v>2764253109</v>
      </c>
      <c r="DP122" s="3070">
        <v>2764253109</v>
      </c>
    </row>
    <row r="123" spans="1:120">
      <c r="A123" s="3070">
        <v>122</v>
      </c>
      <c r="B123" s="3070" t="s">
        <v>3224</v>
      </c>
      <c r="C123" s="3070">
        <v>10</v>
      </c>
      <c r="E123" s="3070">
        <v>504</v>
      </c>
      <c r="F123" s="3070" t="s">
        <v>4295</v>
      </c>
      <c r="G123" s="3070" t="s">
        <v>4296</v>
      </c>
      <c r="H123" s="3070">
        <v>1390192</v>
      </c>
      <c r="I123" s="3070">
        <v>1390192</v>
      </c>
      <c r="J123" s="3070">
        <v>114.02</v>
      </c>
      <c r="K123" s="3070">
        <v>82.85</v>
      </c>
      <c r="L123" s="3070">
        <v>0</v>
      </c>
      <c r="M123" s="3070">
        <v>0</v>
      </c>
      <c r="N123" s="3070">
        <v>14994.44</v>
      </c>
      <c r="O123" s="3070">
        <v>1709666</v>
      </c>
      <c r="P123" s="3070">
        <v>12192.53</v>
      </c>
      <c r="Q123" s="3070">
        <v>1390192</v>
      </c>
      <c r="R123" s="3070" t="s">
        <v>3227</v>
      </c>
      <c r="S123" s="3070" t="s">
        <v>4297</v>
      </c>
      <c r="T123" s="3070" t="s">
        <v>3246</v>
      </c>
      <c r="U123" s="3070" t="s">
        <v>3381</v>
      </c>
      <c r="V123" s="3070" t="s">
        <v>3230</v>
      </c>
      <c r="Y123" s="3070">
        <v>560192</v>
      </c>
      <c r="Z123" s="3070">
        <v>560192</v>
      </c>
      <c r="AA123" s="3070">
        <v>560192</v>
      </c>
      <c r="AB123" s="3070">
        <v>0</v>
      </c>
      <c r="AC123" s="3070">
        <v>830000</v>
      </c>
      <c r="AD123" s="3070">
        <v>830000</v>
      </c>
      <c r="AE123" s="3070">
        <v>0</v>
      </c>
      <c r="AI123" s="3070" t="s">
        <v>3227</v>
      </c>
      <c r="AJ123" s="3070">
        <v>0</v>
      </c>
      <c r="AK123" s="3070">
        <v>0</v>
      </c>
      <c r="AL123" s="3070">
        <v>0</v>
      </c>
      <c r="AM123" s="3070">
        <v>12192.53</v>
      </c>
      <c r="AN123" s="3070">
        <v>1390192</v>
      </c>
      <c r="AP123" s="3070">
        <v>1390192</v>
      </c>
      <c r="AQ123" s="3072">
        <v>45138</v>
      </c>
      <c r="AT123" s="3073">
        <v>45678</v>
      </c>
      <c r="AV123" s="3070" t="s">
        <v>4298</v>
      </c>
      <c r="AW123" s="3070" t="s">
        <v>4299</v>
      </c>
      <c r="AX123" s="3070" t="s">
        <v>4300</v>
      </c>
      <c r="AY123" s="3070" t="s">
        <v>3883</v>
      </c>
      <c r="BA123" s="3070" t="s">
        <v>3883</v>
      </c>
      <c r="BC123" s="3070" t="s">
        <v>4301</v>
      </c>
      <c r="BD123" s="3070" t="s">
        <v>3077</v>
      </c>
      <c r="BI123" s="3070" t="s">
        <v>3235</v>
      </c>
      <c r="BL123" s="3070" t="s">
        <v>4302</v>
      </c>
      <c r="BM123" s="3070" t="s">
        <v>3841</v>
      </c>
      <c r="BN123" s="3070">
        <v>504</v>
      </c>
      <c r="BO123" s="3070" t="s">
        <v>3253</v>
      </c>
      <c r="BR123" s="3070">
        <v>23</v>
      </c>
      <c r="BS123" s="3070" t="s">
        <v>3238</v>
      </c>
      <c r="BT123" s="3070" t="s">
        <v>3086</v>
      </c>
      <c r="BU123" s="3070" t="s">
        <v>3883</v>
      </c>
      <c r="BZ123" s="3073">
        <v>44219.726388888892</v>
      </c>
      <c r="CA123" s="3070">
        <v>10</v>
      </c>
      <c r="CB123" s="3070" t="s">
        <v>3086</v>
      </c>
      <c r="CD123" s="3070" t="s">
        <v>3239</v>
      </c>
      <c r="CF123" s="3070" t="s">
        <v>3091</v>
      </c>
      <c r="CH123" s="3070" t="s">
        <v>3240</v>
      </c>
      <c r="CI123" s="3070">
        <v>0</v>
      </c>
      <c r="CK123" s="3070" t="s">
        <v>3883</v>
      </c>
      <c r="CL123" s="3070" t="s">
        <v>4303</v>
      </c>
      <c r="CM123" s="3070">
        <v>1275405.5</v>
      </c>
      <c r="CV123" s="3070" t="s">
        <v>3246</v>
      </c>
      <c r="CW123" s="3070" t="s">
        <v>4304</v>
      </c>
      <c r="CZ123" s="3070">
        <v>213894.57</v>
      </c>
      <c r="DA123" s="3070">
        <v>159426.93</v>
      </c>
      <c r="DB123" s="3070">
        <v>0</v>
      </c>
      <c r="DC123" s="3070">
        <v>0</v>
      </c>
      <c r="DD123" s="3070">
        <v>3290547602</v>
      </c>
      <c r="DE123" s="3070">
        <v>2764253109</v>
      </c>
      <c r="DF123" s="3070">
        <v>1464966739</v>
      </c>
      <c r="DG123" s="3070">
        <v>14938370</v>
      </c>
      <c r="DH123" s="3070">
        <v>1284348000</v>
      </c>
      <c r="DI123" s="3070">
        <v>1278128000</v>
      </c>
      <c r="DJ123" s="3070">
        <v>6220000</v>
      </c>
      <c r="DK123" s="3070">
        <v>0</v>
      </c>
      <c r="DL123" s="3070">
        <v>0</v>
      </c>
      <c r="DM123" s="3070">
        <v>25491817.620000001</v>
      </c>
      <c r="DN123" s="3070">
        <v>2764253109</v>
      </c>
      <c r="DP123" s="3070">
        <v>2764253109</v>
      </c>
    </row>
    <row r="124" spans="1:120">
      <c r="A124" s="3070">
        <v>123</v>
      </c>
      <c r="B124" s="3070" t="s">
        <v>3224</v>
      </c>
      <c r="C124" s="3070">
        <v>10</v>
      </c>
      <c r="E124" s="3070">
        <v>601</v>
      </c>
      <c r="F124" s="3070" t="s">
        <v>4305</v>
      </c>
      <c r="G124" s="3070" t="s">
        <v>4306</v>
      </c>
      <c r="H124" s="3070">
        <v>1388768</v>
      </c>
      <c r="I124" s="3070">
        <v>1388768</v>
      </c>
      <c r="J124" s="3070">
        <v>114.02</v>
      </c>
      <c r="K124" s="3070">
        <v>82.85</v>
      </c>
      <c r="L124" s="3070">
        <v>0</v>
      </c>
      <c r="M124" s="3070">
        <v>0</v>
      </c>
      <c r="N124" s="3070">
        <v>15094.44</v>
      </c>
      <c r="O124" s="3070">
        <v>1721068</v>
      </c>
      <c r="P124" s="3070">
        <v>12180.04</v>
      </c>
      <c r="Q124" s="3070">
        <v>1388768</v>
      </c>
      <c r="R124" s="3070" t="s">
        <v>3227</v>
      </c>
      <c r="S124" s="3070" t="s">
        <v>4307</v>
      </c>
      <c r="T124" s="3070" t="s">
        <v>3258</v>
      </c>
      <c r="U124" s="3070" t="s">
        <v>3259</v>
      </c>
      <c r="V124" s="3070" t="s">
        <v>3230</v>
      </c>
      <c r="Y124" s="3070">
        <v>538768</v>
      </c>
      <c r="Z124" s="3070">
        <v>538768</v>
      </c>
      <c r="AA124" s="3070">
        <v>538768</v>
      </c>
      <c r="AB124" s="3070">
        <v>0</v>
      </c>
      <c r="AC124" s="3070">
        <v>850000</v>
      </c>
      <c r="AD124" s="3070">
        <v>850000</v>
      </c>
      <c r="AE124" s="3070">
        <v>0</v>
      </c>
      <c r="AI124" s="3070" t="s">
        <v>3227</v>
      </c>
      <c r="AJ124" s="3070">
        <v>0</v>
      </c>
      <c r="AK124" s="3070">
        <v>0</v>
      </c>
      <c r="AL124" s="3070">
        <v>0</v>
      </c>
      <c r="AM124" s="3070">
        <v>12180.04</v>
      </c>
      <c r="AN124" s="3070">
        <v>1388768</v>
      </c>
      <c r="AP124" s="3070">
        <v>1388768</v>
      </c>
      <c r="AQ124" s="3072">
        <v>45138</v>
      </c>
      <c r="AT124" s="3073">
        <v>45678</v>
      </c>
      <c r="AV124" s="3070" t="s">
        <v>4308</v>
      </c>
      <c r="AW124" s="3070" t="s">
        <v>4309</v>
      </c>
      <c r="AX124" s="3070" t="s">
        <v>4310</v>
      </c>
      <c r="AY124" s="3070" t="s">
        <v>3233</v>
      </c>
      <c r="BC124" s="3070" t="s">
        <v>3263</v>
      </c>
      <c r="BD124" s="3070" t="s">
        <v>3077</v>
      </c>
      <c r="BI124" s="3070" t="s">
        <v>3235</v>
      </c>
      <c r="BJ124" s="3070" t="s">
        <v>3285</v>
      </c>
      <c r="BL124" s="3070" t="s">
        <v>4311</v>
      </c>
      <c r="BM124" s="3070" t="s">
        <v>3841</v>
      </c>
      <c r="BN124" s="3070">
        <v>601</v>
      </c>
      <c r="BO124" s="3070" t="s">
        <v>3253</v>
      </c>
      <c r="BP124" s="3070" t="s">
        <v>3253</v>
      </c>
      <c r="BR124" s="3070">
        <v>35</v>
      </c>
      <c r="BS124" s="3070" t="s">
        <v>3238</v>
      </c>
      <c r="BT124" s="3070" t="s">
        <v>3086</v>
      </c>
      <c r="BZ124" s="3073">
        <v>44142.756944444445</v>
      </c>
      <c r="CA124" s="3070">
        <v>10</v>
      </c>
      <c r="CB124" s="3070" t="s">
        <v>3086</v>
      </c>
      <c r="CD124" s="3070" t="s">
        <v>3239</v>
      </c>
      <c r="CF124" s="3070" t="s">
        <v>3091</v>
      </c>
      <c r="CH124" s="3070" t="s">
        <v>3240</v>
      </c>
      <c r="CI124" s="3070">
        <v>0</v>
      </c>
      <c r="CJ124" s="3070" t="s">
        <v>3259</v>
      </c>
      <c r="CK124" s="3070" t="s">
        <v>3233</v>
      </c>
      <c r="CL124" s="3070" t="s">
        <v>3233</v>
      </c>
      <c r="CM124" s="3070">
        <v>1274099.08</v>
      </c>
      <c r="CV124" s="3070" t="s">
        <v>3258</v>
      </c>
      <c r="CW124" s="3070" t="s">
        <v>4312</v>
      </c>
      <c r="CX124" s="3070" t="s">
        <v>3267</v>
      </c>
      <c r="CZ124" s="3070">
        <v>213894.57</v>
      </c>
      <c r="DA124" s="3070">
        <v>159426.93</v>
      </c>
      <c r="DB124" s="3070">
        <v>0</v>
      </c>
      <c r="DC124" s="3070">
        <v>0</v>
      </c>
      <c r="DD124" s="3070">
        <v>3290547602</v>
      </c>
      <c r="DE124" s="3070">
        <v>2764253109</v>
      </c>
      <c r="DF124" s="3070">
        <v>1464966739</v>
      </c>
      <c r="DG124" s="3070">
        <v>14938370</v>
      </c>
      <c r="DH124" s="3070">
        <v>1284348000</v>
      </c>
      <c r="DI124" s="3070">
        <v>1278128000</v>
      </c>
      <c r="DJ124" s="3070">
        <v>6220000</v>
      </c>
      <c r="DK124" s="3070">
        <v>0</v>
      </c>
      <c r="DL124" s="3070">
        <v>0</v>
      </c>
      <c r="DM124" s="3070">
        <v>25491817.620000001</v>
      </c>
      <c r="DN124" s="3070">
        <v>2764253109</v>
      </c>
      <c r="DP124" s="3070">
        <v>2764253109</v>
      </c>
    </row>
    <row r="125" spans="1:120">
      <c r="A125" s="3070">
        <v>124</v>
      </c>
      <c r="B125" s="3070" t="s">
        <v>3224</v>
      </c>
      <c r="C125" s="3070">
        <v>10</v>
      </c>
      <c r="E125" s="3070">
        <v>602</v>
      </c>
      <c r="F125" s="3070" t="s">
        <v>4313</v>
      </c>
      <c r="G125" s="3070" t="s">
        <v>4314</v>
      </c>
      <c r="H125" s="3070">
        <v>1255404</v>
      </c>
      <c r="I125" s="3070">
        <v>1255404</v>
      </c>
      <c r="J125" s="3070">
        <v>102.67</v>
      </c>
      <c r="K125" s="3070">
        <v>74.61</v>
      </c>
      <c r="L125" s="3070">
        <v>0</v>
      </c>
      <c r="M125" s="3070">
        <v>0</v>
      </c>
      <c r="N125" s="3070">
        <v>15144.44</v>
      </c>
      <c r="O125" s="3070">
        <v>1554880</v>
      </c>
      <c r="P125" s="3070">
        <v>12227.56</v>
      </c>
      <c r="Q125" s="3070">
        <v>1255404</v>
      </c>
      <c r="R125" s="3070" t="s">
        <v>3227</v>
      </c>
      <c r="S125" s="3070" t="s">
        <v>4315</v>
      </c>
      <c r="T125" s="3070" t="s">
        <v>3258</v>
      </c>
      <c r="U125" s="3070" t="s">
        <v>3259</v>
      </c>
      <c r="V125" s="3070" t="s">
        <v>3230</v>
      </c>
      <c r="Y125" s="3070">
        <v>435404</v>
      </c>
      <c r="Z125" s="3070">
        <v>435404</v>
      </c>
      <c r="AA125" s="3070">
        <v>435404</v>
      </c>
      <c r="AB125" s="3070">
        <v>0</v>
      </c>
      <c r="AC125" s="3070">
        <v>820000</v>
      </c>
      <c r="AD125" s="3070">
        <v>820000</v>
      </c>
      <c r="AE125" s="3070">
        <v>0</v>
      </c>
      <c r="AI125" s="3070" t="s">
        <v>3227</v>
      </c>
      <c r="AJ125" s="3070">
        <v>0</v>
      </c>
      <c r="AK125" s="3070">
        <v>0</v>
      </c>
      <c r="AL125" s="3070">
        <v>0</v>
      </c>
      <c r="AM125" s="3070">
        <v>12227.56</v>
      </c>
      <c r="AN125" s="3070">
        <v>1255404</v>
      </c>
      <c r="AP125" s="3070">
        <v>1255404</v>
      </c>
      <c r="AQ125" s="3072">
        <v>45138</v>
      </c>
      <c r="AT125" s="3073">
        <v>45678</v>
      </c>
      <c r="AV125" s="3070" t="s">
        <v>4316</v>
      </c>
      <c r="AW125" s="3070" t="s">
        <v>4317</v>
      </c>
      <c r="AX125" s="3070" t="s">
        <v>4318</v>
      </c>
      <c r="AY125" s="3070" t="s">
        <v>4084</v>
      </c>
      <c r="BC125" s="3070" t="s">
        <v>3263</v>
      </c>
      <c r="BD125" s="3070" t="s">
        <v>3077</v>
      </c>
      <c r="BI125" s="3070" t="s">
        <v>3235</v>
      </c>
      <c r="BJ125" s="3070" t="s">
        <v>3338</v>
      </c>
      <c r="BL125" s="3070" t="s">
        <v>4319</v>
      </c>
      <c r="BM125" s="3070" t="s">
        <v>3841</v>
      </c>
      <c r="BN125" s="3070">
        <v>602</v>
      </c>
      <c r="BO125" s="3070" t="s">
        <v>3253</v>
      </c>
      <c r="BP125" s="3070" t="s">
        <v>3253</v>
      </c>
      <c r="BR125" s="3070">
        <v>372</v>
      </c>
      <c r="BS125" s="3070" t="s">
        <v>3238</v>
      </c>
      <c r="BT125" s="3070" t="s">
        <v>3086</v>
      </c>
      <c r="BZ125" s="3073">
        <v>44153.834027777775</v>
      </c>
      <c r="CA125" s="3070">
        <v>10</v>
      </c>
      <c r="CB125" s="3070" t="s">
        <v>3086</v>
      </c>
      <c r="CD125" s="3070" t="s">
        <v>3239</v>
      </c>
      <c r="CF125" s="3070" t="s">
        <v>3091</v>
      </c>
      <c r="CH125" s="3070" t="s">
        <v>3240</v>
      </c>
      <c r="CI125" s="3070">
        <v>0</v>
      </c>
      <c r="CJ125" s="3070" t="s">
        <v>3259</v>
      </c>
      <c r="CK125" s="3070" t="s">
        <v>4084</v>
      </c>
      <c r="CL125" s="3070" t="s">
        <v>4084</v>
      </c>
      <c r="CM125" s="3070">
        <v>1151746.79</v>
      </c>
      <c r="CV125" s="3070" t="s">
        <v>3258</v>
      </c>
      <c r="CW125" s="3070" t="s">
        <v>4320</v>
      </c>
      <c r="CZ125" s="3070">
        <v>213894.57</v>
      </c>
      <c r="DA125" s="3070">
        <v>159426.93</v>
      </c>
      <c r="DB125" s="3070">
        <v>0</v>
      </c>
      <c r="DC125" s="3070">
        <v>0</v>
      </c>
      <c r="DD125" s="3070">
        <v>3290547602</v>
      </c>
      <c r="DE125" s="3070">
        <v>2764253109</v>
      </c>
      <c r="DF125" s="3070">
        <v>1464966739</v>
      </c>
      <c r="DG125" s="3070">
        <v>14938370</v>
      </c>
      <c r="DH125" s="3070">
        <v>1284348000</v>
      </c>
      <c r="DI125" s="3070">
        <v>1278128000</v>
      </c>
      <c r="DJ125" s="3070">
        <v>6220000</v>
      </c>
      <c r="DK125" s="3070">
        <v>0</v>
      </c>
      <c r="DL125" s="3070">
        <v>0</v>
      </c>
      <c r="DM125" s="3070">
        <v>25491817.620000001</v>
      </c>
      <c r="DN125" s="3070">
        <v>2764253109</v>
      </c>
      <c r="DP125" s="3070">
        <v>2764253109</v>
      </c>
    </row>
    <row r="126" spans="1:120">
      <c r="A126" s="3070">
        <v>125</v>
      </c>
      <c r="B126" s="3070" t="s">
        <v>3224</v>
      </c>
      <c r="C126" s="3070">
        <v>10</v>
      </c>
      <c r="E126" s="3070">
        <v>603</v>
      </c>
      <c r="F126" s="3070" t="s">
        <v>4321</v>
      </c>
      <c r="G126" s="3070" t="s">
        <v>4322</v>
      </c>
      <c r="H126" s="3070">
        <v>1255404</v>
      </c>
      <c r="I126" s="3070">
        <v>1255404</v>
      </c>
      <c r="J126" s="3070">
        <v>102.67</v>
      </c>
      <c r="K126" s="3070">
        <v>74.61</v>
      </c>
      <c r="L126" s="3070">
        <v>0</v>
      </c>
      <c r="M126" s="3070">
        <v>0</v>
      </c>
      <c r="N126" s="3070">
        <v>15144.44</v>
      </c>
      <c r="O126" s="3070">
        <v>1554880</v>
      </c>
      <c r="P126" s="3070">
        <v>12227.56</v>
      </c>
      <c r="Q126" s="3070">
        <v>1255404</v>
      </c>
      <c r="R126" s="3070" t="s">
        <v>3227</v>
      </c>
      <c r="S126" s="3070" t="s">
        <v>4323</v>
      </c>
      <c r="T126" s="3070" t="s">
        <v>3258</v>
      </c>
      <c r="U126" s="3070" t="s">
        <v>3259</v>
      </c>
      <c r="V126" s="3070" t="s">
        <v>3230</v>
      </c>
      <c r="Y126" s="3070">
        <v>605404</v>
      </c>
      <c r="Z126" s="3070">
        <v>605404</v>
      </c>
      <c r="AA126" s="3070">
        <v>605404</v>
      </c>
      <c r="AB126" s="3070">
        <v>0</v>
      </c>
      <c r="AC126" s="3070">
        <v>650000</v>
      </c>
      <c r="AD126" s="3070">
        <v>650000</v>
      </c>
      <c r="AE126" s="3070">
        <v>0</v>
      </c>
      <c r="AI126" s="3070" t="s">
        <v>3227</v>
      </c>
      <c r="AJ126" s="3070">
        <v>0</v>
      </c>
      <c r="AK126" s="3070">
        <v>0</v>
      </c>
      <c r="AL126" s="3070">
        <v>0</v>
      </c>
      <c r="AM126" s="3070">
        <v>12227.56</v>
      </c>
      <c r="AN126" s="3070">
        <v>1255404</v>
      </c>
      <c r="AP126" s="3070">
        <v>1255404</v>
      </c>
      <c r="AQ126" s="3072">
        <v>45138</v>
      </c>
      <c r="AT126" s="3073">
        <v>45678</v>
      </c>
      <c r="AV126" s="3070" t="s">
        <v>4324</v>
      </c>
      <c r="AW126" s="3070" t="s">
        <v>4325</v>
      </c>
      <c r="AX126" s="3070" t="s">
        <v>4326</v>
      </c>
      <c r="AY126" s="3070" t="s">
        <v>3607</v>
      </c>
      <c r="BC126" s="3070" t="s">
        <v>3263</v>
      </c>
      <c r="BD126" s="3070" t="s">
        <v>3077</v>
      </c>
      <c r="BI126" s="3070" t="s">
        <v>3295</v>
      </c>
      <c r="BJ126" s="3070" t="s">
        <v>3296</v>
      </c>
      <c r="BL126" s="3070" t="s">
        <v>4327</v>
      </c>
      <c r="BM126" s="3070" t="s">
        <v>3841</v>
      </c>
      <c r="BN126" s="3070">
        <v>603</v>
      </c>
      <c r="BO126" s="3070" t="s">
        <v>3253</v>
      </c>
      <c r="BP126" s="3070" t="s">
        <v>3253</v>
      </c>
      <c r="BR126" s="3070">
        <v>760</v>
      </c>
      <c r="BS126" s="3070" t="s">
        <v>3238</v>
      </c>
      <c r="BT126" s="3070" t="s">
        <v>3086</v>
      </c>
      <c r="BZ126" s="3073">
        <v>44142.647916666669</v>
      </c>
      <c r="CA126" s="3070">
        <v>10</v>
      </c>
      <c r="CB126" s="3070" t="s">
        <v>3086</v>
      </c>
      <c r="CD126" s="3070" t="s">
        <v>3239</v>
      </c>
      <c r="CF126" s="3070" t="s">
        <v>3091</v>
      </c>
      <c r="CH126" s="3070" t="s">
        <v>3240</v>
      </c>
      <c r="CI126" s="3070">
        <v>0</v>
      </c>
      <c r="CJ126" s="3070" t="s">
        <v>3259</v>
      </c>
      <c r="CK126" s="3070" t="s">
        <v>3607</v>
      </c>
      <c r="CL126" s="3070" t="s">
        <v>3607</v>
      </c>
      <c r="CM126" s="3070">
        <v>1151746.79</v>
      </c>
      <c r="CV126" s="3070" t="s">
        <v>3258</v>
      </c>
      <c r="CW126" s="3070" t="s">
        <v>4328</v>
      </c>
      <c r="CZ126" s="3070">
        <v>213894.57</v>
      </c>
      <c r="DA126" s="3070">
        <v>159426.93</v>
      </c>
      <c r="DB126" s="3070">
        <v>0</v>
      </c>
      <c r="DC126" s="3070">
        <v>0</v>
      </c>
      <c r="DD126" s="3070">
        <v>3290547602</v>
      </c>
      <c r="DE126" s="3070">
        <v>2764253109</v>
      </c>
      <c r="DF126" s="3070">
        <v>1464966739</v>
      </c>
      <c r="DG126" s="3070">
        <v>14938370</v>
      </c>
      <c r="DH126" s="3070">
        <v>1284348000</v>
      </c>
      <c r="DI126" s="3070">
        <v>1278128000</v>
      </c>
      <c r="DJ126" s="3070">
        <v>6220000</v>
      </c>
      <c r="DK126" s="3070">
        <v>0</v>
      </c>
      <c r="DL126" s="3070">
        <v>0</v>
      </c>
      <c r="DM126" s="3070">
        <v>25491817.620000001</v>
      </c>
      <c r="DN126" s="3070">
        <v>2764253109</v>
      </c>
      <c r="DP126" s="3070">
        <v>2764253109</v>
      </c>
    </row>
    <row r="127" spans="1:120">
      <c r="A127" s="3070">
        <v>126</v>
      </c>
      <c r="B127" s="3070" t="s">
        <v>3224</v>
      </c>
      <c r="C127" s="3070">
        <v>10</v>
      </c>
      <c r="E127" s="3070">
        <v>604</v>
      </c>
      <c r="F127" s="3070" t="s">
        <v>4329</v>
      </c>
      <c r="G127" s="3070" t="s">
        <v>4330</v>
      </c>
      <c r="H127" s="3070">
        <v>1396731</v>
      </c>
      <c r="I127" s="3070">
        <v>1396731</v>
      </c>
      <c r="J127" s="3070">
        <v>114.02</v>
      </c>
      <c r="K127" s="3070">
        <v>82.85</v>
      </c>
      <c r="L127" s="3070">
        <v>0</v>
      </c>
      <c r="M127" s="3070">
        <v>0</v>
      </c>
      <c r="N127" s="3070">
        <v>15044.44</v>
      </c>
      <c r="O127" s="3070">
        <v>1715367</v>
      </c>
      <c r="P127" s="3070">
        <v>12249.88</v>
      </c>
      <c r="Q127" s="3070">
        <v>1396731</v>
      </c>
      <c r="R127" s="3070" t="s">
        <v>3227</v>
      </c>
      <c r="S127" s="3070" t="s">
        <v>4331</v>
      </c>
      <c r="T127" s="3070" t="s">
        <v>3991</v>
      </c>
      <c r="V127" s="3070" t="s">
        <v>3230</v>
      </c>
      <c r="Y127" s="3070">
        <v>419019</v>
      </c>
      <c r="Z127" s="3070">
        <v>419019</v>
      </c>
      <c r="AA127" s="3070">
        <v>1396731</v>
      </c>
      <c r="AB127" s="3070">
        <v>0</v>
      </c>
      <c r="AC127" s="3070">
        <v>0</v>
      </c>
      <c r="AD127" s="3070">
        <v>0</v>
      </c>
      <c r="AE127" s="3070">
        <v>0</v>
      </c>
      <c r="AI127" s="3070" t="s">
        <v>3227</v>
      </c>
      <c r="AJ127" s="3070">
        <v>0</v>
      </c>
      <c r="AK127" s="3070">
        <v>0</v>
      </c>
      <c r="AL127" s="3070">
        <v>0</v>
      </c>
      <c r="AM127" s="3070">
        <v>12249.88</v>
      </c>
      <c r="AN127" s="3070">
        <v>1396731</v>
      </c>
      <c r="AP127" s="3070">
        <v>1396731</v>
      </c>
      <c r="AQ127" s="3072">
        <v>45138</v>
      </c>
      <c r="AT127" s="3073">
        <v>45678</v>
      </c>
      <c r="AV127" s="3070" t="s">
        <v>4332</v>
      </c>
      <c r="AW127" s="3070" t="s">
        <v>4333</v>
      </c>
      <c r="AX127" s="3070" t="s">
        <v>4334</v>
      </c>
      <c r="AY127" s="3070" t="s">
        <v>3587</v>
      </c>
      <c r="BA127" s="3070" t="s">
        <v>3587</v>
      </c>
      <c r="BC127" s="3070" t="s">
        <v>4335</v>
      </c>
      <c r="BD127" s="3070" t="s">
        <v>3077</v>
      </c>
      <c r="BI127" s="3070" t="s">
        <v>3235</v>
      </c>
      <c r="BL127" s="3070" t="s">
        <v>4336</v>
      </c>
      <c r="BM127" s="3070" t="s">
        <v>3841</v>
      </c>
      <c r="BN127" s="3070">
        <v>604</v>
      </c>
      <c r="BR127" s="3070">
        <v>20</v>
      </c>
      <c r="BS127" s="3070" t="s">
        <v>3238</v>
      </c>
      <c r="BT127" s="3070" t="s">
        <v>3086</v>
      </c>
      <c r="BU127" s="3070" t="s">
        <v>3587</v>
      </c>
      <c r="BZ127" s="3073">
        <v>44212.658333333333</v>
      </c>
      <c r="CA127" s="3070">
        <v>10</v>
      </c>
      <c r="CB127" s="3070" t="s">
        <v>3086</v>
      </c>
      <c r="CD127" s="3070" t="s">
        <v>3239</v>
      </c>
      <c r="CF127" s="3070" t="s">
        <v>3091</v>
      </c>
      <c r="CH127" s="3070" t="s">
        <v>3240</v>
      </c>
      <c r="CI127" s="3070">
        <v>0</v>
      </c>
      <c r="CK127" s="3070" t="s">
        <v>3587</v>
      </c>
      <c r="CL127" s="3070" t="s">
        <v>3590</v>
      </c>
      <c r="CM127" s="3070">
        <v>1281404.5900000001</v>
      </c>
      <c r="CV127" s="3070" t="s">
        <v>3494</v>
      </c>
      <c r="CW127" s="3070" t="s">
        <v>4337</v>
      </c>
      <c r="CZ127" s="3070">
        <v>213894.57</v>
      </c>
      <c r="DA127" s="3070">
        <v>159426.93</v>
      </c>
      <c r="DB127" s="3070">
        <v>0</v>
      </c>
      <c r="DC127" s="3070">
        <v>0</v>
      </c>
      <c r="DD127" s="3070">
        <v>3290547602</v>
      </c>
      <c r="DE127" s="3070">
        <v>2764253109</v>
      </c>
      <c r="DF127" s="3070">
        <v>1464966739</v>
      </c>
      <c r="DG127" s="3070">
        <v>14938370</v>
      </c>
      <c r="DH127" s="3070">
        <v>1284348000</v>
      </c>
      <c r="DI127" s="3070">
        <v>1278128000</v>
      </c>
      <c r="DJ127" s="3070">
        <v>6220000</v>
      </c>
      <c r="DK127" s="3070">
        <v>0</v>
      </c>
      <c r="DL127" s="3070">
        <v>0</v>
      </c>
      <c r="DM127" s="3070">
        <v>25491817.620000001</v>
      </c>
      <c r="DN127" s="3070">
        <v>2764253109</v>
      </c>
      <c r="DP127" s="3070">
        <v>2764253109</v>
      </c>
    </row>
    <row r="128" spans="1:120">
      <c r="A128" s="3070">
        <v>127</v>
      </c>
      <c r="B128" s="3070" t="s">
        <v>3224</v>
      </c>
      <c r="C128" s="3070">
        <v>10</v>
      </c>
      <c r="E128" s="3070">
        <v>701</v>
      </c>
      <c r="F128" s="3070" t="s">
        <v>4338</v>
      </c>
      <c r="G128" s="3070" t="s">
        <v>4339</v>
      </c>
      <c r="H128" s="3070">
        <v>1394187</v>
      </c>
      <c r="I128" s="3070">
        <v>1394187</v>
      </c>
      <c r="J128" s="3070">
        <v>114.02</v>
      </c>
      <c r="K128" s="3070">
        <v>82.85</v>
      </c>
      <c r="L128" s="3070">
        <v>0</v>
      </c>
      <c r="M128" s="3070">
        <v>0</v>
      </c>
      <c r="N128" s="3070">
        <v>15144.44</v>
      </c>
      <c r="O128" s="3070">
        <v>1726769</v>
      </c>
      <c r="P128" s="3070">
        <v>12227.57</v>
      </c>
      <c r="Q128" s="3070">
        <v>1394187</v>
      </c>
      <c r="R128" s="3070" t="s">
        <v>3227</v>
      </c>
      <c r="S128" s="3070" t="s">
        <v>4340</v>
      </c>
      <c r="T128" s="3070" t="s">
        <v>3258</v>
      </c>
      <c r="U128" s="3070" t="s">
        <v>3259</v>
      </c>
      <c r="V128" s="3070" t="s">
        <v>3230</v>
      </c>
      <c r="Y128" s="3070">
        <v>994187</v>
      </c>
      <c r="Z128" s="3070">
        <v>994187</v>
      </c>
      <c r="AA128" s="3070">
        <v>994187</v>
      </c>
      <c r="AB128" s="3070">
        <v>0</v>
      </c>
      <c r="AC128" s="3070">
        <v>400000</v>
      </c>
      <c r="AD128" s="3070">
        <v>400000</v>
      </c>
      <c r="AE128" s="3070">
        <v>0</v>
      </c>
      <c r="AI128" s="3070" t="s">
        <v>3227</v>
      </c>
      <c r="AJ128" s="3070">
        <v>0</v>
      </c>
      <c r="AK128" s="3070">
        <v>0</v>
      </c>
      <c r="AL128" s="3070">
        <v>0</v>
      </c>
      <c r="AM128" s="3070">
        <v>12227.57</v>
      </c>
      <c r="AN128" s="3070">
        <v>1394187</v>
      </c>
      <c r="AP128" s="3070">
        <v>1394187</v>
      </c>
      <c r="AQ128" s="3072">
        <v>45138</v>
      </c>
      <c r="AT128" s="3073">
        <v>45678</v>
      </c>
      <c r="AV128" s="3070" t="s">
        <v>4341</v>
      </c>
      <c r="AW128" s="3070" t="s">
        <v>4342</v>
      </c>
      <c r="AX128" s="3070" t="s">
        <v>4343</v>
      </c>
      <c r="AY128" s="3070" t="s">
        <v>4084</v>
      </c>
      <c r="BC128" s="3070" t="s">
        <v>3263</v>
      </c>
      <c r="BD128" s="3070" t="s">
        <v>3077</v>
      </c>
      <c r="BI128" s="3070" t="s">
        <v>3235</v>
      </c>
      <c r="BJ128" s="3070" t="s">
        <v>3682</v>
      </c>
      <c r="BL128" s="3070" t="s">
        <v>4344</v>
      </c>
      <c r="BM128" s="3070" t="s">
        <v>3841</v>
      </c>
      <c r="BN128" s="3070">
        <v>701</v>
      </c>
      <c r="BO128" s="3070" t="s">
        <v>3253</v>
      </c>
      <c r="BP128" s="3070" t="s">
        <v>3253</v>
      </c>
      <c r="BR128" s="3070">
        <v>515</v>
      </c>
      <c r="BS128" s="3070" t="s">
        <v>3238</v>
      </c>
      <c r="BT128" s="3070" t="s">
        <v>3086</v>
      </c>
      <c r="BZ128" s="3073">
        <v>44142.757638888892</v>
      </c>
      <c r="CA128" s="3070">
        <v>10</v>
      </c>
      <c r="CB128" s="3070" t="s">
        <v>3086</v>
      </c>
      <c r="CD128" s="3070" t="s">
        <v>3239</v>
      </c>
      <c r="CF128" s="3070" t="s">
        <v>3091</v>
      </c>
      <c r="CH128" s="3070" t="s">
        <v>3240</v>
      </c>
      <c r="CI128" s="3070">
        <v>0</v>
      </c>
      <c r="CJ128" s="3070" t="s">
        <v>3259</v>
      </c>
      <c r="CK128" s="3070" t="s">
        <v>4084</v>
      </c>
      <c r="CL128" s="3070" t="s">
        <v>4084</v>
      </c>
      <c r="CM128" s="3070">
        <v>1279070.6399999999</v>
      </c>
      <c r="CV128" s="3070" t="s">
        <v>3258</v>
      </c>
      <c r="CW128" s="3070" t="s">
        <v>4345</v>
      </c>
      <c r="CX128" s="3070" t="s">
        <v>3510</v>
      </c>
      <c r="CZ128" s="3070">
        <v>213894.57</v>
      </c>
      <c r="DA128" s="3070">
        <v>159426.93</v>
      </c>
      <c r="DB128" s="3070">
        <v>0</v>
      </c>
      <c r="DC128" s="3070">
        <v>0</v>
      </c>
      <c r="DD128" s="3070">
        <v>3290547602</v>
      </c>
      <c r="DE128" s="3070">
        <v>2764253109</v>
      </c>
      <c r="DF128" s="3070">
        <v>1464966739</v>
      </c>
      <c r="DG128" s="3070">
        <v>14938370</v>
      </c>
      <c r="DH128" s="3070">
        <v>1284348000</v>
      </c>
      <c r="DI128" s="3070">
        <v>1278128000</v>
      </c>
      <c r="DJ128" s="3070">
        <v>6220000</v>
      </c>
      <c r="DK128" s="3070">
        <v>0</v>
      </c>
      <c r="DL128" s="3070">
        <v>0</v>
      </c>
      <c r="DM128" s="3070">
        <v>25491817.620000001</v>
      </c>
      <c r="DN128" s="3070">
        <v>2764253109</v>
      </c>
      <c r="DP128" s="3070">
        <v>2764253109</v>
      </c>
    </row>
    <row r="129" spans="1:120">
      <c r="A129" s="3070">
        <v>128</v>
      </c>
      <c r="B129" s="3070" t="s">
        <v>3224</v>
      </c>
      <c r="C129" s="3070">
        <v>10</v>
      </c>
      <c r="E129" s="3070">
        <v>702</v>
      </c>
      <c r="F129" s="3070" t="s">
        <v>4346</v>
      </c>
      <c r="G129" s="3070" t="s">
        <v>4347</v>
      </c>
      <c r="H129" s="3070">
        <v>1260285</v>
      </c>
      <c r="I129" s="3070">
        <v>1260285</v>
      </c>
      <c r="J129" s="3070">
        <v>102.67</v>
      </c>
      <c r="K129" s="3070">
        <v>74.61</v>
      </c>
      <c r="L129" s="3070">
        <v>0</v>
      </c>
      <c r="M129" s="3070">
        <v>0</v>
      </c>
      <c r="N129" s="3070">
        <v>15194.44</v>
      </c>
      <c r="O129" s="3070">
        <v>1560013</v>
      </c>
      <c r="P129" s="3070">
        <v>12275.1</v>
      </c>
      <c r="Q129" s="3070">
        <v>1260285</v>
      </c>
      <c r="R129" s="3070" t="s">
        <v>3227</v>
      </c>
      <c r="S129" s="3070" t="s">
        <v>4348</v>
      </c>
      <c r="T129" s="3070" t="s">
        <v>3246</v>
      </c>
      <c r="U129" s="3070" t="s">
        <v>3371</v>
      </c>
      <c r="V129" s="3070" t="s">
        <v>3230</v>
      </c>
      <c r="Y129" s="3070">
        <v>380285</v>
      </c>
      <c r="Z129" s="3070">
        <v>380285</v>
      </c>
      <c r="AA129" s="3070">
        <v>380285</v>
      </c>
      <c r="AB129" s="3070">
        <v>0</v>
      </c>
      <c r="AC129" s="3070">
        <v>880000</v>
      </c>
      <c r="AD129" s="3070">
        <v>880000</v>
      </c>
      <c r="AE129" s="3070">
        <v>0</v>
      </c>
      <c r="AI129" s="3070" t="s">
        <v>3227</v>
      </c>
      <c r="AJ129" s="3070">
        <v>0</v>
      </c>
      <c r="AK129" s="3070">
        <v>0</v>
      </c>
      <c r="AL129" s="3070">
        <v>0</v>
      </c>
      <c r="AM129" s="3070">
        <v>12275.1</v>
      </c>
      <c r="AN129" s="3070">
        <v>1260285</v>
      </c>
      <c r="AP129" s="3070">
        <v>1260285</v>
      </c>
      <c r="AQ129" s="3072">
        <v>45138</v>
      </c>
      <c r="AT129" s="3073">
        <v>45678</v>
      </c>
      <c r="AV129" s="3074">
        <v>3.21E+17</v>
      </c>
      <c r="AW129" s="3070" t="s">
        <v>4349</v>
      </c>
      <c r="AX129" s="3070" t="s">
        <v>4350</v>
      </c>
      <c r="AY129" s="3070" t="s">
        <v>3346</v>
      </c>
      <c r="BC129" s="3070" t="s">
        <v>3284</v>
      </c>
      <c r="BD129" s="3070" t="s">
        <v>3077</v>
      </c>
      <c r="BI129" s="3070" t="s">
        <v>3235</v>
      </c>
      <c r="BL129" s="3070" t="s">
        <v>4351</v>
      </c>
      <c r="BM129" s="3070" t="s">
        <v>3841</v>
      </c>
      <c r="BN129" s="3070">
        <v>702</v>
      </c>
      <c r="BO129" s="3070" t="s">
        <v>3253</v>
      </c>
      <c r="BR129" s="3070">
        <v>845</v>
      </c>
      <c r="BS129" s="3070" t="s">
        <v>3238</v>
      </c>
      <c r="BT129" s="3070" t="s">
        <v>3086</v>
      </c>
      <c r="BZ129" s="3073">
        <v>44142.636111111111</v>
      </c>
      <c r="CA129" s="3070">
        <v>10</v>
      </c>
      <c r="CB129" s="3070" t="s">
        <v>3086</v>
      </c>
      <c r="CD129" s="3070" t="s">
        <v>3239</v>
      </c>
      <c r="CF129" s="3070" t="s">
        <v>3091</v>
      </c>
      <c r="CH129" s="3070" t="s">
        <v>3240</v>
      </c>
      <c r="CI129" s="3070">
        <v>0</v>
      </c>
      <c r="CK129" s="3070" t="s">
        <v>3346</v>
      </c>
      <c r="CL129" s="3070" t="s">
        <v>3346</v>
      </c>
      <c r="CM129" s="3070">
        <v>1156224.77</v>
      </c>
      <c r="CV129" s="3070" t="s">
        <v>3246</v>
      </c>
      <c r="CW129" s="3070" t="s">
        <v>4352</v>
      </c>
      <c r="CZ129" s="3070">
        <v>213894.57</v>
      </c>
      <c r="DA129" s="3070">
        <v>159426.93</v>
      </c>
      <c r="DB129" s="3070">
        <v>0</v>
      </c>
      <c r="DC129" s="3070">
        <v>0</v>
      </c>
      <c r="DD129" s="3070">
        <v>3290547602</v>
      </c>
      <c r="DE129" s="3070">
        <v>2764253109</v>
      </c>
      <c r="DF129" s="3070">
        <v>1464966739</v>
      </c>
      <c r="DG129" s="3070">
        <v>14938370</v>
      </c>
      <c r="DH129" s="3070">
        <v>1284348000</v>
      </c>
      <c r="DI129" s="3070">
        <v>1278128000</v>
      </c>
      <c r="DJ129" s="3070">
        <v>6220000</v>
      </c>
      <c r="DK129" s="3070">
        <v>0</v>
      </c>
      <c r="DL129" s="3070">
        <v>0</v>
      </c>
      <c r="DM129" s="3070">
        <v>25491817.620000001</v>
      </c>
      <c r="DN129" s="3070">
        <v>2764253109</v>
      </c>
      <c r="DP129" s="3070">
        <v>2764253109</v>
      </c>
    </row>
    <row r="130" spans="1:120">
      <c r="A130" s="3070">
        <v>129</v>
      </c>
      <c r="B130" s="3070" t="s">
        <v>3224</v>
      </c>
      <c r="C130" s="3070">
        <v>10</v>
      </c>
      <c r="E130" s="3070">
        <v>703</v>
      </c>
      <c r="F130" s="3070" t="s">
        <v>4353</v>
      </c>
      <c r="G130" s="3070" t="s">
        <v>4354</v>
      </c>
      <c r="H130" s="3070">
        <v>1235079</v>
      </c>
      <c r="I130" s="3070">
        <v>1235079</v>
      </c>
      <c r="J130" s="3070">
        <v>102.67</v>
      </c>
      <c r="K130" s="3070">
        <v>74.61</v>
      </c>
      <c r="L130" s="3070">
        <v>0</v>
      </c>
      <c r="M130" s="3070">
        <v>0</v>
      </c>
      <c r="N130" s="3070">
        <v>15194.44</v>
      </c>
      <c r="O130" s="3070">
        <v>1560013</v>
      </c>
      <c r="P130" s="3070">
        <v>12029.6</v>
      </c>
      <c r="Q130" s="3070">
        <v>1235079</v>
      </c>
      <c r="R130" s="3070" t="s">
        <v>3227</v>
      </c>
      <c r="S130" s="3070" t="s">
        <v>4355</v>
      </c>
      <c r="T130" s="3070" t="s">
        <v>3246</v>
      </c>
      <c r="U130" s="3070" t="s">
        <v>3371</v>
      </c>
      <c r="V130" s="3070" t="s">
        <v>3230</v>
      </c>
      <c r="Y130" s="3070">
        <v>375079</v>
      </c>
      <c r="Z130" s="3070">
        <v>375079</v>
      </c>
      <c r="AA130" s="3070">
        <v>375079</v>
      </c>
      <c r="AB130" s="3070">
        <v>0</v>
      </c>
      <c r="AC130" s="3070">
        <v>860000</v>
      </c>
      <c r="AD130" s="3070">
        <v>860000</v>
      </c>
      <c r="AE130" s="3070">
        <v>0</v>
      </c>
      <c r="AI130" s="3070" t="s">
        <v>3227</v>
      </c>
      <c r="AJ130" s="3070">
        <v>0</v>
      </c>
      <c r="AK130" s="3070">
        <v>0</v>
      </c>
      <c r="AL130" s="3070">
        <v>0</v>
      </c>
      <c r="AM130" s="3070">
        <v>12029.6</v>
      </c>
      <c r="AN130" s="3070">
        <v>1235079</v>
      </c>
      <c r="AP130" s="3070">
        <v>1235079</v>
      </c>
      <c r="AQ130" s="3072">
        <v>45138</v>
      </c>
      <c r="AT130" s="3073">
        <v>45678</v>
      </c>
      <c r="AV130" s="3070" t="s">
        <v>4356</v>
      </c>
      <c r="AW130" s="3070" t="s">
        <v>4357</v>
      </c>
      <c r="AX130" s="3070" t="s">
        <v>4358</v>
      </c>
      <c r="AY130" s="3070" t="s">
        <v>3648</v>
      </c>
      <c r="BC130" s="3070" t="s">
        <v>4359</v>
      </c>
      <c r="BD130" s="3070" t="s">
        <v>3077</v>
      </c>
      <c r="BI130" s="3070" t="s">
        <v>3235</v>
      </c>
      <c r="BL130" s="3070" t="s">
        <v>4360</v>
      </c>
      <c r="BM130" s="3070" t="s">
        <v>3841</v>
      </c>
      <c r="BN130" s="3070">
        <v>703</v>
      </c>
      <c r="BO130" s="3070" t="s">
        <v>3253</v>
      </c>
      <c r="BR130" s="3070">
        <v>627</v>
      </c>
      <c r="BS130" s="3070" t="s">
        <v>3238</v>
      </c>
      <c r="BT130" s="3070" t="s">
        <v>3086</v>
      </c>
      <c r="BZ130" s="3073">
        <v>44142.636111111111</v>
      </c>
      <c r="CA130" s="3070">
        <v>10</v>
      </c>
      <c r="CB130" s="3070" t="s">
        <v>3086</v>
      </c>
      <c r="CD130" s="3070" t="s">
        <v>3239</v>
      </c>
      <c r="CF130" s="3070" t="s">
        <v>3091</v>
      </c>
      <c r="CH130" s="3070" t="s">
        <v>3240</v>
      </c>
      <c r="CI130" s="3070">
        <v>0</v>
      </c>
      <c r="CK130" s="3070" t="s">
        <v>3648</v>
      </c>
      <c r="CL130" s="3070" t="s">
        <v>3648</v>
      </c>
      <c r="CM130" s="3070">
        <v>1133100</v>
      </c>
      <c r="CV130" s="3070" t="s">
        <v>3246</v>
      </c>
      <c r="CW130" s="3070" t="s">
        <v>4361</v>
      </c>
      <c r="CX130" s="3070" t="s">
        <v>3311</v>
      </c>
      <c r="CZ130" s="3070">
        <v>213894.57</v>
      </c>
      <c r="DA130" s="3070">
        <v>159426.93</v>
      </c>
      <c r="DB130" s="3070">
        <v>0</v>
      </c>
      <c r="DC130" s="3070">
        <v>0</v>
      </c>
      <c r="DD130" s="3070">
        <v>3290547602</v>
      </c>
      <c r="DE130" s="3070">
        <v>2764253109</v>
      </c>
      <c r="DF130" s="3070">
        <v>1464966739</v>
      </c>
      <c r="DG130" s="3070">
        <v>14938370</v>
      </c>
      <c r="DH130" s="3070">
        <v>1284348000</v>
      </c>
      <c r="DI130" s="3070">
        <v>1278128000</v>
      </c>
      <c r="DJ130" s="3070">
        <v>6220000</v>
      </c>
      <c r="DK130" s="3070">
        <v>0</v>
      </c>
      <c r="DL130" s="3070">
        <v>0</v>
      </c>
      <c r="DM130" s="3070">
        <v>25491817.620000001</v>
      </c>
      <c r="DN130" s="3070">
        <v>2764253109</v>
      </c>
      <c r="DP130" s="3070">
        <v>2764253109</v>
      </c>
    </row>
    <row r="131" spans="1:120">
      <c r="A131" s="3070">
        <v>130</v>
      </c>
      <c r="B131" s="3070" t="s">
        <v>3224</v>
      </c>
      <c r="C131" s="3070">
        <v>10</v>
      </c>
      <c r="E131" s="3070">
        <v>704</v>
      </c>
      <c r="F131" s="3070" t="s">
        <v>4362</v>
      </c>
      <c r="G131" s="3070" t="s">
        <v>4363</v>
      </c>
      <c r="H131" s="3070">
        <v>1466877</v>
      </c>
      <c r="I131" s="3070">
        <v>1466877</v>
      </c>
      <c r="J131" s="3070">
        <v>114.02</v>
      </c>
      <c r="K131" s="3070">
        <v>82.85</v>
      </c>
      <c r="L131" s="3070">
        <v>0</v>
      </c>
      <c r="M131" s="3070">
        <v>0</v>
      </c>
      <c r="N131" s="3070">
        <v>15094.44</v>
      </c>
      <c r="O131" s="3070">
        <v>1721068</v>
      </c>
      <c r="P131" s="3070">
        <v>12865.09</v>
      </c>
      <c r="Q131" s="3070">
        <v>1466877</v>
      </c>
      <c r="R131" s="3070" t="s">
        <v>3227</v>
      </c>
      <c r="S131" s="3070" t="s">
        <v>4364</v>
      </c>
      <c r="T131" s="3070" t="s">
        <v>3494</v>
      </c>
      <c r="V131" s="3070" t="s">
        <v>3230</v>
      </c>
      <c r="Y131" s="3070">
        <v>146688</v>
      </c>
      <c r="Z131" s="3070">
        <v>146688</v>
      </c>
      <c r="AA131" s="3070">
        <v>1466877</v>
      </c>
      <c r="AB131" s="3070">
        <v>0</v>
      </c>
      <c r="AC131" s="3070">
        <v>0</v>
      </c>
      <c r="AD131" s="3070">
        <v>0</v>
      </c>
      <c r="AE131" s="3070">
        <v>0</v>
      </c>
      <c r="AI131" s="3070" t="s">
        <v>3227</v>
      </c>
      <c r="AJ131" s="3070">
        <v>0</v>
      </c>
      <c r="AK131" s="3070">
        <v>0</v>
      </c>
      <c r="AL131" s="3070">
        <v>0</v>
      </c>
      <c r="AM131" s="3070">
        <v>12865.09</v>
      </c>
      <c r="AN131" s="3070">
        <v>1466877</v>
      </c>
      <c r="AP131" s="3070">
        <v>1466877</v>
      </c>
      <c r="AQ131" s="3072">
        <v>45138</v>
      </c>
      <c r="AT131" s="3073">
        <v>45678</v>
      </c>
      <c r="AV131" s="3070" t="s">
        <v>4365</v>
      </c>
      <c r="AW131" s="3070" t="s">
        <v>4366</v>
      </c>
      <c r="AX131" s="3070" t="s">
        <v>4367</v>
      </c>
      <c r="AY131" s="3070" t="s">
        <v>3607</v>
      </c>
      <c r="BC131" s="3070" t="s">
        <v>4117</v>
      </c>
      <c r="BD131" s="3070" t="s">
        <v>3077</v>
      </c>
      <c r="BI131" s="3070" t="s">
        <v>3235</v>
      </c>
      <c r="BJ131" s="3070" t="s">
        <v>3296</v>
      </c>
      <c r="BL131" s="3070" t="s">
        <v>4368</v>
      </c>
      <c r="BM131" s="3070" t="s">
        <v>3841</v>
      </c>
      <c r="BN131" s="3070">
        <v>704</v>
      </c>
      <c r="BR131" s="3070">
        <v>0</v>
      </c>
      <c r="BS131" s="3070" t="s">
        <v>3238</v>
      </c>
      <c r="BT131" s="3070" t="s">
        <v>3086</v>
      </c>
      <c r="BV131" s="3070" t="s">
        <v>4369</v>
      </c>
      <c r="BZ131" s="3073">
        <v>44186.717361111114</v>
      </c>
      <c r="CA131" s="3070">
        <v>10</v>
      </c>
      <c r="CB131" s="3070" t="s">
        <v>3086</v>
      </c>
      <c r="CD131" s="3070" t="s">
        <v>3239</v>
      </c>
      <c r="CF131" s="3070" t="s">
        <v>3091</v>
      </c>
      <c r="CH131" s="3070" t="s">
        <v>3240</v>
      </c>
      <c r="CI131" s="3070">
        <v>0</v>
      </c>
      <c r="CK131" s="3070" t="s">
        <v>3607</v>
      </c>
      <c r="CL131" s="3070" t="s">
        <v>3607</v>
      </c>
      <c r="CM131" s="3070">
        <v>1345758.72</v>
      </c>
      <c r="CV131" s="3070" t="s">
        <v>3494</v>
      </c>
      <c r="CW131" s="3070" t="s">
        <v>4370</v>
      </c>
      <c r="CX131" s="3070" t="s">
        <v>3311</v>
      </c>
      <c r="CZ131" s="3070">
        <v>213894.57</v>
      </c>
      <c r="DA131" s="3070">
        <v>159426.93</v>
      </c>
      <c r="DB131" s="3070">
        <v>0</v>
      </c>
      <c r="DC131" s="3070">
        <v>0</v>
      </c>
      <c r="DD131" s="3070">
        <v>3290547602</v>
      </c>
      <c r="DE131" s="3070">
        <v>2764253109</v>
      </c>
      <c r="DF131" s="3070">
        <v>1464966739</v>
      </c>
      <c r="DG131" s="3070">
        <v>14938370</v>
      </c>
      <c r="DH131" s="3070">
        <v>1284348000</v>
      </c>
      <c r="DI131" s="3070">
        <v>1278128000</v>
      </c>
      <c r="DJ131" s="3070">
        <v>6220000</v>
      </c>
      <c r="DK131" s="3070">
        <v>0</v>
      </c>
      <c r="DL131" s="3070">
        <v>0</v>
      </c>
      <c r="DM131" s="3070">
        <v>25491817.620000001</v>
      </c>
      <c r="DN131" s="3070">
        <v>2764253109</v>
      </c>
      <c r="DP131" s="3070">
        <v>2764253109</v>
      </c>
    </row>
    <row r="132" spans="1:120">
      <c r="A132" s="3070">
        <v>131</v>
      </c>
      <c r="B132" s="3070" t="s">
        <v>3224</v>
      </c>
      <c r="C132" s="3070">
        <v>10</v>
      </c>
      <c r="E132" s="3070">
        <v>801</v>
      </c>
      <c r="F132" s="3070" t="s">
        <v>4371</v>
      </c>
      <c r="G132" s="3070" t="s">
        <v>4372</v>
      </c>
      <c r="H132" s="3070">
        <v>1399606</v>
      </c>
      <c r="I132" s="3070">
        <v>1399606</v>
      </c>
      <c r="J132" s="3070">
        <v>114.02</v>
      </c>
      <c r="K132" s="3070">
        <v>82.85</v>
      </c>
      <c r="L132" s="3070">
        <v>0</v>
      </c>
      <c r="M132" s="3070">
        <v>0</v>
      </c>
      <c r="N132" s="3070">
        <v>15194.44</v>
      </c>
      <c r="O132" s="3070">
        <v>1732470</v>
      </c>
      <c r="P132" s="3070">
        <v>12275.09</v>
      </c>
      <c r="Q132" s="3070">
        <v>1399606</v>
      </c>
      <c r="R132" s="3070" t="s">
        <v>3227</v>
      </c>
      <c r="S132" s="3070" t="s">
        <v>4373</v>
      </c>
      <c r="T132" s="3070" t="s">
        <v>3258</v>
      </c>
      <c r="U132" s="3070" t="s">
        <v>3259</v>
      </c>
      <c r="V132" s="3070" t="s">
        <v>3230</v>
      </c>
      <c r="Y132" s="3070">
        <v>429606</v>
      </c>
      <c r="Z132" s="3070">
        <v>429606</v>
      </c>
      <c r="AA132" s="3070">
        <v>429606</v>
      </c>
      <c r="AB132" s="3070">
        <v>0</v>
      </c>
      <c r="AC132" s="3070">
        <v>970000</v>
      </c>
      <c r="AD132" s="3070">
        <v>970000</v>
      </c>
      <c r="AE132" s="3070">
        <v>0</v>
      </c>
      <c r="AI132" s="3070" t="s">
        <v>3227</v>
      </c>
      <c r="AJ132" s="3070">
        <v>0</v>
      </c>
      <c r="AK132" s="3070">
        <v>0</v>
      </c>
      <c r="AL132" s="3070">
        <v>0</v>
      </c>
      <c r="AM132" s="3070">
        <v>12275.09</v>
      </c>
      <c r="AN132" s="3070">
        <v>1399606</v>
      </c>
      <c r="AP132" s="3070">
        <v>1399606</v>
      </c>
      <c r="AQ132" s="3072">
        <v>45138</v>
      </c>
      <c r="AT132" s="3073">
        <v>45678</v>
      </c>
      <c r="AV132" s="3070" t="s">
        <v>4374</v>
      </c>
      <c r="AW132" s="3070" t="s">
        <v>4375</v>
      </c>
      <c r="AX132" s="3070" t="s">
        <v>4376</v>
      </c>
      <c r="AY132" s="3070" t="s">
        <v>3364</v>
      </c>
      <c r="BC132" s="3070" t="s">
        <v>3263</v>
      </c>
      <c r="BD132" s="3070" t="s">
        <v>3077</v>
      </c>
      <c r="BI132" s="3070" t="s">
        <v>3235</v>
      </c>
      <c r="BL132" s="3070" t="s">
        <v>4377</v>
      </c>
      <c r="BM132" s="3070" t="s">
        <v>3841</v>
      </c>
      <c r="BN132" s="3070">
        <v>801</v>
      </c>
      <c r="BO132" s="3070" t="s">
        <v>3253</v>
      </c>
      <c r="BP132" s="3070" t="s">
        <v>3253</v>
      </c>
      <c r="BR132" s="3070">
        <v>524</v>
      </c>
      <c r="BS132" s="3070" t="s">
        <v>3238</v>
      </c>
      <c r="BT132" s="3070" t="s">
        <v>3086</v>
      </c>
      <c r="BZ132" s="3073">
        <v>44142.758333333331</v>
      </c>
      <c r="CA132" s="3070">
        <v>10</v>
      </c>
      <c r="CB132" s="3070" t="s">
        <v>3086</v>
      </c>
      <c r="CD132" s="3070" t="s">
        <v>3239</v>
      </c>
      <c r="CF132" s="3070" t="s">
        <v>3091</v>
      </c>
      <c r="CH132" s="3070" t="s">
        <v>3240</v>
      </c>
      <c r="CI132" s="3070">
        <v>0</v>
      </c>
      <c r="CJ132" s="3070" t="s">
        <v>3259</v>
      </c>
      <c r="CK132" s="3070" t="s">
        <v>3364</v>
      </c>
      <c r="CL132" s="3070" t="s">
        <v>3364</v>
      </c>
      <c r="CM132" s="3070">
        <v>1284042.2</v>
      </c>
      <c r="CV132" s="3070" t="s">
        <v>3258</v>
      </c>
      <c r="CW132" s="3070" t="s">
        <v>4378</v>
      </c>
      <c r="CZ132" s="3070">
        <v>213894.57</v>
      </c>
      <c r="DA132" s="3070">
        <v>159426.93</v>
      </c>
      <c r="DB132" s="3070">
        <v>0</v>
      </c>
      <c r="DC132" s="3070">
        <v>0</v>
      </c>
      <c r="DD132" s="3070">
        <v>3290547602</v>
      </c>
      <c r="DE132" s="3070">
        <v>2764253109</v>
      </c>
      <c r="DF132" s="3070">
        <v>1464966739</v>
      </c>
      <c r="DG132" s="3070">
        <v>14938370</v>
      </c>
      <c r="DH132" s="3070">
        <v>1284348000</v>
      </c>
      <c r="DI132" s="3070">
        <v>1278128000</v>
      </c>
      <c r="DJ132" s="3070">
        <v>6220000</v>
      </c>
      <c r="DK132" s="3070">
        <v>0</v>
      </c>
      <c r="DL132" s="3070">
        <v>0</v>
      </c>
      <c r="DM132" s="3070">
        <v>25491817.620000001</v>
      </c>
      <c r="DN132" s="3070">
        <v>2764253109</v>
      </c>
      <c r="DP132" s="3070">
        <v>2764253109</v>
      </c>
    </row>
    <row r="133" spans="1:120">
      <c r="A133" s="3070">
        <v>132</v>
      </c>
      <c r="B133" s="3070" t="s">
        <v>3224</v>
      </c>
      <c r="C133" s="3070">
        <v>10</v>
      </c>
      <c r="E133" s="3070">
        <v>802</v>
      </c>
      <c r="F133" s="3070" t="s">
        <v>4379</v>
      </c>
      <c r="G133" s="3070" t="s">
        <v>4380</v>
      </c>
      <c r="H133" s="3070">
        <v>1265164</v>
      </c>
      <c r="I133" s="3070">
        <v>1265164</v>
      </c>
      <c r="J133" s="3070">
        <v>102.67</v>
      </c>
      <c r="K133" s="3070">
        <v>74.61</v>
      </c>
      <c r="L133" s="3070">
        <v>0</v>
      </c>
      <c r="M133" s="3070">
        <v>0</v>
      </c>
      <c r="N133" s="3070">
        <v>15244.44</v>
      </c>
      <c r="O133" s="3070">
        <v>1565147</v>
      </c>
      <c r="P133" s="3070">
        <v>12322.63</v>
      </c>
      <c r="Q133" s="3070">
        <v>1265164</v>
      </c>
      <c r="R133" s="3070" t="s">
        <v>3227</v>
      </c>
      <c r="S133" s="3070" t="s">
        <v>4381</v>
      </c>
      <c r="T133" s="3070" t="s">
        <v>3246</v>
      </c>
      <c r="U133" s="3070" t="s">
        <v>3381</v>
      </c>
      <c r="V133" s="3070" t="s">
        <v>3230</v>
      </c>
      <c r="Y133" s="3070">
        <v>675164</v>
      </c>
      <c r="Z133" s="3070">
        <v>675164</v>
      </c>
      <c r="AA133" s="3070">
        <v>675164</v>
      </c>
      <c r="AB133" s="3070">
        <v>0</v>
      </c>
      <c r="AC133" s="3070">
        <v>590000</v>
      </c>
      <c r="AD133" s="3070">
        <v>590000</v>
      </c>
      <c r="AE133" s="3070">
        <v>0</v>
      </c>
      <c r="AI133" s="3070" t="s">
        <v>3227</v>
      </c>
      <c r="AJ133" s="3070">
        <v>0</v>
      </c>
      <c r="AK133" s="3070">
        <v>0</v>
      </c>
      <c r="AL133" s="3070">
        <v>0</v>
      </c>
      <c r="AM133" s="3070">
        <v>12322.63</v>
      </c>
      <c r="AN133" s="3070">
        <v>1265164</v>
      </c>
      <c r="AP133" s="3070">
        <v>1265164</v>
      </c>
      <c r="AQ133" s="3072">
        <v>45138</v>
      </c>
      <c r="AT133" s="3073">
        <v>45678</v>
      </c>
      <c r="AV133" s="3070" t="s">
        <v>4382</v>
      </c>
      <c r="AW133" s="3070" t="s">
        <v>4383</v>
      </c>
      <c r="AX133" s="3070" t="s">
        <v>4384</v>
      </c>
      <c r="AY133" s="3070" t="s">
        <v>3337</v>
      </c>
      <c r="BC133" s="3070" t="s">
        <v>3284</v>
      </c>
      <c r="BD133" s="3070" t="s">
        <v>3077</v>
      </c>
      <c r="BI133" s="3070" t="s">
        <v>3235</v>
      </c>
      <c r="BJ133" s="3070" t="s">
        <v>3296</v>
      </c>
      <c r="BL133" s="3070" t="s">
        <v>4385</v>
      </c>
      <c r="BM133" s="3070" t="s">
        <v>3841</v>
      </c>
      <c r="BN133" s="3070">
        <v>802</v>
      </c>
      <c r="BO133" s="3070" t="s">
        <v>3253</v>
      </c>
      <c r="BR133" s="3070">
        <v>76</v>
      </c>
      <c r="BS133" s="3070" t="s">
        <v>3238</v>
      </c>
      <c r="BT133" s="3070" t="s">
        <v>3086</v>
      </c>
      <c r="BZ133" s="3073">
        <v>44142.758333333331</v>
      </c>
      <c r="CA133" s="3070">
        <v>10</v>
      </c>
      <c r="CB133" s="3070" t="s">
        <v>3086</v>
      </c>
      <c r="CD133" s="3070" t="s">
        <v>3239</v>
      </c>
      <c r="CF133" s="3070" t="s">
        <v>3091</v>
      </c>
      <c r="CH133" s="3070" t="s">
        <v>3240</v>
      </c>
      <c r="CI133" s="3070">
        <v>0</v>
      </c>
      <c r="CK133" s="3070" t="s">
        <v>3337</v>
      </c>
      <c r="CL133" s="3070" t="s">
        <v>3337</v>
      </c>
      <c r="CM133" s="3070">
        <v>1160700.92</v>
      </c>
      <c r="CV133" s="3070" t="s">
        <v>3246</v>
      </c>
      <c r="CW133" s="3070" t="s">
        <v>4386</v>
      </c>
      <c r="CZ133" s="3070">
        <v>213894.57</v>
      </c>
      <c r="DA133" s="3070">
        <v>159426.93</v>
      </c>
      <c r="DB133" s="3070">
        <v>0</v>
      </c>
      <c r="DC133" s="3070">
        <v>0</v>
      </c>
      <c r="DD133" s="3070">
        <v>3290547602</v>
      </c>
      <c r="DE133" s="3070">
        <v>2764253109</v>
      </c>
      <c r="DF133" s="3070">
        <v>1464966739</v>
      </c>
      <c r="DG133" s="3070">
        <v>14938370</v>
      </c>
      <c r="DH133" s="3070">
        <v>1284348000</v>
      </c>
      <c r="DI133" s="3070">
        <v>1278128000</v>
      </c>
      <c r="DJ133" s="3070">
        <v>6220000</v>
      </c>
      <c r="DK133" s="3070">
        <v>0</v>
      </c>
      <c r="DL133" s="3070">
        <v>0</v>
      </c>
      <c r="DM133" s="3070">
        <v>25491817.620000001</v>
      </c>
      <c r="DN133" s="3070">
        <v>2764253109</v>
      </c>
      <c r="DP133" s="3070">
        <v>2764253109</v>
      </c>
    </row>
    <row r="134" spans="1:120">
      <c r="A134" s="3070">
        <v>133</v>
      </c>
      <c r="B134" s="3070" t="s">
        <v>3224</v>
      </c>
      <c r="C134" s="3070">
        <v>10</v>
      </c>
      <c r="E134" s="3070">
        <v>803</v>
      </c>
      <c r="F134" s="3070" t="s">
        <v>4387</v>
      </c>
      <c r="G134" s="3070" t="s">
        <v>4388</v>
      </c>
      <c r="H134" s="3070">
        <v>1265164</v>
      </c>
      <c r="I134" s="3070">
        <v>1265164</v>
      </c>
      <c r="J134" s="3070">
        <v>102.67</v>
      </c>
      <c r="K134" s="3070">
        <v>74.61</v>
      </c>
      <c r="L134" s="3070">
        <v>0</v>
      </c>
      <c r="M134" s="3070">
        <v>0</v>
      </c>
      <c r="N134" s="3070">
        <v>15244.44</v>
      </c>
      <c r="O134" s="3070">
        <v>1565147</v>
      </c>
      <c r="P134" s="3070">
        <v>12322.63</v>
      </c>
      <c r="Q134" s="3070">
        <v>1265164</v>
      </c>
      <c r="R134" s="3070" t="s">
        <v>3227</v>
      </c>
      <c r="S134" s="3070" t="s">
        <v>4389</v>
      </c>
      <c r="T134" s="3070" t="s">
        <v>3258</v>
      </c>
      <c r="U134" s="3070" t="s">
        <v>3259</v>
      </c>
      <c r="V134" s="3070" t="s">
        <v>3230</v>
      </c>
      <c r="Y134" s="3070">
        <v>385164</v>
      </c>
      <c r="Z134" s="3070">
        <v>385164</v>
      </c>
      <c r="AA134" s="3070">
        <v>385164</v>
      </c>
      <c r="AB134" s="3070">
        <v>0</v>
      </c>
      <c r="AC134" s="3070">
        <v>880000</v>
      </c>
      <c r="AD134" s="3070">
        <v>880000</v>
      </c>
      <c r="AE134" s="3070">
        <v>0</v>
      </c>
      <c r="AI134" s="3070" t="s">
        <v>3227</v>
      </c>
      <c r="AJ134" s="3070">
        <v>0</v>
      </c>
      <c r="AK134" s="3070">
        <v>0</v>
      </c>
      <c r="AL134" s="3070">
        <v>0</v>
      </c>
      <c r="AM134" s="3070">
        <v>12322.63</v>
      </c>
      <c r="AN134" s="3070">
        <v>1265164</v>
      </c>
      <c r="AP134" s="3070">
        <v>1265164</v>
      </c>
      <c r="AQ134" s="3072">
        <v>45138</v>
      </c>
      <c r="AT134" s="3073">
        <v>45678</v>
      </c>
      <c r="AV134" s="3070" t="s">
        <v>4390</v>
      </c>
      <c r="AW134" s="3070" t="s">
        <v>4391</v>
      </c>
      <c r="AX134" s="3070" t="s">
        <v>4392</v>
      </c>
      <c r="AY134" s="3070" t="s">
        <v>3273</v>
      </c>
      <c r="BC134" s="3070" t="s">
        <v>3263</v>
      </c>
      <c r="BD134" s="3070" t="s">
        <v>3077</v>
      </c>
      <c r="BI134" s="3070" t="s">
        <v>3235</v>
      </c>
      <c r="BL134" s="3070" t="s">
        <v>4393</v>
      </c>
      <c r="BM134" s="3070" t="s">
        <v>3841</v>
      </c>
      <c r="BN134" s="3070">
        <v>803</v>
      </c>
      <c r="BO134" s="3070" t="s">
        <v>3253</v>
      </c>
      <c r="BP134" s="3070" t="s">
        <v>3253</v>
      </c>
      <c r="BR134" s="3070">
        <v>213</v>
      </c>
      <c r="BS134" s="3070" t="s">
        <v>3238</v>
      </c>
      <c r="BT134" s="3070" t="s">
        <v>3086</v>
      </c>
      <c r="BZ134" s="3073">
        <v>44142.765277777777</v>
      </c>
      <c r="CA134" s="3070">
        <v>10</v>
      </c>
      <c r="CB134" s="3070" t="s">
        <v>3086</v>
      </c>
      <c r="CD134" s="3070" t="s">
        <v>3239</v>
      </c>
      <c r="CF134" s="3070" t="s">
        <v>3091</v>
      </c>
      <c r="CH134" s="3070" t="s">
        <v>3240</v>
      </c>
      <c r="CI134" s="3070">
        <v>0</v>
      </c>
      <c r="CJ134" s="3070" t="s">
        <v>3259</v>
      </c>
      <c r="CK134" s="3070" t="s">
        <v>3273</v>
      </c>
      <c r="CL134" s="3070" t="s">
        <v>3273</v>
      </c>
      <c r="CM134" s="3070">
        <v>1160700.9099999999</v>
      </c>
      <c r="CV134" s="3070" t="s">
        <v>3258</v>
      </c>
      <c r="CW134" s="3070" t="s">
        <v>4394</v>
      </c>
      <c r="CX134" s="3070" t="s">
        <v>3510</v>
      </c>
      <c r="CZ134" s="3070">
        <v>213894.57</v>
      </c>
      <c r="DA134" s="3070">
        <v>159426.93</v>
      </c>
      <c r="DB134" s="3070">
        <v>0</v>
      </c>
      <c r="DC134" s="3070">
        <v>0</v>
      </c>
      <c r="DD134" s="3070">
        <v>3290547602</v>
      </c>
      <c r="DE134" s="3070">
        <v>2764253109</v>
      </c>
      <c r="DF134" s="3070">
        <v>1464966739</v>
      </c>
      <c r="DG134" s="3070">
        <v>14938370</v>
      </c>
      <c r="DH134" s="3070">
        <v>1284348000</v>
      </c>
      <c r="DI134" s="3070">
        <v>1278128000</v>
      </c>
      <c r="DJ134" s="3070">
        <v>6220000</v>
      </c>
      <c r="DK134" s="3070">
        <v>0</v>
      </c>
      <c r="DL134" s="3070">
        <v>0</v>
      </c>
      <c r="DM134" s="3070">
        <v>25491817.620000001</v>
      </c>
      <c r="DN134" s="3070">
        <v>2764253109</v>
      </c>
      <c r="DP134" s="3070">
        <v>2764253109</v>
      </c>
    </row>
    <row r="135" spans="1:120">
      <c r="A135" s="3070">
        <v>134</v>
      </c>
      <c r="B135" s="3070" t="s">
        <v>3224</v>
      </c>
      <c r="C135" s="3070">
        <v>10</v>
      </c>
      <c r="E135" s="3070">
        <v>804</v>
      </c>
      <c r="F135" s="3070" t="s">
        <v>4395</v>
      </c>
      <c r="G135" s="3070" t="s">
        <v>4396</v>
      </c>
      <c r="H135" s="3070">
        <v>1394187</v>
      </c>
      <c r="I135" s="3070">
        <v>1394187</v>
      </c>
      <c r="J135" s="3070">
        <v>114.02</v>
      </c>
      <c r="K135" s="3070">
        <v>82.85</v>
      </c>
      <c r="L135" s="3070">
        <v>0</v>
      </c>
      <c r="M135" s="3070">
        <v>0</v>
      </c>
      <c r="N135" s="3070">
        <v>15144.44</v>
      </c>
      <c r="O135" s="3070">
        <v>1726769</v>
      </c>
      <c r="P135" s="3070">
        <v>12227.57</v>
      </c>
      <c r="Q135" s="3070">
        <v>1394187</v>
      </c>
      <c r="R135" s="3070" t="s">
        <v>3227</v>
      </c>
      <c r="S135" s="3070" t="s">
        <v>4397</v>
      </c>
      <c r="T135" s="3070" t="s">
        <v>3246</v>
      </c>
      <c r="U135" s="3070" t="s">
        <v>3279</v>
      </c>
      <c r="V135" s="3070" t="s">
        <v>3230</v>
      </c>
      <c r="Y135" s="3070">
        <v>474187</v>
      </c>
      <c r="Z135" s="3070">
        <v>474187</v>
      </c>
      <c r="AA135" s="3070">
        <v>474187</v>
      </c>
      <c r="AB135" s="3070">
        <v>0</v>
      </c>
      <c r="AC135" s="3070">
        <v>920000</v>
      </c>
      <c r="AD135" s="3070">
        <v>920000</v>
      </c>
      <c r="AE135" s="3070">
        <v>0</v>
      </c>
      <c r="AI135" s="3070" t="s">
        <v>3227</v>
      </c>
      <c r="AJ135" s="3070">
        <v>0</v>
      </c>
      <c r="AK135" s="3070">
        <v>0</v>
      </c>
      <c r="AL135" s="3070">
        <v>0</v>
      </c>
      <c r="AM135" s="3070">
        <v>12227.57</v>
      </c>
      <c r="AN135" s="3070">
        <v>1394187</v>
      </c>
      <c r="AP135" s="3070">
        <v>1394187</v>
      </c>
      <c r="AQ135" s="3072">
        <v>45138</v>
      </c>
      <c r="AT135" s="3073">
        <v>45678</v>
      </c>
      <c r="AV135" s="3070" t="s">
        <v>4398</v>
      </c>
      <c r="AW135" s="3070" t="s">
        <v>4399</v>
      </c>
      <c r="AX135" s="3070" t="s">
        <v>4400</v>
      </c>
      <c r="AY135" s="3070" t="s">
        <v>3411</v>
      </c>
      <c r="BC135" s="3070" t="s">
        <v>3284</v>
      </c>
      <c r="BD135" s="3070" t="s">
        <v>3077</v>
      </c>
      <c r="BI135" s="3070" t="s">
        <v>3235</v>
      </c>
      <c r="BL135" s="3070" t="s">
        <v>4401</v>
      </c>
      <c r="BM135" s="3070" t="s">
        <v>3841</v>
      </c>
      <c r="BN135" s="3070">
        <v>804</v>
      </c>
      <c r="BO135" s="3070" t="s">
        <v>3253</v>
      </c>
      <c r="BR135" s="3070">
        <v>786</v>
      </c>
      <c r="BS135" s="3070" t="s">
        <v>3238</v>
      </c>
      <c r="BT135" s="3070" t="s">
        <v>3086</v>
      </c>
      <c r="BZ135" s="3073">
        <v>44142.759027777778</v>
      </c>
      <c r="CA135" s="3070">
        <v>10</v>
      </c>
      <c r="CB135" s="3070" t="s">
        <v>3086</v>
      </c>
      <c r="CD135" s="3070" t="s">
        <v>3239</v>
      </c>
      <c r="CF135" s="3070" t="s">
        <v>3091</v>
      </c>
      <c r="CH135" s="3070" t="s">
        <v>3240</v>
      </c>
      <c r="CI135" s="3070">
        <v>0</v>
      </c>
      <c r="CK135" s="3070" t="s">
        <v>3411</v>
      </c>
      <c r="CL135" s="3070" t="s">
        <v>3411</v>
      </c>
      <c r="CM135" s="3070">
        <v>1279070.6399999999</v>
      </c>
      <c r="CV135" s="3070" t="s">
        <v>3246</v>
      </c>
      <c r="CW135" s="3070" t="s">
        <v>4402</v>
      </c>
      <c r="CX135" s="3070" t="s">
        <v>3267</v>
      </c>
      <c r="CZ135" s="3070">
        <v>213894.57</v>
      </c>
      <c r="DA135" s="3070">
        <v>159426.93</v>
      </c>
      <c r="DB135" s="3070">
        <v>0</v>
      </c>
      <c r="DC135" s="3070">
        <v>0</v>
      </c>
      <c r="DD135" s="3070">
        <v>3290547602</v>
      </c>
      <c r="DE135" s="3070">
        <v>2764253109</v>
      </c>
      <c r="DF135" s="3070">
        <v>1464966739</v>
      </c>
      <c r="DG135" s="3070">
        <v>14938370</v>
      </c>
      <c r="DH135" s="3070">
        <v>1284348000</v>
      </c>
      <c r="DI135" s="3070">
        <v>1278128000</v>
      </c>
      <c r="DJ135" s="3070">
        <v>6220000</v>
      </c>
      <c r="DK135" s="3070">
        <v>0</v>
      </c>
      <c r="DL135" s="3070">
        <v>0</v>
      </c>
      <c r="DM135" s="3070">
        <v>25491817.620000001</v>
      </c>
      <c r="DN135" s="3070">
        <v>2764253109</v>
      </c>
      <c r="DP135" s="3070">
        <v>2764253109</v>
      </c>
    </row>
    <row r="136" spans="1:120">
      <c r="A136" s="3070">
        <v>135</v>
      </c>
      <c r="B136" s="3070" t="s">
        <v>3224</v>
      </c>
      <c r="C136" s="3070">
        <v>10</v>
      </c>
      <c r="E136" s="3070">
        <v>901</v>
      </c>
      <c r="F136" s="3070" t="s">
        <v>4403</v>
      </c>
      <c r="G136" s="3070" t="s">
        <v>4404</v>
      </c>
      <c r="H136" s="3070">
        <v>1405026</v>
      </c>
      <c r="I136" s="3070">
        <v>1405026</v>
      </c>
      <c r="J136" s="3070">
        <v>114.02</v>
      </c>
      <c r="K136" s="3070">
        <v>82.85</v>
      </c>
      <c r="L136" s="3070">
        <v>0</v>
      </c>
      <c r="M136" s="3070">
        <v>0</v>
      </c>
      <c r="N136" s="3070">
        <v>15244.44</v>
      </c>
      <c r="O136" s="3070">
        <v>1738171</v>
      </c>
      <c r="P136" s="3070">
        <v>12322.63</v>
      </c>
      <c r="Q136" s="3070">
        <v>1405026</v>
      </c>
      <c r="R136" s="3070" t="s">
        <v>3227</v>
      </c>
      <c r="S136" s="3070" t="s">
        <v>4405</v>
      </c>
      <c r="T136" s="3070" t="s">
        <v>3246</v>
      </c>
      <c r="U136" s="3070" t="s">
        <v>3247</v>
      </c>
      <c r="V136" s="3070" t="s">
        <v>3230</v>
      </c>
      <c r="Y136" s="3070">
        <v>755026</v>
      </c>
      <c r="Z136" s="3070">
        <v>755026</v>
      </c>
      <c r="AA136" s="3070">
        <v>755026</v>
      </c>
      <c r="AB136" s="3070">
        <v>0</v>
      </c>
      <c r="AC136" s="3070">
        <v>650000</v>
      </c>
      <c r="AD136" s="3070">
        <v>650000</v>
      </c>
      <c r="AE136" s="3070">
        <v>0</v>
      </c>
      <c r="AI136" s="3070" t="s">
        <v>3227</v>
      </c>
      <c r="AJ136" s="3070">
        <v>0</v>
      </c>
      <c r="AK136" s="3070">
        <v>0</v>
      </c>
      <c r="AL136" s="3070">
        <v>0</v>
      </c>
      <c r="AM136" s="3070">
        <v>12322.63</v>
      </c>
      <c r="AN136" s="3070">
        <v>1405026</v>
      </c>
      <c r="AP136" s="3070">
        <v>1405026</v>
      </c>
      <c r="AQ136" s="3072">
        <v>45138</v>
      </c>
      <c r="AT136" s="3073">
        <v>45678</v>
      </c>
      <c r="AV136" s="3074">
        <v>3.43E+17</v>
      </c>
      <c r="AW136" s="3070" t="s">
        <v>4406</v>
      </c>
      <c r="AX136" s="3070" t="s">
        <v>4407</v>
      </c>
      <c r="AY136" s="3070" t="s">
        <v>3318</v>
      </c>
      <c r="BC136" s="3070" t="s">
        <v>3284</v>
      </c>
      <c r="BD136" s="3070" t="s">
        <v>3077</v>
      </c>
      <c r="BI136" s="3070" t="s">
        <v>3235</v>
      </c>
      <c r="BL136" s="3070" t="s">
        <v>4408</v>
      </c>
      <c r="BM136" s="3070" t="s">
        <v>3841</v>
      </c>
      <c r="BN136" s="3070">
        <v>901</v>
      </c>
      <c r="BO136" s="3070" t="s">
        <v>3253</v>
      </c>
      <c r="BR136" s="3070">
        <v>883</v>
      </c>
      <c r="BS136" s="3070" t="s">
        <v>3238</v>
      </c>
      <c r="BT136" s="3070" t="s">
        <v>3086</v>
      </c>
      <c r="BZ136" s="3073">
        <v>44142.645833333336</v>
      </c>
      <c r="CA136" s="3070">
        <v>10</v>
      </c>
      <c r="CB136" s="3070" t="s">
        <v>3086</v>
      </c>
      <c r="CD136" s="3070" t="s">
        <v>3239</v>
      </c>
      <c r="CF136" s="3070" t="s">
        <v>3091</v>
      </c>
      <c r="CH136" s="3070" t="s">
        <v>3240</v>
      </c>
      <c r="CI136" s="3070">
        <v>0</v>
      </c>
      <c r="CK136" s="3070" t="s">
        <v>3318</v>
      </c>
      <c r="CL136" s="3070" t="s">
        <v>3318</v>
      </c>
      <c r="CM136" s="3070">
        <v>1289014.68</v>
      </c>
      <c r="CV136" s="3070" t="s">
        <v>3246</v>
      </c>
      <c r="CW136" s="3070" t="s">
        <v>4409</v>
      </c>
      <c r="CX136" s="3070" t="s">
        <v>3510</v>
      </c>
      <c r="CZ136" s="3070">
        <v>213894.57</v>
      </c>
      <c r="DA136" s="3070">
        <v>159426.93</v>
      </c>
      <c r="DB136" s="3070">
        <v>0</v>
      </c>
      <c r="DC136" s="3070">
        <v>0</v>
      </c>
      <c r="DD136" s="3070">
        <v>3290547602</v>
      </c>
      <c r="DE136" s="3070">
        <v>2764253109</v>
      </c>
      <c r="DF136" s="3070">
        <v>1464966739</v>
      </c>
      <c r="DG136" s="3070">
        <v>14938370</v>
      </c>
      <c r="DH136" s="3070">
        <v>1284348000</v>
      </c>
      <c r="DI136" s="3070">
        <v>1278128000</v>
      </c>
      <c r="DJ136" s="3070">
        <v>6220000</v>
      </c>
      <c r="DK136" s="3070">
        <v>0</v>
      </c>
      <c r="DL136" s="3070">
        <v>0</v>
      </c>
      <c r="DM136" s="3070">
        <v>25491817.620000001</v>
      </c>
      <c r="DN136" s="3070">
        <v>2764253109</v>
      </c>
      <c r="DP136" s="3070">
        <v>2764253109</v>
      </c>
    </row>
    <row r="137" spans="1:120">
      <c r="A137" s="3070">
        <v>136</v>
      </c>
      <c r="B137" s="3070" t="s">
        <v>3224</v>
      </c>
      <c r="C137" s="3070">
        <v>10</v>
      </c>
      <c r="E137" s="3070">
        <v>902</v>
      </c>
      <c r="F137" s="3070" t="s">
        <v>4410</v>
      </c>
      <c r="G137" s="3070" t="s">
        <v>4411</v>
      </c>
      <c r="H137" s="3070">
        <v>1270044</v>
      </c>
      <c r="I137" s="3070">
        <v>1270044</v>
      </c>
      <c r="J137" s="3070">
        <v>102.67</v>
      </c>
      <c r="K137" s="3070">
        <v>74.61</v>
      </c>
      <c r="L137" s="3070">
        <v>0</v>
      </c>
      <c r="M137" s="3070">
        <v>0</v>
      </c>
      <c r="N137" s="3070">
        <v>15294.44</v>
      </c>
      <c r="O137" s="3070">
        <v>1570280</v>
      </c>
      <c r="P137" s="3070">
        <v>12370.16</v>
      </c>
      <c r="Q137" s="3070">
        <v>1270044</v>
      </c>
      <c r="R137" s="3070" t="s">
        <v>3227</v>
      </c>
      <c r="S137" s="3070" t="s">
        <v>4412</v>
      </c>
      <c r="T137" s="3070" t="s">
        <v>3258</v>
      </c>
      <c r="U137" s="3070" t="s">
        <v>3259</v>
      </c>
      <c r="V137" s="3070" t="s">
        <v>3230</v>
      </c>
      <c r="Y137" s="3070">
        <v>400044</v>
      </c>
      <c r="Z137" s="3070">
        <v>400044</v>
      </c>
      <c r="AA137" s="3070">
        <v>400044</v>
      </c>
      <c r="AB137" s="3070">
        <v>0</v>
      </c>
      <c r="AC137" s="3070">
        <v>870000</v>
      </c>
      <c r="AD137" s="3070">
        <v>870000</v>
      </c>
      <c r="AE137" s="3070">
        <v>0</v>
      </c>
      <c r="AI137" s="3070" t="s">
        <v>3227</v>
      </c>
      <c r="AJ137" s="3070">
        <v>0</v>
      </c>
      <c r="AK137" s="3070">
        <v>0</v>
      </c>
      <c r="AL137" s="3070">
        <v>0</v>
      </c>
      <c r="AM137" s="3070">
        <v>12370.16</v>
      </c>
      <c r="AN137" s="3070">
        <v>1270044</v>
      </c>
      <c r="AP137" s="3070">
        <v>1270044</v>
      </c>
      <c r="AQ137" s="3072">
        <v>45138</v>
      </c>
      <c r="AT137" s="3073">
        <v>45678</v>
      </c>
      <c r="AV137" s="3070" t="s">
        <v>4413</v>
      </c>
      <c r="AW137" s="3070" t="s">
        <v>4414</v>
      </c>
      <c r="AX137" s="3070" t="s">
        <v>4415</v>
      </c>
      <c r="AY137" s="3070" t="s">
        <v>3419</v>
      </c>
      <c r="BC137" s="3070" t="s">
        <v>3263</v>
      </c>
      <c r="BD137" s="3070" t="s">
        <v>3077</v>
      </c>
      <c r="BI137" s="3070" t="s">
        <v>3235</v>
      </c>
      <c r="BJ137" s="3070" t="s">
        <v>3296</v>
      </c>
      <c r="BL137" s="3070" t="s">
        <v>4416</v>
      </c>
      <c r="BM137" s="3070" t="s">
        <v>3841</v>
      </c>
      <c r="BN137" s="3070">
        <v>902</v>
      </c>
      <c r="BO137" s="3070" t="s">
        <v>3253</v>
      </c>
      <c r="BP137" s="3070" t="s">
        <v>3253</v>
      </c>
      <c r="BR137" s="3070">
        <v>573</v>
      </c>
      <c r="BS137" s="3070" t="s">
        <v>3238</v>
      </c>
      <c r="BT137" s="3070" t="s">
        <v>3086</v>
      </c>
      <c r="BZ137" s="3073">
        <v>44142.688194444447</v>
      </c>
      <c r="CA137" s="3070">
        <v>10</v>
      </c>
      <c r="CB137" s="3070" t="s">
        <v>3086</v>
      </c>
      <c r="CD137" s="3070" t="s">
        <v>3239</v>
      </c>
      <c r="CF137" s="3070" t="s">
        <v>3091</v>
      </c>
      <c r="CH137" s="3070" t="s">
        <v>3240</v>
      </c>
      <c r="CI137" s="3070">
        <v>0</v>
      </c>
      <c r="CJ137" s="3070" t="s">
        <v>3259</v>
      </c>
      <c r="CK137" s="3070" t="s">
        <v>3419</v>
      </c>
      <c r="CL137" s="3070" t="s">
        <v>3419</v>
      </c>
      <c r="CM137" s="3070">
        <v>1165177.98</v>
      </c>
      <c r="CV137" s="3070" t="s">
        <v>3258</v>
      </c>
      <c r="CW137" s="3070" t="s">
        <v>4417</v>
      </c>
      <c r="CX137" s="3070" t="s">
        <v>3242</v>
      </c>
      <c r="CZ137" s="3070">
        <v>213894.57</v>
      </c>
      <c r="DA137" s="3070">
        <v>159426.93</v>
      </c>
      <c r="DB137" s="3070">
        <v>0</v>
      </c>
      <c r="DC137" s="3070">
        <v>0</v>
      </c>
      <c r="DD137" s="3070">
        <v>3290547602</v>
      </c>
      <c r="DE137" s="3070">
        <v>2764253109</v>
      </c>
      <c r="DF137" s="3070">
        <v>1464966739</v>
      </c>
      <c r="DG137" s="3070">
        <v>14938370</v>
      </c>
      <c r="DH137" s="3070">
        <v>1284348000</v>
      </c>
      <c r="DI137" s="3070">
        <v>1278128000</v>
      </c>
      <c r="DJ137" s="3070">
        <v>6220000</v>
      </c>
      <c r="DK137" s="3070">
        <v>0</v>
      </c>
      <c r="DL137" s="3070">
        <v>0</v>
      </c>
      <c r="DM137" s="3070">
        <v>25491817.620000001</v>
      </c>
      <c r="DN137" s="3070">
        <v>2764253109</v>
      </c>
      <c r="DP137" s="3070">
        <v>2764253109</v>
      </c>
    </row>
    <row r="138" spans="1:120">
      <c r="A138" s="3070">
        <v>137</v>
      </c>
      <c r="B138" s="3070" t="s">
        <v>3224</v>
      </c>
      <c r="C138" s="3070">
        <v>10</v>
      </c>
      <c r="E138" s="3070">
        <v>903</v>
      </c>
      <c r="F138" s="3070" t="s">
        <v>4418</v>
      </c>
      <c r="G138" s="3070" t="s">
        <v>4419</v>
      </c>
      <c r="H138" s="3070">
        <v>1270044</v>
      </c>
      <c r="I138" s="3070">
        <v>1270044</v>
      </c>
      <c r="J138" s="3070">
        <v>102.67</v>
      </c>
      <c r="K138" s="3070">
        <v>74.61</v>
      </c>
      <c r="L138" s="3070">
        <v>0</v>
      </c>
      <c r="M138" s="3070">
        <v>0</v>
      </c>
      <c r="N138" s="3070">
        <v>15294.44</v>
      </c>
      <c r="O138" s="3070">
        <v>1570280</v>
      </c>
      <c r="P138" s="3070">
        <v>12370.16</v>
      </c>
      <c r="Q138" s="3070">
        <v>1270044</v>
      </c>
      <c r="R138" s="3070" t="s">
        <v>3227</v>
      </c>
      <c r="S138" s="3070" t="s">
        <v>4420</v>
      </c>
      <c r="T138" s="3070" t="s">
        <v>3246</v>
      </c>
      <c r="U138" s="3070" t="s">
        <v>3381</v>
      </c>
      <c r="V138" s="3070" t="s">
        <v>3230</v>
      </c>
      <c r="Y138" s="3070">
        <v>390044</v>
      </c>
      <c r="Z138" s="3070">
        <v>390044</v>
      </c>
      <c r="AA138" s="3070">
        <v>390044</v>
      </c>
      <c r="AB138" s="3070">
        <v>0</v>
      </c>
      <c r="AC138" s="3070">
        <v>880000</v>
      </c>
      <c r="AD138" s="3070">
        <v>880000</v>
      </c>
      <c r="AE138" s="3070">
        <v>0</v>
      </c>
      <c r="AI138" s="3070" t="s">
        <v>3227</v>
      </c>
      <c r="AJ138" s="3070">
        <v>0</v>
      </c>
      <c r="AK138" s="3070">
        <v>0</v>
      </c>
      <c r="AL138" s="3070">
        <v>0</v>
      </c>
      <c r="AM138" s="3070">
        <v>12370.16</v>
      </c>
      <c r="AN138" s="3070">
        <v>1270044</v>
      </c>
      <c r="AP138" s="3070">
        <v>1270044</v>
      </c>
      <c r="AQ138" s="3072">
        <v>45138</v>
      </c>
      <c r="AT138" s="3073">
        <v>45678</v>
      </c>
      <c r="AV138" s="3074">
        <v>3.21E+17</v>
      </c>
      <c r="AW138" s="3070" t="s">
        <v>4421</v>
      </c>
      <c r="AX138" s="3070" t="s">
        <v>4422</v>
      </c>
      <c r="AY138" s="3070" t="s">
        <v>3648</v>
      </c>
      <c r="BC138" s="3070" t="s">
        <v>3251</v>
      </c>
      <c r="BD138" s="3070" t="s">
        <v>3077</v>
      </c>
      <c r="BI138" s="3070" t="s">
        <v>3235</v>
      </c>
      <c r="BJ138" s="3070" t="s">
        <v>3236</v>
      </c>
      <c r="BL138" s="3070" t="s">
        <v>4423</v>
      </c>
      <c r="BM138" s="3070" t="s">
        <v>3841</v>
      </c>
      <c r="BN138" s="3070">
        <v>903</v>
      </c>
      <c r="BO138" s="3070" t="s">
        <v>3253</v>
      </c>
      <c r="BR138" s="3070">
        <v>490</v>
      </c>
      <c r="BS138" s="3070" t="s">
        <v>3238</v>
      </c>
      <c r="BT138" s="3070" t="s">
        <v>3086</v>
      </c>
      <c r="BZ138" s="3073">
        <v>44142.954861111109</v>
      </c>
      <c r="CA138" s="3070">
        <v>10</v>
      </c>
      <c r="CB138" s="3070" t="s">
        <v>3086</v>
      </c>
      <c r="CD138" s="3070" t="s">
        <v>3239</v>
      </c>
      <c r="CF138" s="3070" t="s">
        <v>3091</v>
      </c>
      <c r="CH138" s="3070" t="s">
        <v>3240</v>
      </c>
      <c r="CI138" s="3070">
        <v>0</v>
      </c>
      <c r="CK138" s="3070" t="s">
        <v>3648</v>
      </c>
      <c r="CL138" s="3070" t="s">
        <v>3648</v>
      </c>
      <c r="CM138" s="3070">
        <v>1165177.98</v>
      </c>
      <c r="CV138" s="3070" t="s">
        <v>3246</v>
      </c>
      <c r="CW138" s="3070" t="s">
        <v>4424</v>
      </c>
      <c r="CX138" s="3070" t="s">
        <v>3267</v>
      </c>
      <c r="CZ138" s="3070">
        <v>213894.57</v>
      </c>
      <c r="DA138" s="3070">
        <v>159426.93</v>
      </c>
      <c r="DB138" s="3070">
        <v>0</v>
      </c>
      <c r="DC138" s="3070">
        <v>0</v>
      </c>
      <c r="DD138" s="3070">
        <v>3290547602</v>
      </c>
      <c r="DE138" s="3070">
        <v>2764253109</v>
      </c>
      <c r="DF138" s="3070">
        <v>1464966739</v>
      </c>
      <c r="DG138" s="3070">
        <v>14938370</v>
      </c>
      <c r="DH138" s="3070">
        <v>1284348000</v>
      </c>
      <c r="DI138" s="3070">
        <v>1278128000</v>
      </c>
      <c r="DJ138" s="3070">
        <v>6220000</v>
      </c>
      <c r="DK138" s="3070">
        <v>0</v>
      </c>
      <c r="DL138" s="3070">
        <v>0</v>
      </c>
      <c r="DM138" s="3070">
        <v>25491817.620000001</v>
      </c>
      <c r="DN138" s="3070">
        <v>2764253109</v>
      </c>
      <c r="DP138" s="3070">
        <v>2764253109</v>
      </c>
    </row>
    <row r="139" spans="1:120">
      <c r="A139" s="3070">
        <v>138</v>
      </c>
      <c r="B139" s="3070" t="s">
        <v>3224</v>
      </c>
      <c r="C139" s="3070">
        <v>10</v>
      </c>
      <c r="E139" s="3070">
        <v>904</v>
      </c>
      <c r="F139" s="3070" t="s">
        <v>4425</v>
      </c>
      <c r="G139" s="3070" t="s">
        <v>4426</v>
      </c>
      <c r="H139" s="3070">
        <v>1471683</v>
      </c>
      <c r="I139" s="3070">
        <v>1471683</v>
      </c>
      <c r="J139" s="3070">
        <v>114.02</v>
      </c>
      <c r="K139" s="3070">
        <v>82.85</v>
      </c>
      <c r="L139" s="3070">
        <v>0</v>
      </c>
      <c r="M139" s="3070">
        <v>0</v>
      </c>
      <c r="N139" s="3070">
        <v>15194.44</v>
      </c>
      <c r="O139" s="3070">
        <v>1732470</v>
      </c>
      <c r="P139" s="3070">
        <v>12907.24</v>
      </c>
      <c r="Q139" s="3070">
        <v>1471683</v>
      </c>
      <c r="R139" s="3070" t="s">
        <v>3227</v>
      </c>
      <c r="S139" s="3070" t="s">
        <v>4427</v>
      </c>
      <c r="T139" s="3070" t="s">
        <v>3246</v>
      </c>
      <c r="U139" s="3070" t="s">
        <v>3279</v>
      </c>
      <c r="V139" s="3070" t="s">
        <v>3230</v>
      </c>
      <c r="Y139" s="3070">
        <v>441683</v>
      </c>
      <c r="Z139" s="3070">
        <v>441683</v>
      </c>
      <c r="AA139" s="3070">
        <v>441683</v>
      </c>
      <c r="AB139" s="3070">
        <v>0</v>
      </c>
      <c r="AC139" s="3070">
        <v>1030000</v>
      </c>
      <c r="AD139" s="3070">
        <v>1030000</v>
      </c>
      <c r="AE139" s="3070">
        <v>0</v>
      </c>
      <c r="AI139" s="3070" t="s">
        <v>3227</v>
      </c>
      <c r="AJ139" s="3070">
        <v>0</v>
      </c>
      <c r="AK139" s="3070">
        <v>0</v>
      </c>
      <c r="AL139" s="3070">
        <v>0</v>
      </c>
      <c r="AM139" s="3070">
        <v>12907.24</v>
      </c>
      <c r="AN139" s="3070">
        <v>1471683</v>
      </c>
      <c r="AP139" s="3070">
        <v>1471683</v>
      </c>
      <c r="AQ139" s="3072">
        <v>45138</v>
      </c>
      <c r="AT139" s="3073">
        <v>45678</v>
      </c>
      <c r="AV139" s="3074">
        <v>3.21E+17</v>
      </c>
      <c r="AW139" s="3070" t="s">
        <v>4428</v>
      </c>
      <c r="AX139" s="3070" t="s">
        <v>4429</v>
      </c>
      <c r="AY139" s="3070" t="s">
        <v>3607</v>
      </c>
      <c r="BC139" s="3070" t="s">
        <v>4430</v>
      </c>
      <c r="BD139" s="3070" t="s">
        <v>3077</v>
      </c>
      <c r="BI139" s="3070" t="s">
        <v>3235</v>
      </c>
      <c r="BJ139" s="3070" t="s">
        <v>3296</v>
      </c>
      <c r="BL139" s="3070" t="s">
        <v>4431</v>
      </c>
      <c r="BM139" s="3070" t="s">
        <v>3841</v>
      </c>
      <c r="BN139" s="3070">
        <v>904</v>
      </c>
      <c r="BO139" s="3070" t="s">
        <v>3253</v>
      </c>
      <c r="BR139" s="3070">
        <v>0</v>
      </c>
      <c r="BS139" s="3070" t="s">
        <v>3238</v>
      </c>
      <c r="BT139" s="3070" t="s">
        <v>3086</v>
      </c>
      <c r="BZ139" s="3073">
        <v>44166.865277777775</v>
      </c>
      <c r="CA139" s="3070">
        <v>10</v>
      </c>
      <c r="CB139" s="3070" t="s">
        <v>3086</v>
      </c>
      <c r="CD139" s="3070" t="s">
        <v>3239</v>
      </c>
      <c r="CF139" s="3070" t="s">
        <v>3091</v>
      </c>
      <c r="CH139" s="3070" t="s">
        <v>3240</v>
      </c>
      <c r="CI139" s="3070">
        <v>0</v>
      </c>
      <c r="CK139" s="3070" t="s">
        <v>3607</v>
      </c>
      <c r="CL139" s="3070" t="s">
        <v>3607</v>
      </c>
      <c r="CM139" s="3070">
        <v>1350167.89</v>
      </c>
      <c r="CV139" s="3070" t="s">
        <v>3246</v>
      </c>
      <c r="CW139" s="3070" t="s">
        <v>4432</v>
      </c>
      <c r="CX139" s="3070" t="s">
        <v>3510</v>
      </c>
      <c r="CZ139" s="3070">
        <v>213894.57</v>
      </c>
      <c r="DA139" s="3070">
        <v>159426.93</v>
      </c>
      <c r="DB139" s="3070">
        <v>0</v>
      </c>
      <c r="DC139" s="3070">
        <v>0</v>
      </c>
      <c r="DD139" s="3070">
        <v>3290547602</v>
      </c>
      <c r="DE139" s="3070">
        <v>2764253109</v>
      </c>
      <c r="DF139" s="3070">
        <v>1464966739</v>
      </c>
      <c r="DG139" s="3070">
        <v>14938370</v>
      </c>
      <c r="DH139" s="3070">
        <v>1284348000</v>
      </c>
      <c r="DI139" s="3070">
        <v>1278128000</v>
      </c>
      <c r="DJ139" s="3070">
        <v>6220000</v>
      </c>
      <c r="DK139" s="3070">
        <v>0</v>
      </c>
      <c r="DL139" s="3070">
        <v>0</v>
      </c>
      <c r="DM139" s="3070">
        <v>25491817.620000001</v>
      </c>
      <c r="DN139" s="3070">
        <v>2764253109</v>
      </c>
      <c r="DP139" s="3070">
        <v>2764253109</v>
      </c>
    </row>
    <row r="140" spans="1:120">
      <c r="A140" s="3070">
        <v>139</v>
      </c>
      <c r="B140" s="3070" t="s">
        <v>3224</v>
      </c>
      <c r="C140" s="3070">
        <v>12</v>
      </c>
      <c r="E140" s="3070">
        <v>1001</v>
      </c>
      <c r="F140" s="3070" t="s">
        <v>4433</v>
      </c>
      <c r="G140" s="3070" t="s">
        <v>4434</v>
      </c>
      <c r="H140" s="3070">
        <v>1510115</v>
      </c>
      <c r="I140" s="3070">
        <v>1510115</v>
      </c>
      <c r="J140" s="3070">
        <v>121.61</v>
      </c>
      <c r="K140" s="3070">
        <v>90.43</v>
      </c>
      <c r="L140" s="3070">
        <v>0</v>
      </c>
      <c r="M140" s="3070">
        <v>0</v>
      </c>
      <c r="N140" s="3070">
        <v>15344.44</v>
      </c>
      <c r="O140" s="3070">
        <v>1866037</v>
      </c>
      <c r="P140" s="3070">
        <v>12417.69</v>
      </c>
      <c r="Q140" s="3070">
        <v>1510115</v>
      </c>
      <c r="R140" s="3070" t="s">
        <v>3227</v>
      </c>
      <c r="S140" s="3070" t="s">
        <v>4435</v>
      </c>
      <c r="T140" s="3070" t="s">
        <v>3246</v>
      </c>
      <c r="U140" s="3070" t="s">
        <v>3247</v>
      </c>
      <c r="V140" s="3070" t="s">
        <v>3230</v>
      </c>
      <c r="Y140" s="3070">
        <v>460115</v>
      </c>
      <c r="Z140" s="3070">
        <v>460115</v>
      </c>
      <c r="AA140" s="3070">
        <v>460115</v>
      </c>
      <c r="AB140" s="3070">
        <v>0</v>
      </c>
      <c r="AC140" s="3070">
        <v>1050000</v>
      </c>
      <c r="AD140" s="3070">
        <v>1050000</v>
      </c>
      <c r="AE140" s="3070">
        <v>0</v>
      </c>
      <c r="AI140" s="3070" t="s">
        <v>3227</v>
      </c>
      <c r="AJ140" s="3070">
        <v>0</v>
      </c>
      <c r="AK140" s="3070">
        <v>0</v>
      </c>
      <c r="AL140" s="3070">
        <v>0</v>
      </c>
      <c r="AM140" s="3070">
        <v>12417.69</v>
      </c>
      <c r="AN140" s="3070">
        <v>1510115</v>
      </c>
      <c r="AP140" s="3070">
        <v>1510115</v>
      </c>
      <c r="AQ140" s="3072">
        <v>45230</v>
      </c>
      <c r="AT140" s="3073">
        <v>45770</v>
      </c>
      <c r="AV140" s="3074">
        <v>3.21E+17</v>
      </c>
      <c r="AW140" s="3070" t="s">
        <v>4436</v>
      </c>
      <c r="AX140" s="3070" t="s">
        <v>4437</v>
      </c>
      <c r="AY140" s="3070" t="s">
        <v>3597</v>
      </c>
      <c r="BC140" s="3070" t="s">
        <v>3284</v>
      </c>
      <c r="BD140" s="3070" t="s">
        <v>3075</v>
      </c>
      <c r="BI140" s="3070" t="s">
        <v>3235</v>
      </c>
      <c r="BJ140" s="3070" t="s">
        <v>3338</v>
      </c>
      <c r="BL140" s="3070" t="s">
        <v>4438</v>
      </c>
      <c r="BM140" s="3070" t="s">
        <v>4439</v>
      </c>
      <c r="BN140" s="3070">
        <v>100</v>
      </c>
      <c r="BO140" s="3070" t="s">
        <v>3253</v>
      </c>
      <c r="BR140" s="3070">
        <v>287</v>
      </c>
      <c r="BS140" s="3070" t="s">
        <v>3238</v>
      </c>
      <c r="BZ140" s="3073">
        <v>44142.599305555559</v>
      </c>
      <c r="CA140" s="3070">
        <v>12</v>
      </c>
      <c r="CD140" s="3070" t="s">
        <v>3239</v>
      </c>
      <c r="CF140" s="3070" t="s">
        <v>3091</v>
      </c>
      <c r="CH140" s="3070" t="s">
        <v>3240</v>
      </c>
      <c r="CI140" s="3070">
        <v>0</v>
      </c>
      <c r="CK140" s="3070" t="s">
        <v>3597</v>
      </c>
      <c r="CL140" s="3070" t="s">
        <v>3597</v>
      </c>
      <c r="CM140" s="3070">
        <v>1385426.61</v>
      </c>
      <c r="CV140" s="3070" t="s">
        <v>3246</v>
      </c>
      <c r="CW140" s="3070" t="s">
        <v>4440</v>
      </c>
      <c r="CZ140" s="3070">
        <v>213894.57</v>
      </c>
      <c r="DA140" s="3070">
        <v>159426.93</v>
      </c>
      <c r="DB140" s="3070">
        <v>0</v>
      </c>
      <c r="DC140" s="3070">
        <v>0</v>
      </c>
      <c r="DD140" s="3070">
        <v>3290547602</v>
      </c>
      <c r="DE140" s="3070">
        <v>2764253109</v>
      </c>
      <c r="DF140" s="3070">
        <v>1464966739</v>
      </c>
      <c r="DG140" s="3070">
        <v>14938370</v>
      </c>
      <c r="DH140" s="3070">
        <v>1284348000</v>
      </c>
      <c r="DI140" s="3070">
        <v>1278128000</v>
      </c>
      <c r="DJ140" s="3070">
        <v>6220000</v>
      </c>
      <c r="DK140" s="3070">
        <v>0</v>
      </c>
      <c r="DL140" s="3070">
        <v>0</v>
      </c>
      <c r="DM140" s="3070">
        <v>25491817.620000001</v>
      </c>
      <c r="DN140" s="3070">
        <v>2764253109</v>
      </c>
      <c r="DP140" s="3070">
        <v>2764253109</v>
      </c>
    </row>
    <row r="141" spans="1:120">
      <c r="A141" s="3070">
        <v>140</v>
      </c>
      <c r="B141" s="3070" t="s">
        <v>3224</v>
      </c>
      <c r="C141" s="3070">
        <v>12</v>
      </c>
      <c r="E141" s="3070">
        <v>1002</v>
      </c>
      <c r="F141" s="3070" t="s">
        <v>4441</v>
      </c>
      <c r="G141" s="3070" t="s">
        <v>4442</v>
      </c>
      <c r="H141" s="3070">
        <v>1269669</v>
      </c>
      <c r="I141" s="3070">
        <v>1269669</v>
      </c>
      <c r="J141" s="3070">
        <v>101.47</v>
      </c>
      <c r="K141" s="3070">
        <v>75.45</v>
      </c>
      <c r="L141" s="3070">
        <v>0</v>
      </c>
      <c r="M141" s="3070">
        <v>0</v>
      </c>
      <c r="N141" s="3070">
        <v>15444.44</v>
      </c>
      <c r="O141" s="3070">
        <v>1567147</v>
      </c>
      <c r="P141" s="3070">
        <v>12512.75</v>
      </c>
      <c r="Q141" s="3070">
        <v>1269669</v>
      </c>
      <c r="R141" s="3070" t="s">
        <v>3227</v>
      </c>
      <c r="S141" s="3070" t="s">
        <v>4443</v>
      </c>
      <c r="T141" s="3070" t="s">
        <v>3258</v>
      </c>
      <c r="U141" s="3070" t="s">
        <v>3259</v>
      </c>
      <c r="V141" s="3070" t="s">
        <v>3230</v>
      </c>
      <c r="Y141" s="3070">
        <v>389669</v>
      </c>
      <c r="Z141" s="3070">
        <v>389669</v>
      </c>
      <c r="AA141" s="3070">
        <v>389669</v>
      </c>
      <c r="AB141" s="3070">
        <v>0</v>
      </c>
      <c r="AC141" s="3070">
        <v>880000</v>
      </c>
      <c r="AD141" s="3070">
        <v>880000</v>
      </c>
      <c r="AE141" s="3070">
        <v>0</v>
      </c>
      <c r="AI141" s="3070" t="s">
        <v>3227</v>
      </c>
      <c r="AJ141" s="3070">
        <v>0</v>
      </c>
      <c r="AK141" s="3070">
        <v>0</v>
      </c>
      <c r="AL141" s="3070">
        <v>0</v>
      </c>
      <c r="AM141" s="3070">
        <v>12512.75</v>
      </c>
      <c r="AN141" s="3070">
        <v>1269669</v>
      </c>
      <c r="AP141" s="3070">
        <v>1269669</v>
      </c>
      <c r="AQ141" s="3072">
        <v>45230</v>
      </c>
      <c r="AT141" s="3073">
        <v>45770</v>
      </c>
      <c r="AV141" s="3070" t="s">
        <v>4444</v>
      </c>
      <c r="AW141" s="3070" t="s">
        <v>4445</v>
      </c>
      <c r="AX141" s="3070" t="s">
        <v>4446</v>
      </c>
      <c r="AY141" s="3070" t="s">
        <v>3419</v>
      </c>
      <c r="BC141" s="3070" t="s">
        <v>3263</v>
      </c>
      <c r="BD141" s="3070" t="s">
        <v>3077</v>
      </c>
      <c r="BI141" s="3070" t="s">
        <v>3235</v>
      </c>
      <c r="BJ141" s="3070" t="s">
        <v>3338</v>
      </c>
      <c r="BL141" s="3070" t="s">
        <v>4447</v>
      </c>
      <c r="BM141" s="3070" t="s">
        <v>4439</v>
      </c>
      <c r="BN141" s="3070">
        <v>100</v>
      </c>
      <c r="BO141" s="3070" t="s">
        <v>3253</v>
      </c>
      <c r="BP141" s="3070" t="s">
        <v>3253</v>
      </c>
      <c r="BR141" s="3070">
        <v>121</v>
      </c>
      <c r="BS141" s="3070" t="s">
        <v>3238</v>
      </c>
      <c r="BZ141" s="3073">
        <v>44145.577777777777</v>
      </c>
      <c r="CA141" s="3070">
        <v>12</v>
      </c>
      <c r="CD141" s="3070" t="s">
        <v>3239</v>
      </c>
      <c r="CF141" s="3070" t="s">
        <v>3091</v>
      </c>
      <c r="CH141" s="3070" t="s">
        <v>3240</v>
      </c>
      <c r="CI141" s="3070">
        <v>0</v>
      </c>
      <c r="CJ141" s="3070" t="s">
        <v>3259</v>
      </c>
      <c r="CK141" s="3070" t="s">
        <v>3419</v>
      </c>
      <c r="CL141" s="3070" t="s">
        <v>3419</v>
      </c>
      <c r="CM141" s="3070">
        <v>1164833.94</v>
      </c>
      <c r="CV141" s="3070" t="s">
        <v>3258</v>
      </c>
      <c r="CW141" s="3070" t="s">
        <v>4448</v>
      </c>
      <c r="CZ141" s="3070">
        <v>213894.57</v>
      </c>
      <c r="DA141" s="3070">
        <v>159426.93</v>
      </c>
      <c r="DB141" s="3070">
        <v>0</v>
      </c>
      <c r="DC141" s="3070">
        <v>0</v>
      </c>
      <c r="DD141" s="3070">
        <v>3290547602</v>
      </c>
      <c r="DE141" s="3070">
        <v>2764253109</v>
      </c>
      <c r="DF141" s="3070">
        <v>1464966739</v>
      </c>
      <c r="DG141" s="3070">
        <v>14938370</v>
      </c>
      <c r="DH141" s="3070">
        <v>1284348000</v>
      </c>
      <c r="DI141" s="3070">
        <v>1278128000</v>
      </c>
      <c r="DJ141" s="3070">
        <v>6220000</v>
      </c>
      <c r="DK141" s="3070">
        <v>0</v>
      </c>
      <c r="DL141" s="3070">
        <v>0</v>
      </c>
      <c r="DM141" s="3070">
        <v>25491817.620000001</v>
      </c>
      <c r="DN141" s="3070">
        <v>2764253109</v>
      </c>
      <c r="DP141" s="3070">
        <v>2764253109</v>
      </c>
    </row>
    <row r="142" spans="1:120">
      <c r="A142" s="3070">
        <v>141</v>
      </c>
      <c r="B142" s="3070" t="s">
        <v>3224</v>
      </c>
      <c r="C142" s="3070">
        <v>12</v>
      </c>
      <c r="E142" s="3070">
        <v>1003</v>
      </c>
      <c r="F142" s="3070" t="s">
        <v>4449</v>
      </c>
      <c r="G142" s="3070" t="s">
        <v>4450</v>
      </c>
      <c r="H142" s="3070">
        <v>1269669</v>
      </c>
      <c r="I142" s="3070">
        <v>1269669</v>
      </c>
      <c r="J142" s="3070">
        <v>101.47</v>
      </c>
      <c r="K142" s="3070">
        <v>75.45</v>
      </c>
      <c r="L142" s="3070">
        <v>0</v>
      </c>
      <c r="M142" s="3070">
        <v>0</v>
      </c>
      <c r="N142" s="3070">
        <v>15444.44</v>
      </c>
      <c r="O142" s="3070">
        <v>1567147</v>
      </c>
      <c r="P142" s="3070">
        <v>12512.75</v>
      </c>
      <c r="Q142" s="3070">
        <v>1269669</v>
      </c>
      <c r="R142" s="3070" t="s">
        <v>3227</v>
      </c>
      <c r="S142" s="3070" t="s">
        <v>4451</v>
      </c>
      <c r="T142" s="3070" t="s">
        <v>3258</v>
      </c>
      <c r="U142" s="3070" t="s">
        <v>3259</v>
      </c>
      <c r="V142" s="3070" t="s">
        <v>3230</v>
      </c>
      <c r="Y142" s="3070">
        <v>419669</v>
      </c>
      <c r="Z142" s="3070">
        <v>419669</v>
      </c>
      <c r="AA142" s="3070">
        <v>419669</v>
      </c>
      <c r="AB142" s="3070">
        <v>0</v>
      </c>
      <c r="AC142" s="3070">
        <v>850000</v>
      </c>
      <c r="AD142" s="3070">
        <v>850000</v>
      </c>
      <c r="AE142" s="3070">
        <v>0</v>
      </c>
      <c r="AI142" s="3070" t="s">
        <v>3227</v>
      </c>
      <c r="AJ142" s="3070">
        <v>0</v>
      </c>
      <c r="AK142" s="3070">
        <v>0</v>
      </c>
      <c r="AL142" s="3070">
        <v>0</v>
      </c>
      <c r="AM142" s="3070">
        <v>12512.75</v>
      </c>
      <c r="AN142" s="3070">
        <v>1269669</v>
      </c>
      <c r="AP142" s="3070">
        <v>1269669</v>
      </c>
      <c r="AQ142" s="3072">
        <v>45230</v>
      </c>
      <c r="AT142" s="3073">
        <v>45770</v>
      </c>
      <c r="AV142" s="3074">
        <v>3.21E+17</v>
      </c>
      <c r="AW142" s="3070" t="s">
        <v>4452</v>
      </c>
      <c r="AX142" s="3070" t="s">
        <v>4453</v>
      </c>
      <c r="AY142" s="3070" t="s">
        <v>3273</v>
      </c>
      <c r="BC142" s="3070" t="s">
        <v>3365</v>
      </c>
      <c r="BD142" s="3070" t="s">
        <v>3077</v>
      </c>
      <c r="BI142" s="3070" t="s">
        <v>3235</v>
      </c>
      <c r="BJ142" s="3070" t="s">
        <v>3328</v>
      </c>
      <c r="BL142" s="3070" t="s">
        <v>4454</v>
      </c>
      <c r="BM142" s="3070" t="s">
        <v>4439</v>
      </c>
      <c r="BN142" s="3070">
        <v>100</v>
      </c>
      <c r="BO142" s="3070" t="s">
        <v>3253</v>
      </c>
      <c r="BP142" s="3070" t="s">
        <v>3253</v>
      </c>
      <c r="BR142" s="3070">
        <v>389</v>
      </c>
      <c r="BS142" s="3070" t="s">
        <v>3238</v>
      </c>
      <c r="BZ142" s="3073">
        <v>44142.628472222219</v>
      </c>
      <c r="CA142" s="3070">
        <v>12</v>
      </c>
      <c r="CD142" s="3070" t="s">
        <v>3239</v>
      </c>
      <c r="CF142" s="3070" t="s">
        <v>3091</v>
      </c>
      <c r="CH142" s="3070" t="s">
        <v>3240</v>
      </c>
      <c r="CI142" s="3070">
        <v>0</v>
      </c>
      <c r="CJ142" s="3070" t="s">
        <v>3259</v>
      </c>
      <c r="CK142" s="3070" t="s">
        <v>3273</v>
      </c>
      <c r="CL142" s="3070" t="s">
        <v>3273</v>
      </c>
      <c r="CM142" s="3070">
        <v>1164833.95</v>
      </c>
      <c r="CV142" s="3070" t="s">
        <v>3258</v>
      </c>
      <c r="CW142" s="3070" t="s">
        <v>4455</v>
      </c>
      <c r="CX142" s="3070" t="s">
        <v>3242</v>
      </c>
      <c r="CZ142" s="3070">
        <v>213894.57</v>
      </c>
      <c r="DA142" s="3070">
        <v>159426.93</v>
      </c>
      <c r="DB142" s="3070">
        <v>0</v>
      </c>
      <c r="DC142" s="3070">
        <v>0</v>
      </c>
      <c r="DD142" s="3070">
        <v>3290547602</v>
      </c>
      <c r="DE142" s="3070">
        <v>2764253109</v>
      </c>
      <c r="DF142" s="3070">
        <v>1464966739</v>
      </c>
      <c r="DG142" s="3070">
        <v>14938370</v>
      </c>
      <c r="DH142" s="3070">
        <v>1284348000</v>
      </c>
      <c r="DI142" s="3070">
        <v>1278128000</v>
      </c>
      <c r="DJ142" s="3070">
        <v>6220000</v>
      </c>
      <c r="DK142" s="3070">
        <v>0</v>
      </c>
      <c r="DL142" s="3070">
        <v>0</v>
      </c>
      <c r="DM142" s="3070">
        <v>25491817.620000001</v>
      </c>
      <c r="DN142" s="3070">
        <v>2764253109</v>
      </c>
      <c r="DP142" s="3070">
        <v>2764253109</v>
      </c>
    </row>
    <row r="143" spans="1:120">
      <c r="A143" s="3070">
        <v>142</v>
      </c>
      <c r="B143" s="3070" t="s">
        <v>3224</v>
      </c>
      <c r="C143" s="3070">
        <v>12</v>
      </c>
      <c r="E143" s="3070">
        <v>1004</v>
      </c>
      <c r="F143" s="3070" t="s">
        <v>4456</v>
      </c>
      <c r="G143" s="3070" t="s">
        <v>4457</v>
      </c>
      <c r="H143" s="3070">
        <v>1447123</v>
      </c>
      <c r="I143" s="3070">
        <v>1447123</v>
      </c>
      <c r="J143" s="3070">
        <v>121.61</v>
      </c>
      <c r="K143" s="3070">
        <v>90.43</v>
      </c>
      <c r="L143" s="3070">
        <v>0</v>
      </c>
      <c r="M143" s="3070">
        <v>0</v>
      </c>
      <c r="N143" s="3070">
        <v>15244.44</v>
      </c>
      <c r="O143" s="3070">
        <v>1853876</v>
      </c>
      <c r="P143" s="3070">
        <v>11899.7</v>
      </c>
      <c r="Q143" s="3070">
        <v>1447123</v>
      </c>
      <c r="R143" s="3070" t="s">
        <v>3227</v>
      </c>
      <c r="S143" s="3070" t="s">
        <v>3353</v>
      </c>
      <c r="T143" s="3070" t="s">
        <v>3494</v>
      </c>
      <c r="V143" s="3070" t="s">
        <v>3230</v>
      </c>
      <c r="Y143" s="3070">
        <v>144712</v>
      </c>
      <c r="Z143" s="3070">
        <v>144712</v>
      </c>
      <c r="AA143" s="3070">
        <v>1447123</v>
      </c>
      <c r="AB143" s="3070">
        <v>0</v>
      </c>
      <c r="AC143" s="3070">
        <v>0</v>
      </c>
      <c r="AD143" s="3070">
        <v>0</v>
      </c>
      <c r="AE143" s="3070">
        <v>0</v>
      </c>
      <c r="AI143" s="3070" t="s">
        <v>3227</v>
      </c>
      <c r="AJ143" s="3070">
        <v>0</v>
      </c>
      <c r="AK143" s="3070">
        <v>0</v>
      </c>
      <c r="AL143" s="3070">
        <v>0</v>
      </c>
      <c r="AM143" s="3070">
        <v>11899.7</v>
      </c>
      <c r="AN143" s="3070">
        <v>1447123</v>
      </c>
      <c r="AP143" s="3070">
        <v>1447123</v>
      </c>
      <c r="AQ143" s="3072">
        <v>45230</v>
      </c>
      <c r="AT143" s="3073">
        <v>45770</v>
      </c>
      <c r="AV143" s="3074">
        <v>3.21E+17</v>
      </c>
      <c r="AW143" s="3070" t="s">
        <v>4458</v>
      </c>
      <c r="AX143" s="3070" t="s">
        <v>4459</v>
      </c>
      <c r="AY143" s="3070" t="s">
        <v>3587</v>
      </c>
      <c r="BA143" s="3070" t="s">
        <v>3587</v>
      </c>
      <c r="BC143" s="3070" t="s">
        <v>4460</v>
      </c>
      <c r="BD143" s="3070" t="s">
        <v>3075</v>
      </c>
      <c r="BI143" s="3070" t="s">
        <v>3235</v>
      </c>
      <c r="BL143" s="3070" t="s">
        <v>4461</v>
      </c>
      <c r="BM143" s="3070" t="s">
        <v>4439</v>
      </c>
      <c r="BN143" s="3070">
        <v>100</v>
      </c>
      <c r="BR143" s="3070">
        <v>20</v>
      </c>
      <c r="BS143" s="3070" t="s">
        <v>3238</v>
      </c>
      <c r="BU143" s="3070" t="s">
        <v>3587</v>
      </c>
      <c r="BZ143" s="3073">
        <v>44213.624305555553</v>
      </c>
      <c r="CA143" s="3070">
        <v>12</v>
      </c>
      <c r="CD143" s="3070" t="s">
        <v>3239</v>
      </c>
      <c r="CF143" s="3070" t="s">
        <v>3091</v>
      </c>
      <c r="CH143" s="3070" t="s">
        <v>3240</v>
      </c>
      <c r="CI143" s="3070">
        <v>0</v>
      </c>
      <c r="CK143" s="3070" t="s">
        <v>4462</v>
      </c>
      <c r="CL143" s="3070" t="s">
        <v>3590</v>
      </c>
      <c r="CM143" s="3070">
        <v>1327635.78</v>
      </c>
      <c r="CV143" s="3070" t="s">
        <v>3494</v>
      </c>
      <c r="CW143" s="3070" t="s">
        <v>4463</v>
      </c>
      <c r="CX143" s="3070" t="s">
        <v>3242</v>
      </c>
      <c r="CZ143" s="3070">
        <v>213894.57</v>
      </c>
      <c r="DA143" s="3070">
        <v>159426.93</v>
      </c>
      <c r="DB143" s="3070">
        <v>0</v>
      </c>
      <c r="DC143" s="3070">
        <v>0</v>
      </c>
      <c r="DD143" s="3070">
        <v>3290547602</v>
      </c>
      <c r="DE143" s="3070">
        <v>2764253109</v>
      </c>
      <c r="DF143" s="3070">
        <v>1464966739</v>
      </c>
      <c r="DG143" s="3070">
        <v>14938370</v>
      </c>
      <c r="DH143" s="3070">
        <v>1284348000</v>
      </c>
      <c r="DI143" s="3070">
        <v>1278128000</v>
      </c>
      <c r="DJ143" s="3070">
        <v>6220000</v>
      </c>
      <c r="DK143" s="3070">
        <v>0</v>
      </c>
      <c r="DL143" s="3070">
        <v>0</v>
      </c>
      <c r="DM143" s="3070">
        <v>25491817.620000001</v>
      </c>
      <c r="DN143" s="3070">
        <v>2764253109</v>
      </c>
      <c r="DP143" s="3070">
        <v>2764253109</v>
      </c>
    </row>
    <row r="144" spans="1:120">
      <c r="A144" s="3070">
        <v>143</v>
      </c>
      <c r="B144" s="3070" t="s">
        <v>3224</v>
      </c>
      <c r="C144" s="3070">
        <v>12</v>
      </c>
      <c r="E144" s="3070">
        <v>1101</v>
      </c>
      <c r="F144" s="3070" t="s">
        <v>4464</v>
      </c>
      <c r="G144" s="3070" t="s">
        <v>4465</v>
      </c>
      <c r="H144" s="3070">
        <v>1515895</v>
      </c>
      <c r="I144" s="3070">
        <v>1515895</v>
      </c>
      <c r="J144" s="3070">
        <v>121.61</v>
      </c>
      <c r="K144" s="3070">
        <v>90.43</v>
      </c>
      <c r="L144" s="3070">
        <v>0</v>
      </c>
      <c r="M144" s="3070">
        <v>0</v>
      </c>
      <c r="N144" s="3070">
        <v>15394.44</v>
      </c>
      <c r="O144" s="3070">
        <v>1872118</v>
      </c>
      <c r="P144" s="3070">
        <v>12465.22</v>
      </c>
      <c r="Q144" s="3070">
        <v>1515895</v>
      </c>
      <c r="R144" s="3070" t="s">
        <v>3227</v>
      </c>
      <c r="S144" s="3070" t="s">
        <v>4466</v>
      </c>
      <c r="T144" s="3070" t="s">
        <v>3246</v>
      </c>
      <c r="U144" s="3070" t="s">
        <v>3371</v>
      </c>
      <c r="V144" s="3070" t="s">
        <v>3230</v>
      </c>
      <c r="Y144" s="3070">
        <v>455895</v>
      </c>
      <c r="Z144" s="3070">
        <v>455895</v>
      </c>
      <c r="AA144" s="3070">
        <v>455895</v>
      </c>
      <c r="AB144" s="3070">
        <v>0</v>
      </c>
      <c r="AC144" s="3070">
        <v>1060000</v>
      </c>
      <c r="AD144" s="3070">
        <v>1060000</v>
      </c>
      <c r="AE144" s="3070">
        <v>0</v>
      </c>
      <c r="AI144" s="3070" t="s">
        <v>3227</v>
      </c>
      <c r="AJ144" s="3070">
        <v>0</v>
      </c>
      <c r="AK144" s="3070">
        <v>0</v>
      </c>
      <c r="AL144" s="3070">
        <v>0</v>
      </c>
      <c r="AM144" s="3070">
        <v>12465.22</v>
      </c>
      <c r="AN144" s="3070">
        <v>1515895</v>
      </c>
      <c r="AP144" s="3070">
        <v>1515895</v>
      </c>
      <c r="AQ144" s="3072">
        <v>45230</v>
      </c>
      <c r="AT144" s="3073">
        <v>45770</v>
      </c>
      <c r="AV144" s="3070" t="s">
        <v>4467</v>
      </c>
      <c r="AW144" s="3070" t="s">
        <v>4468</v>
      </c>
      <c r="AX144" s="3070" t="s">
        <v>4469</v>
      </c>
      <c r="AY144" s="3070" t="s">
        <v>3597</v>
      </c>
      <c r="BC144" s="3070" t="s">
        <v>3284</v>
      </c>
      <c r="BD144" s="3070" t="s">
        <v>3075</v>
      </c>
      <c r="BI144" s="3070" t="s">
        <v>3235</v>
      </c>
      <c r="BL144" s="3070" t="s">
        <v>4470</v>
      </c>
      <c r="BM144" s="3070" t="s">
        <v>4439</v>
      </c>
      <c r="BN144" s="3070">
        <v>110</v>
      </c>
      <c r="BO144" s="3070" t="s">
        <v>3253</v>
      </c>
      <c r="BR144" s="3070">
        <v>345</v>
      </c>
      <c r="BS144" s="3070" t="s">
        <v>3238</v>
      </c>
      <c r="BZ144" s="3073">
        <v>44142.763194444444</v>
      </c>
      <c r="CA144" s="3070">
        <v>12</v>
      </c>
      <c r="CD144" s="3070" t="s">
        <v>3239</v>
      </c>
      <c r="CF144" s="3070" t="s">
        <v>3091</v>
      </c>
      <c r="CH144" s="3070" t="s">
        <v>3240</v>
      </c>
      <c r="CI144" s="3070">
        <v>0</v>
      </c>
      <c r="CK144" s="3070" t="s">
        <v>3597</v>
      </c>
      <c r="CL144" s="3070" t="s">
        <v>3597</v>
      </c>
      <c r="CM144" s="3070">
        <v>1390729.36</v>
      </c>
      <c r="CV144" s="3070" t="s">
        <v>3246</v>
      </c>
      <c r="CW144" s="3070" t="s">
        <v>4471</v>
      </c>
      <c r="CX144" s="3070" t="s">
        <v>3311</v>
      </c>
      <c r="CZ144" s="3070">
        <v>213894.57</v>
      </c>
      <c r="DA144" s="3070">
        <v>159426.93</v>
      </c>
      <c r="DB144" s="3070">
        <v>0</v>
      </c>
      <c r="DC144" s="3070">
        <v>0</v>
      </c>
      <c r="DD144" s="3070">
        <v>3290547602</v>
      </c>
      <c r="DE144" s="3070">
        <v>2764253109</v>
      </c>
      <c r="DF144" s="3070">
        <v>1464966739</v>
      </c>
      <c r="DG144" s="3070">
        <v>14938370</v>
      </c>
      <c r="DH144" s="3070">
        <v>1284348000</v>
      </c>
      <c r="DI144" s="3070">
        <v>1278128000</v>
      </c>
      <c r="DJ144" s="3070">
        <v>6220000</v>
      </c>
      <c r="DK144" s="3070">
        <v>0</v>
      </c>
      <c r="DL144" s="3070">
        <v>0</v>
      </c>
      <c r="DM144" s="3070">
        <v>25491817.620000001</v>
      </c>
      <c r="DN144" s="3070">
        <v>2764253109</v>
      </c>
      <c r="DP144" s="3070">
        <v>2764253109</v>
      </c>
    </row>
    <row r="145" spans="1:120">
      <c r="A145" s="3070">
        <v>144</v>
      </c>
      <c r="B145" s="3070" t="s">
        <v>3224</v>
      </c>
      <c r="C145" s="3070">
        <v>12</v>
      </c>
      <c r="E145" s="3070">
        <v>1102</v>
      </c>
      <c r="F145" s="3070" t="s">
        <v>4472</v>
      </c>
      <c r="G145" s="3070" t="s">
        <v>4473</v>
      </c>
      <c r="H145" s="3070">
        <v>1335258</v>
      </c>
      <c r="I145" s="3070">
        <v>1335258</v>
      </c>
      <c r="J145" s="3070">
        <v>101.47</v>
      </c>
      <c r="K145" s="3070">
        <v>75.45</v>
      </c>
      <c r="L145" s="3070">
        <v>0</v>
      </c>
      <c r="M145" s="3070">
        <v>0</v>
      </c>
      <c r="N145" s="3070">
        <v>15494.44</v>
      </c>
      <c r="O145" s="3070">
        <v>1572221</v>
      </c>
      <c r="P145" s="3070">
        <v>13159.14</v>
      </c>
      <c r="Q145" s="3070">
        <v>1335258</v>
      </c>
      <c r="R145" s="3070" t="s">
        <v>3227</v>
      </c>
      <c r="S145" s="3070" t="s">
        <v>4474</v>
      </c>
      <c r="T145" s="3070" t="s">
        <v>3246</v>
      </c>
      <c r="U145" s="3070" t="s">
        <v>3259</v>
      </c>
      <c r="V145" s="3070" t="s">
        <v>3230</v>
      </c>
      <c r="Y145" s="3070">
        <v>675258</v>
      </c>
      <c r="Z145" s="3070">
        <v>675258</v>
      </c>
      <c r="AA145" s="3070">
        <v>675258</v>
      </c>
      <c r="AB145" s="3070">
        <v>0</v>
      </c>
      <c r="AC145" s="3070">
        <v>660000</v>
      </c>
      <c r="AD145" s="3070">
        <v>660000</v>
      </c>
      <c r="AE145" s="3070">
        <v>0</v>
      </c>
      <c r="AI145" s="3070" t="s">
        <v>3227</v>
      </c>
      <c r="AJ145" s="3070">
        <v>0</v>
      </c>
      <c r="AK145" s="3070">
        <v>0</v>
      </c>
      <c r="AL145" s="3070">
        <v>0</v>
      </c>
      <c r="AM145" s="3070">
        <v>13159.14</v>
      </c>
      <c r="AN145" s="3070">
        <v>1335258</v>
      </c>
      <c r="AP145" s="3070">
        <v>1335258</v>
      </c>
      <c r="AQ145" s="3072">
        <v>45230</v>
      </c>
      <c r="AT145" s="3073">
        <v>45770</v>
      </c>
      <c r="AV145" s="3070" t="s">
        <v>4475</v>
      </c>
      <c r="AW145" s="3070" t="s">
        <v>4476</v>
      </c>
      <c r="AX145" s="3070" t="s">
        <v>4477</v>
      </c>
      <c r="AY145" s="3070" t="s">
        <v>3429</v>
      </c>
      <c r="BC145" s="3070" t="s">
        <v>4478</v>
      </c>
      <c r="BD145" s="3070" t="s">
        <v>3077</v>
      </c>
      <c r="BI145" s="3070" t="s">
        <v>3235</v>
      </c>
      <c r="BL145" s="3070" t="s">
        <v>4479</v>
      </c>
      <c r="BM145" s="3070" t="s">
        <v>4439</v>
      </c>
      <c r="BN145" s="3070">
        <v>110</v>
      </c>
      <c r="BO145" s="3070" t="s">
        <v>3253</v>
      </c>
      <c r="BR145" s="3070">
        <v>13</v>
      </c>
      <c r="BS145" s="3070" t="s">
        <v>3238</v>
      </c>
      <c r="BZ145" s="3073">
        <v>44168.761805555558</v>
      </c>
      <c r="CA145" s="3070">
        <v>12</v>
      </c>
      <c r="CD145" s="3070" t="s">
        <v>3239</v>
      </c>
      <c r="CF145" s="3070" t="s">
        <v>3091</v>
      </c>
      <c r="CH145" s="3070" t="s">
        <v>3240</v>
      </c>
      <c r="CI145" s="3070">
        <v>0</v>
      </c>
      <c r="CK145" s="3070" t="s">
        <v>3429</v>
      </c>
      <c r="CL145" s="3070" t="s">
        <v>3429</v>
      </c>
      <c r="CM145" s="3070">
        <v>1225007.3400000001</v>
      </c>
      <c r="CV145" s="3070" t="s">
        <v>3246</v>
      </c>
      <c r="CW145" s="3070" t="s">
        <v>4480</v>
      </c>
      <c r="CX145" s="3070" t="s">
        <v>3311</v>
      </c>
      <c r="CZ145" s="3070">
        <v>213894.57</v>
      </c>
      <c r="DA145" s="3070">
        <v>159426.93</v>
      </c>
      <c r="DB145" s="3070">
        <v>0</v>
      </c>
      <c r="DC145" s="3070">
        <v>0</v>
      </c>
      <c r="DD145" s="3070">
        <v>3290547602</v>
      </c>
      <c r="DE145" s="3070">
        <v>2764253109</v>
      </c>
      <c r="DF145" s="3070">
        <v>1464966739</v>
      </c>
      <c r="DG145" s="3070">
        <v>14938370</v>
      </c>
      <c r="DH145" s="3070">
        <v>1284348000</v>
      </c>
      <c r="DI145" s="3070">
        <v>1278128000</v>
      </c>
      <c r="DJ145" s="3070">
        <v>6220000</v>
      </c>
      <c r="DK145" s="3070">
        <v>0</v>
      </c>
      <c r="DL145" s="3070">
        <v>0</v>
      </c>
      <c r="DM145" s="3070">
        <v>25491817.620000001</v>
      </c>
      <c r="DN145" s="3070">
        <v>2764253109</v>
      </c>
      <c r="DP145" s="3070">
        <v>2764253109</v>
      </c>
    </row>
    <row r="146" spans="1:120">
      <c r="A146" s="3070">
        <v>145</v>
      </c>
      <c r="B146" s="3070" t="s">
        <v>3224</v>
      </c>
      <c r="C146" s="3070">
        <v>12</v>
      </c>
      <c r="E146" s="3070">
        <v>1103</v>
      </c>
      <c r="F146" s="3070" t="s">
        <v>4481</v>
      </c>
      <c r="G146" s="3070" t="s">
        <v>4482</v>
      </c>
      <c r="H146" s="3070">
        <v>1274491</v>
      </c>
      <c r="I146" s="3070">
        <v>1274491</v>
      </c>
      <c r="J146" s="3070">
        <v>101.47</v>
      </c>
      <c r="K146" s="3070">
        <v>75.45</v>
      </c>
      <c r="L146" s="3070">
        <v>0</v>
      </c>
      <c r="M146" s="3070">
        <v>0</v>
      </c>
      <c r="N146" s="3070">
        <v>15494.44</v>
      </c>
      <c r="O146" s="3070">
        <v>1572221</v>
      </c>
      <c r="P146" s="3070">
        <v>12560.27</v>
      </c>
      <c r="Q146" s="3070">
        <v>1274491</v>
      </c>
      <c r="R146" s="3070" t="s">
        <v>3227</v>
      </c>
      <c r="S146" s="3070" t="s">
        <v>4483</v>
      </c>
      <c r="T146" s="3070" t="s">
        <v>3246</v>
      </c>
      <c r="U146" s="3070" t="s">
        <v>3247</v>
      </c>
      <c r="V146" s="3070" t="s">
        <v>3230</v>
      </c>
      <c r="Y146" s="3070">
        <v>384491</v>
      </c>
      <c r="Z146" s="3070">
        <v>384491</v>
      </c>
      <c r="AA146" s="3070">
        <v>384491</v>
      </c>
      <c r="AB146" s="3070">
        <v>0</v>
      </c>
      <c r="AC146" s="3070">
        <v>890000</v>
      </c>
      <c r="AD146" s="3070">
        <v>890000</v>
      </c>
      <c r="AE146" s="3070">
        <v>0</v>
      </c>
      <c r="AI146" s="3070" t="s">
        <v>3227</v>
      </c>
      <c r="AJ146" s="3070">
        <v>0</v>
      </c>
      <c r="AK146" s="3070">
        <v>0</v>
      </c>
      <c r="AL146" s="3070">
        <v>0</v>
      </c>
      <c r="AM146" s="3070">
        <v>12560.27</v>
      </c>
      <c r="AN146" s="3070">
        <v>1274491</v>
      </c>
      <c r="AP146" s="3070">
        <v>1274491</v>
      </c>
      <c r="AQ146" s="3072">
        <v>45230</v>
      </c>
      <c r="AT146" s="3073">
        <v>45770</v>
      </c>
      <c r="AV146" s="3074">
        <v>3.21E+17</v>
      </c>
      <c r="AW146" s="3070" t="s">
        <v>4484</v>
      </c>
      <c r="AX146" s="3070" t="s">
        <v>4485</v>
      </c>
      <c r="AY146" s="3070" t="s">
        <v>3419</v>
      </c>
      <c r="BC146" s="3070" t="s">
        <v>3284</v>
      </c>
      <c r="BD146" s="3070" t="s">
        <v>3077</v>
      </c>
      <c r="BI146" s="3070" t="s">
        <v>3235</v>
      </c>
      <c r="BJ146" s="3070" t="s">
        <v>3236</v>
      </c>
      <c r="BL146" s="3070" t="s">
        <v>4486</v>
      </c>
      <c r="BM146" s="3070" t="s">
        <v>4439</v>
      </c>
      <c r="BN146" s="3070">
        <v>110</v>
      </c>
      <c r="BO146" s="3070" t="s">
        <v>3253</v>
      </c>
      <c r="BR146" s="3070">
        <v>889</v>
      </c>
      <c r="BS146" s="3070" t="s">
        <v>3238</v>
      </c>
      <c r="BZ146" s="3073">
        <v>44142.761805555558</v>
      </c>
      <c r="CA146" s="3070">
        <v>12</v>
      </c>
      <c r="CD146" s="3070" t="s">
        <v>3239</v>
      </c>
      <c r="CF146" s="3070" t="s">
        <v>3091</v>
      </c>
      <c r="CH146" s="3070" t="s">
        <v>3240</v>
      </c>
      <c r="CI146" s="3070">
        <v>0</v>
      </c>
      <c r="CK146" s="3070" t="s">
        <v>3419</v>
      </c>
      <c r="CL146" s="3070" t="s">
        <v>3419</v>
      </c>
      <c r="CM146" s="3070">
        <v>1169257.8</v>
      </c>
      <c r="CV146" s="3070" t="s">
        <v>3246</v>
      </c>
      <c r="CW146" s="3070" t="s">
        <v>4487</v>
      </c>
      <c r="CX146" s="3070" t="s">
        <v>3242</v>
      </c>
      <c r="CZ146" s="3070">
        <v>213894.57</v>
      </c>
      <c r="DA146" s="3070">
        <v>159426.93</v>
      </c>
      <c r="DB146" s="3070">
        <v>0</v>
      </c>
      <c r="DC146" s="3070">
        <v>0</v>
      </c>
      <c r="DD146" s="3070">
        <v>3290547602</v>
      </c>
      <c r="DE146" s="3070">
        <v>2764253109</v>
      </c>
      <c r="DF146" s="3070">
        <v>1464966739</v>
      </c>
      <c r="DG146" s="3070">
        <v>14938370</v>
      </c>
      <c r="DH146" s="3070">
        <v>1284348000</v>
      </c>
      <c r="DI146" s="3070">
        <v>1278128000</v>
      </c>
      <c r="DJ146" s="3070">
        <v>6220000</v>
      </c>
      <c r="DK146" s="3070">
        <v>0</v>
      </c>
      <c r="DL146" s="3070">
        <v>0</v>
      </c>
      <c r="DM146" s="3070">
        <v>25491817.620000001</v>
      </c>
      <c r="DN146" s="3070">
        <v>2764253109</v>
      </c>
      <c r="DP146" s="3070">
        <v>2764253109</v>
      </c>
    </row>
    <row r="147" spans="1:120">
      <c r="A147" s="3070">
        <v>146</v>
      </c>
      <c r="B147" s="3070" t="s">
        <v>3224</v>
      </c>
      <c r="C147" s="3070">
        <v>12</v>
      </c>
      <c r="E147" s="3070">
        <v>1104</v>
      </c>
      <c r="F147" s="3070" t="s">
        <v>4488</v>
      </c>
      <c r="G147" s="3070" t="s">
        <v>4489</v>
      </c>
      <c r="H147" s="3070">
        <v>1452218</v>
      </c>
      <c r="I147" s="3070">
        <v>1452218</v>
      </c>
      <c r="J147" s="3070">
        <v>121.61</v>
      </c>
      <c r="K147" s="3070">
        <v>90.43</v>
      </c>
      <c r="L147" s="3070">
        <v>0</v>
      </c>
      <c r="M147" s="3070">
        <v>0</v>
      </c>
      <c r="N147" s="3070">
        <v>15294.44</v>
      </c>
      <c r="O147" s="3070">
        <v>1859957</v>
      </c>
      <c r="P147" s="3070">
        <v>11941.6</v>
      </c>
      <c r="Q147" s="3070">
        <v>1452218</v>
      </c>
      <c r="R147" s="3070" t="s">
        <v>3227</v>
      </c>
      <c r="S147" s="3070" t="s">
        <v>4490</v>
      </c>
      <c r="T147" s="3070" t="s">
        <v>3246</v>
      </c>
      <c r="U147" s="3070" t="s">
        <v>3247</v>
      </c>
      <c r="V147" s="3070" t="s">
        <v>3230</v>
      </c>
      <c r="Y147" s="3070">
        <v>752218</v>
      </c>
      <c r="Z147" s="3070">
        <v>752218</v>
      </c>
      <c r="AA147" s="3070">
        <v>752218</v>
      </c>
      <c r="AB147" s="3070">
        <v>0</v>
      </c>
      <c r="AC147" s="3070">
        <v>700000</v>
      </c>
      <c r="AD147" s="3070">
        <v>700000</v>
      </c>
      <c r="AE147" s="3070">
        <v>0</v>
      </c>
      <c r="AI147" s="3070" t="s">
        <v>3227</v>
      </c>
      <c r="AJ147" s="3070">
        <v>0</v>
      </c>
      <c r="AK147" s="3070">
        <v>0</v>
      </c>
      <c r="AL147" s="3070">
        <v>0</v>
      </c>
      <c r="AM147" s="3070">
        <v>11941.6</v>
      </c>
      <c r="AN147" s="3070">
        <v>1452218</v>
      </c>
      <c r="AP147" s="3070">
        <v>1452218</v>
      </c>
      <c r="AQ147" s="3072">
        <v>45230</v>
      </c>
      <c r="AT147" s="3073">
        <v>45770</v>
      </c>
      <c r="AV147" s="3070" t="s">
        <v>4491</v>
      </c>
      <c r="AW147" s="3070" t="s">
        <v>4492</v>
      </c>
      <c r="AX147" s="3070" t="s">
        <v>4493</v>
      </c>
      <c r="AY147" s="3070" t="s">
        <v>4065</v>
      </c>
      <c r="BA147" s="3070" t="s">
        <v>4065</v>
      </c>
      <c r="BC147" s="3070" t="s">
        <v>4494</v>
      </c>
      <c r="BD147" s="3070" t="s">
        <v>3075</v>
      </c>
      <c r="BI147" s="3070" t="s">
        <v>3295</v>
      </c>
      <c r="BL147" s="3070" t="s">
        <v>4495</v>
      </c>
      <c r="BM147" s="3070" t="s">
        <v>4439</v>
      </c>
      <c r="BN147" s="3070">
        <v>110</v>
      </c>
      <c r="BO147" s="3070" t="s">
        <v>3253</v>
      </c>
      <c r="BR147" s="3070">
        <v>20</v>
      </c>
      <c r="BS147" s="3070" t="s">
        <v>3238</v>
      </c>
      <c r="BU147" s="3070" t="s">
        <v>4065</v>
      </c>
      <c r="BZ147" s="3073">
        <v>44213.783333333333</v>
      </c>
      <c r="CA147" s="3070">
        <v>12</v>
      </c>
      <c r="CD147" s="3070" t="s">
        <v>3239</v>
      </c>
      <c r="CF147" s="3070" t="s">
        <v>3091</v>
      </c>
      <c r="CH147" s="3070" t="s">
        <v>3240</v>
      </c>
      <c r="CI147" s="3070">
        <v>0</v>
      </c>
      <c r="CK147" s="3070" t="s">
        <v>4065</v>
      </c>
      <c r="CL147" s="3070" t="s">
        <v>4242</v>
      </c>
      <c r="CM147" s="3070">
        <v>1332310.0900000001</v>
      </c>
      <c r="CV147" s="3070" t="s">
        <v>3246</v>
      </c>
      <c r="CW147" s="3070" t="s">
        <v>4496</v>
      </c>
      <c r="CZ147" s="3070">
        <v>213894.57</v>
      </c>
      <c r="DA147" s="3070">
        <v>159426.93</v>
      </c>
      <c r="DB147" s="3070">
        <v>0</v>
      </c>
      <c r="DC147" s="3070">
        <v>0</v>
      </c>
      <c r="DD147" s="3070">
        <v>3290547602</v>
      </c>
      <c r="DE147" s="3070">
        <v>2764253109</v>
      </c>
      <c r="DF147" s="3070">
        <v>1464966739</v>
      </c>
      <c r="DG147" s="3070">
        <v>14938370</v>
      </c>
      <c r="DH147" s="3070">
        <v>1284348000</v>
      </c>
      <c r="DI147" s="3070">
        <v>1278128000</v>
      </c>
      <c r="DJ147" s="3070">
        <v>6220000</v>
      </c>
      <c r="DK147" s="3070">
        <v>0</v>
      </c>
      <c r="DL147" s="3070">
        <v>0</v>
      </c>
      <c r="DM147" s="3070">
        <v>25491817.620000001</v>
      </c>
      <c r="DN147" s="3070">
        <v>2764253109</v>
      </c>
      <c r="DP147" s="3070">
        <v>2764253109</v>
      </c>
    </row>
    <row r="148" spans="1:120">
      <c r="A148" s="3070">
        <v>147</v>
      </c>
      <c r="B148" s="3070" t="s">
        <v>3224</v>
      </c>
      <c r="C148" s="3070">
        <v>12</v>
      </c>
      <c r="E148" s="3070">
        <v>1201</v>
      </c>
      <c r="F148" s="3070" t="s">
        <v>4497</v>
      </c>
      <c r="G148" s="3070" t="s">
        <v>4498</v>
      </c>
      <c r="H148" s="3070">
        <v>1521675</v>
      </c>
      <c r="I148" s="3070">
        <v>1521675</v>
      </c>
      <c r="J148" s="3070">
        <v>121.61</v>
      </c>
      <c r="K148" s="3070">
        <v>90.43</v>
      </c>
      <c r="L148" s="3070">
        <v>0</v>
      </c>
      <c r="M148" s="3070">
        <v>0</v>
      </c>
      <c r="N148" s="3070">
        <v>15444.44</v>
      </c>
      <c r="O148" s="3070">
        <v>1878198</v>
      </c>
      <c r="P148" s="3070">
        <v>12512.75</v>
      </c>
      <c r="Q148" s="3070">
        <v>1521675</v>
      </c>
      <c r="R148" s="3070" t="s">
        <v>3227</v>
      </c>
      <c r="S148" s="3070" t="s">
        <v>4499</v>
      </c>
      <c r="T148" s="3070" t="s">
        <v>3246</v>
      </c>
      <c r="U148" s="3070" t="s">
        <v>3467</v>
      </c>
      <c r="V148" s="3070" t="s">
        <v>3230</v>
      </c>
      <c r="Y148" s="3070">
        <v>821675</v>
      </c>
      <c r="Z148" s="3070">
        <v>821675</v>
      </c>
      <c r="AA148" s="3070">
        <v>821675</v>
      </c>
      <c r="AB148" s="3070">
        <v>0</v>
      </c>
      <c r="AC148" s="3070">
        <v>700000</v>
      </c>
      <c r="AD148" s="3070">
        <v>700000</v>
      </c>
      <c r="AE148" s="3070">
        <v>0</v>
      </c>
      <c r="AI148" s="3070" t="s">
        <v>3227</v>
      </c>
      <c r="AJ148" s="3070">
        <v>0</v>
      </c>
      <c r="AK148" s="3070">
        <v>0</v>
      </c>
      <c r="AL148" s="3070">
        <v>0</v>
      </c>
      <c r="AM148" s="3070">
        <v>12512.75</v>
      </c>
      <c r="AN148" s="3070">
        <v>1521675</v>
      </c>
      <c r="AP148" s="3070">
        <v>1521675</v>
      </c>
      <c r="AQ148" s="3072">
        <v>45230</v>
      </c>
      <c r="AT148" s="3073">
        <v>45770</v>
      </c>
      <c r="AV148" s="3070" t="s">
        <v>4500</v>
      </c>
      <c r="AW148" s="3070" t="s">
        <v>4501</v>
      </c>
      <c r="AX148" s="3070" t="s">
        <v>4502</v>
      </c>
      <c r="AY148" s="3070" t="s">
        <v>3429</v>
      </c>
      <c r="BC148" s="3070" t="s">
        <v>3284</v>
      </c>
      <c r="BD148" s="3070" t="s">
        <v>3075</v>
      </c>
      <c r="BI148" s="3070" t="s">
        <v>3235</v>
      </c>
      <c r="BL148" s="3070" t="s">
        <v>4503</v>
      </c>
      <c r="BM148" s="3070" t="s">
        <v>4439</v>
      </c>
      <c r="BN148" s="3070">
        <v>120</v>
      </c>
      <c r="BO148" s="3070" t="s">
        <v>3253</v>
      </c>
      <c r="BR148" s="3070">
        <v>150</v>
      </c>
      <c r="BS148" s="3070" t="s">
        <v>3238</v>
      </c>
      <c r="BZ148" s="3073">
        <v>44142.631944444445</v>
      </c>
      <c r="CA148" s="3070">
        <v>12</v>
      </c>
      <c r="CD148" s="3070" t="s">
        <v>3239</v>
      </c>
      <c r="CF148" s="3070" t="s">
        <v>3091</v>
      </c>
      <c r="CH148" s="3070" t="s">
        <v>3240</v>
      </c>
      <c r="CI148" s="3070">
        <v>0</v>
      </c>
      <c r="CK148" s="3070" t="s">
        <v>3429</v>
      </c>
      <c r="CL148" s="3070" t="s">
        <v>3429</v>
      </c>
      <c r="CM148" s="3070">
        <v>1396032.11</v>
      </c>
      <c r="CV148" s="3070" t="s">
        <v>3246</v>
      </c>
      <c r="CW148" s="3070" t="s">
        <v>4504</v>
      </c>
      <c r="CX148" s="3070" t="s">
        <v>3311</v>
      </c>
      <c r="CZ148" s="3070">
        <v>213894.57</v>
      </c>
      <c r="DA148" s="3070">
        <v>159426.93</v>
      </c>
      <c r="DB148" s="3070">
        <v>0</v>
      </c>
      <c r="DC148" s="3070">
        <v>0</v>
      </c>
      <c r="DD148" s="3070">
        <v>3290547602</v>
      </c>
      <c r="DE148" s="3070">
        <v>2764253109</v>
      </c>
      <c r="DF148" s="3070">
        <v>1464966739</v>
      </c>
      <c r="DG148" s="3070">
        <v>14938370</v>
      </c>
      <c r="DH148" s="3070">
        <v>1284348000</v>
      </c>
      <c r="DI148" s="3070">
        <v>1278128000</v>
      </c>
      <c r="DJ148" s="3070">
        <v>6220000</v>
      </c>
      <c r="DK148" s="3070">
        <v>0</v>
      </c>
      <c r="DL148" s="3070">
        <v>0</v>
      </c>
      <c r="DM148" s="3070">
        <v>25491817.620000001</v>
      </c>
      <c r="DN148" s="3070">
        <v>2764253109</v>
      </c>
      <c r="DP148" s="3070">
        <v>2764253109</v>
      </c>
    </row>
    <row r="149" spans="1:120">
      <c r="A149" s="3070">
        <v>148</v>
      </c>
      <c r="B149" s="3070" t="s">
        <v>3224</v>
      </c>
      <c r="C149" s="3070">
        <v>12</v>
      </c>
      <c r="E149" s="3070">
        <v>1202</v>
      </c>
      <c r="F149" s="3070" t="s">
        <v>4505</v>
      </c>
      <c r="G149" s="3070" t="s">
        <v>4506</v>
      </c>
      <c r="H149" s="3070">
        <v>1279315</v>
      </c>
      <c r="I149" s="3070">
        <v>1279315</v>
      </c>
      <c r="J149" s="3070">
        <v>101.47</v>
      </c>
      <c r="K149" s="3070">
        <v>75.45</v>
      </c>
      <c r="L149" s="3070">
        <v>0</v>
      </c>
      <c r="M149" s="3070">
        <v>0</v>
      </c>
      <c r="N149" s="3070">
        <v>15544.44</v>
      </c>
      <c r="O149" s="3070">
        <v>1577294</v>
      </c>
      <c r="P149" s="3070">
        <v>12607.82</v>
      </c>
      <c r="Q149" s="3070">
        <v>1279315</v>
      </c>
      <c r="R149" s="3070" t="s">
        <v>3227</v>
      </c>
      <c r="S149" s="3070" t="s">
        <v>4507</v>
      </c>
      <c r="T149" s="3070" t="s">
        <v>3246</v>
      </c>
      <c r="U149" s="3070" t="s">
        <v>3247</v>
      </c>
      <c r="V149" s="3070" t="s">
        <v>3230</v>
      </c>
      <c r="Y149" s="3070">
        <v>389315</v>
      </c>
      <c r="Z149" s="3070">
        <v>389315</v>
      </c>
      <c r="AA149" s="3070">
        <v>389315</v>
      </c>
      <c r="AB149" s="3070">
        <v>0</v>
      </c>
      <c r="AC149" s="3070">
        <v>890000</v>
      </c>
      <c r="AD149" s="3070">
        <v>890000</v>
      </c>
      <c r="AE149" s="3070">
        <v>0</v>
      </c>
      <c r="AI149" s="3070" t="s">
        <v>3227</v>
      </c>
      <c r="AJ149" s="3070">
        <v>0</v>
      </c>
      <c r="AK149" s="3070">
        <v>0</v>
      </c>
      <c r="AL149" s="3070">
        <v>0</v>
      </c>
      <c r="AM149" s="3070">
        <v>12607.82</v>
      </c>
      <c r="AN149" s="3070">
        <v>1279315</v>
      </c>
      <c r="AP149" s="3070">
        <v>1279315</v>
      </c>
      <c r="AQ149" s="3072">
        <v>45230</v>
      </c>
      <c r="AT149" s="3073">
        <v>45770</v>
      </c>
      <c r="AV149" s="3070" t="s">
        <v>4508</v>
      </c>
      <c r="AW149" s="3070" t="s">
        <v>4509</v>
      </c>
      <c r="AX149" s="3070" t="s">
        <v>4510</v>
      </c>
      <c r="AY149" s="3070" t="s">
        <v>3250</v>
      </c>
      <c r="BC149" s="3070" t="s">
        <v>3284</v>
      </c>
      <c r="BD149" s="3070" t="s">
        <v>3077</v>
      </c>
      <c r="BI149" s="3070" t="s">
        <v>3235</v>
      </c>
      <c r="BJ149" s="3070" t="s">
        <v>3338</v>
      </c>
      <c r="BL149" s="3070" t="s">
        <v>4511</v>
      </c>
      <c r="BM149" s="3070" t="s">
        <v>4439</v>
      </c>
      <c r="BN149" s="3070">
        <v>120</v>
      </c>
      <c r="BO149" s="3070" t="s">
        <v>3253</v>
      </c>
      <c r="BR149" s="3070">
        <v>21</v>
      </c>
      <c r="BS149" s="3070" t="s">
        <v>3238</v>
      </c>
      <c r="BZ149" s="3073">
        <v>44142.636111111111</v>
      </c>
      <c r="CA149" s="3070">
        <v>12</v>
      </c>
      <c r="CD149" s="3070" t="s">
        <v>3239</v>
      </c>
      <c r="CF149" s="3070" t="s">
        <v>3091</v>
      </c>
      <c r="CH149" s="3070" t="s">
        <v>3240</v>
      </c>
      <c r="CI149" s="3070">
        <v>0</v>
      </c>
      <c r="CK149" s="3070" t="s">
        <v>3250</v>
      </c>
      <c r="CL149" s="3070" t="s">
        <v>3250</v>
      </c>
      <c r="CM149" s="3070">
        <v>1173683.49</v>
      </c>
      <c r="CV149" s="3070" t="s">
        <v>3246</v>
      </c>
      <c r="CW149" s="3070" t="s">
        <v>4512</v>
      </c>
      <c r="CZ149" s="3070">
        <v>213894.57</v>
      </c>
      <c r="DA149" s="3070">
        <v>159426.93</v>
      </c>
      <c r="DB149" s="3070">
        <v>0</v>
      </c>
      <c r="DC149" s="3070">
        <v>0</v>
      </c>
      <c r="DD149" s="3070">
        <v>3290547602</v>
      </c>
      <c r="DE149" s="3070">
        <v>2764253109</v>
      </c>
      <c r="DF149" s="3070">
        <v>1464966739</v>
      </c>
      <c r="DG149" s="3070">
        <v>14938370</v>
      </c>
      <c r="DH149" s="3070">
        <v>1284348000</v>
      </c>
      <c r="DI149" s="3070">
        <v>1278128000</v>
      </c>
      <c r="DJ149" s="3070">
        <v>6220000</v>
      </c>
      <c r="DK149" s="3070">
        <v>0</v>
      </c>
      <c r="DL149" s="3070">
        <v>0</v>
      </c>
      <c r="DM149" s="3070">
        <v>25491817.620000001</v>
      </c>
      <c r="DN149" s="3070">
        <v>2764253109</v>
      </c>
      <c r="DP149" s="3070">
        <v>2764253109</v>
      </c>
    </row>
    <row r="150" spans="1:120">
      <c r="A150" s="3070">
        <v>149</v>
      </c>
      <c r="B150" s="3070" t="s">
        <v>3224</v>
      </c>
      <c r="C150" s="3070">
        <v>12</v>
      </c>
      <c r="E150" s="3070">
        <v>1203</v>
      </c>
      <c r="F150" s="3070" t="s">
        <v>4513</v>
      </c>
      <c r="G150" s="3070" t="s">
        <v>4514</v>
      </c>
      <c r="H150" s="3070">
        <v>1279315</v>
      </c>
      <c r="I150" s="3070">
        <v>1279315</v>
      </c>
      <c r="J150" s="3070">
        <v>101.47</v>
      </c>
      <c r="K150" s="3070">
        <v>75.45</v>
      </c>
      <c r="L150" s="3070">
        <v>0</v>
      </c>
      <c r="M150" s="3070">
        <v>0</v>
      </c>
      <c r="N150" s="3070">
        <v>15544.44</v>
      </c>
      <c r="O150" s="3070">
        <v>1577294</v>
      </c>
      <c r="P150" s="3070">
        <v>12607.82</v>
      </c>
      <c r="Q150" s="3070">
        <v>1279315</v>
      </c>
      <c r="R150" s="3070" t="s">
        <v>3227</v>
      </c>
      <c r="S150" s="3070" t="s">
        <v>4515</v>
      </c>
      <c r="T150" s="3070" t="s">
        <v>3246</v>
      </c>
      <c r="U150" s="3070" t="s">
        <v>3381</v>
      </c>
      <c r="V150" s="3070" t="s">
        <v>3230</v>
      </c>
      <c r="Y150" s="3070">
        <v>469315</v>
      </c>
      <c r="Z150" s="3070">
        <v>469315</v>
      </c>
      <c r="AA150" s="3070">
        <v>469315</v>
      </c>
      <c r="AB150" s="3070">
        <v>0</v>
      </c>
      <c r="AC150" s="3070">
        <v>810000</v>
      </c>
      <c r="AD150" s="3070">
        <v>810000</v>
      </c>
      <c r="AE150" s="3070">
        <v>0</v>
      </c>
      <c r="AI150" s="3070" t="s">
        <v>3227</v>
      </c>
      <c r="AJ150" s="3070">
        <v>0</v>
      </c>
      <c r="AK150" s="3070">
        <v>0</v>
      </c>
      <c r="AL150" s="3070">
        <v>0</v>
      </c>
      <c r="AM150" s="3070">
        <v>12607.82</v>
      </c>
      <c r="AN150" s="3070">
        <v>1279315</v>
      </c>
      <c r="AP150" s="3070">
        <v>1279315</v>
      </c>
      <c r="AQ150" s="3072">
        <v>45230</v>
      </c>
      <c r="AT150" s="3073">
        <v>45770</v>
      </c>
      <c r="AV150" s="3070" t="s">
        <v>4516</v>
      </c>
      <c r="AW150" s="3070" t="s">
        <v>4517</v>
      </c>
      <c r="AX150" s="3070" t="s">
        <v>4518</v>
      </c>
      <c r="AY150" s="3070" t="s">
        <v>3273</v>
      </c>
      <c r="BC150" s="3070" t="s">
        <v>3284</v>
      </c>
      <c r="BD150" s="3070" t="s">
        <v>3077</v>
      </c>
      <c r="BI150" s="3070" t="s">
        <v>3235</v>
      </c>
      <c r="BJ150" s="3070" t="s">
        <v>3338</v>
      </c>
      <c r="BL150" s="3070" t="s">
        <v>4519</v>
      </c>
      <c r="BM150" s="3070" t="s">
        <v>4439</v>
      </c>
      <c r="BN150" s="3070">
        <v>120</v>
      </c>
      <c r="BO150" s="3070" t="s">
        <v>3253</v>
      </c>
      <c r="BR150" s="3070">
        <v>604</v>
      </c>
      <c r="BS150" s="3070" t="s">
        <v>3238</v>
      </c>
      <c r="BZ150" s="3073">
        <v>44142.642361111109</v>
      </c>
      <c r="CA150" s="3070">
        <v>12</v>
      </c>
      <c r="CD150" s="3070" t="s">
        <v>3239</v>
      </c>
      <c r="CF150" s="3070" t="s">
        <v>3091</v>
      </c>
      <c r="CH150" s="3070" t="s">
        <v>3240</v>
      </c>
      <c r="CI150" s="3070">
        <v>0</v>
      </c>
      <c r="CK150" s="3070" t="s">
        <v>3273</v>
      </c>
      <c r="CL150" s="3070" t="s">
        <v>3273</v>
      </c>
      <c r="CM150" s="3070">
        <v>1173683.49</v>
      </c>
      <c r="CV150" s="3070" t="s">
        <v>3246</v>
      </c>
      <c r="CW150" s="3070" t="s">
        <v>4520</v>
      </c>
      <c r="CZ150" s="3070">
        <v>213894.57</v>
      </c>
      <c r="DA150" s="3070">
        <v>159426.93</v>
      </c>
      <c r="DB150" s="3070">
        <v>0</v>
      </c>
      <c r="DC150" s="3070">
        <v>0</v>
      </c>
      <c r="DD150" s="3070">
        <v>3290547602</v>
      </c>
      <c r="DE150" s="3070">
        <v>2764253109</v>
      </c>
      <c r="DF150" s="3070">
        <v>1464966739</v>
      </c>
      <c r="DG150" s="3070">
        <v>14938370</v>
      </c>
      <c r="DH150" s="3070">
        <v>1284348000</v>
      </c>
      <c r="DI150" s="3070">
        <v>1278128000</v>
      </c>
      <c r="DJ150" s="3070">
        <v>6220000</v>
      </c>
      <c r="DK150" s="3070">
        <v>0</v>
      </c>
      <c r="DL150" s="3070">
        <v>0</v>
      </c>
      <c r="DM150" s="3070">
        <v>25491817.620000001</v>
      </c>
      <c r="DN150" s="3070">
        <v>2764253109</v>
      </c>
      <c r="DP150" s="3070">
        <v>2764253109</v>
      </c>
    </row>
    <row r="151" spans="1:120">
      <c r="A151" s="3070">
        <v>150</v>
      </c>
      <c r="B151" s="3070" t="s">
        <v>3224</v>
      </c>
      <c r="C151" s="3070">
        <v>12</v>
      </c>
      <c r="E151" s="3070">
        <v>1204</v>
      </c>
      <c r="F151" s="3070" t="s">
        <v>4521</v>
      </c>
      <c r="G151" s="3070" t="s">
        <v>4522</v>
      </c>
      <c r="H151" s="3070">
        <v>1572217</v>
      </c>
      <c r="I151" s="3070">
        <v>1572217</v>
      </c>
      <c r="J151" s="3070">
        <v>121.61</v>
      </c>
      <c r="K151" s="3070">
        <v>90.43</v>
      </c>
      <c r="L151" s="3070">
        <v>0</v>
      </c>
      <c r="M151" s="3070">
        <v>0</v>
      </c>
      <c r="N151" s="3070">
        <v>15344.44</v>
      </c>
      <c r="O151" s="3070">
        <v>1866037</v>
      </c>
      <c r="P151" s="3070">
        <v>12928.35</v>
      </c>
      <c r="Q151" s="3070">
        <v>1572217</v>
      </c>
      <c r="R151" s="3070" t="s">
        <v>3227</v>
      </c>
      <c r="S151" s="3070" t="s">
        <v>4523</v>
      </c>
      <c r="T151" s="3070" t="s">
        <v>3494</v>
      </c>
      <c r="V151" s="3070" t="s">
        <v>3230</v>
      </c>
      <c r="Y151" s="3070">
        <v>157222</v>
      </c>
      <c r="Z151" s="3070">
        <v>157222</v>
      </c>
      <c r="AA151" s="3070">
        <v>1572217</v>
      </c>
      <c r="AB151" s="3070">
        <v>0</v>
      </c>
      <c r="AC151" s="3070">
        <v>0</v>
      </c>
      <c r="AD151" s="3070">
        <v>0</v>
      </c>
      <c r="AE151" s="3070">
        <v>0</v>
      </c>
      <c r="AI151" s="3070" t="s">
        <v>3227</v>
      </c>
      <c r="AJ151" s="3070">
        <v>0</v>
      </c>
      <c r="AK151" s="3070">
        <v>0</v>
      </c>
      <c r="AL151" s="3070">
        <v>0</v>
      </c>
      <c r="AM151" s="3070">
        <v>12928.35</v>
      </c>
      <c r="AN151" s="3070">
        <v>1572217</v>
      </c>
      <c r="AP151" s="3070">
        <v>1572217</v>
      </c>
      <c r="AQ151" s="3072">
        <v>45230</v>
      </c>
      <c r="AT151" s="3073">
        <v>45770</v>
      </c>
      <c r="AV151" s="3070" t="s">
        <v>4524</v>
      </c>
      <c r="AW151" s="3070" t="s">
        <v>4525</v>
      </c>
      <c r="AX151" s="3070" t="s">
        <v>4526</v>
      </c>
      <c r="AY151" s="3070" t="s">
        <v>3892</v>
      </c>
      <c r="BA151" s="3070" t="s">
        <v>4527</v>
      </c>
      <c r="BC151" s="3070" t="s">
        <v>4528</v>
      </c>
      <c r="BD151" s="3070" t="s">
        <v>3075</v>
      </c>
      <c r="BI151" s="3070" t="s">
        <v>3235</v>
      </c>
      <c r="BL151" s="3070" t="s">
        <v>4529</v>
      </c>
      <c r="BM151" s="3070" t="s">
        <v>4439</v>
      </c>
      <c r="BN151" s="3070">
        <v>120</v>
      </c>
      <c r="BR151" s="3070">
        <v>19</v>
      </c>
      <c r="BS151" s="3070" t="s">
        <v>3238</v>
      </c>
      <c r="BU151" s="3070" t="s">
        <v>4527</v>
      </c>
      <c r="BZ151" s="3073">
        <v>44205.49722222222</v>
      </c>
      <c r="CA151" s="3070">
        <v>12</v>
      </c>
      <c r="CD151" s="3070" t="s">
        <v>3239</v>
      </c>
      <c r="CF151" s="3070" t="s">
        <v>3091</v>
      </c>
      <c r="CH151" s="3070" t="s">
        <v>3240</v>
      </c>
      <c r="CI151" s="3070">
        <v>0</v>
      </c>
      <c r="CK151" s="3070" t="s">
        <v>4056</v>
      </c>
      <c r="CL151" s="3070" t="s">
        <v>4056</v>
      </c>
      <c r="CM151" s="3070">
        <v>1442400.92</v>
      </c>
      <c r="CV151" s="3070" t="s">
        <v>3494</v>
      </c>
      <c r="CW151" s="3070" t="s">
        <v>4530</v>
      </c>
      <c r="CX151" s="3070" t="s">
        <v>3267</v>
      </c>
      <c r="CZ151" s="3070">
        <v>213894.57</v>
      </c>
      <c r="DA151" s="3070">
        <v>159426.93</v>
      </c>
      <c r="DB151" s="3070">
        <v>0</v>
      </c>
      <c r="DC151" s="3070">
        <v>0</v>
      </c>
      <c r="DD151" s="3070">
        <v>3290547602</v>
      </c>
      <c r="DE151" s="3070">
        <v>2764253109</v>
      </c>
      <c r="DF151" s="3070">
        <v>1464966739</v>
      </c>
      <c r="DG151" s="3070">
        <v>14938370</v>
      </c>
      <c r="DH151" s="3070">
        <v>1284348000</v>
      </c>
      <c r="DI151" s="3070">
        <v>1278128000</v>
      </c>
      <c r="DJ151" s="3070">
        <v>6220000</v>
      </c>
      <c r="DK151" s="3070">
        <v>0</v>
      </c>
      <c r="DL151" s="3070">
        <v>0</v>
      </c>
      <c r="DM151" s="3070">
        <v>25491817.620000001</v>
      </c>
      <c r="DN151" s="3070">
        <v>2764253109</v>
      </c>
      <c r="DP151" s="3070">
        <v>2764253109</v>
      </c>
    </row>
    <row r="152" spans="1:120">
      <c r="A152" s="3070">
        <v>151</v>
      </c>
      <c r="B152" s="3070" t="s">
        <v>3224</v>
      </c>
      <c r="C152" s="3070">
        <v>12</v>
      </c>
      <c r="E152" s="3070">
        <v>1301</v>
      </c>
      <c r="F152" s="3070" t="s">
        <v>4531</v>
      </c>
      <c r="G152" s="3070" t="s">
        <v>4532</v>
      </c>
      <c r="H152" s="3070">
        <v>1521675</v>
      </c>
      <c r="I152" s="3070">
        <v>1521675</v>
      </c>
      <c r="J152" s="3070">
        <v>121.61</v>
      </c>
      <c r="K152" s="3070">
        <v>90.43</v>
      </c>
      <c r="L152" s="3070">
        <v>0</v>
      </c>
      <c r="M152" s="3070">
        <v>0</v>
      </c>
      <c r="N152" s="3070">
        <v>15444.44</v>
      </c>
      <c r="O152" s="3070">
        <v>1878198</v>
      </c>
      <c r="P152" s="3070">
        <v>12512.75</v>
      </c>
      <c r="Q152" s="3070">
        <v>1521675</v>
      </c>
      <c r="R152" s="3070" t="s">
        <v>3227</v>
      </c>
      <c r="S152" s="3070" t="s">
        <v>4533</v>
      </c>
      <c r="T152" s="3070" t="s">
        <v>3246</v>
      </c>
      <c r="U152" s="3070" t="s">
        <v>3259</v>
      </c>
      <c r="V152" s="3070" t="s">
        <v>3230</v>
      </c>
      <c r="Y152" s="3070">
        <v>461675</v>
      </c>
      <c r="Z152" s="3070">
        <v>152168</v>
      </c>
      <c r="AA152" s="3070">
        <v>461675</v>
      </c>
      <c r="AB152" s="3070">
        <v>0</v>
      </c>
      <c r="AC152" s="3070">
        <v>1060000</v>
      </c>
      <c r="AD152" s="3070">
        <v>1060000</v>
      </c>
      <c r="AE152" s="3070">
        <v>0</v>
      </c>
      <c r="AI152" s="3070" t="s">
        <v>3227</v>
      </c>
      <c r="AJ152" s="3070">
        <v>0</v>
      </c>
      <c r="AK152" s="3070">
        <v>0</v>
      </c>
      <c r="AL152" s="3070">
        <v>0</v>
      </c>
      <c r="AM152" s="3070">
        <v>12512.75</v>
      </c>
      <c r="AN152" s="3070">
        <v>1521675</v>
      </c>
      <c r="AP152" s="3070">
        <v>1521675</v>
      </c>
      <c r="AQ152" s="3072">
        <v>45230</v>
      </c>
      <c r="AT152" s="3073">
        <v>45770</v>
      </c>
      <c r="AV152" s="3070" t="s">
        <v>4534</v>
      </c>
      <c r="AW152" s="3070" t="s">
        <v>4535</v>
      </c>
      <c r="AX152" s="3070" t="s">
        <v>4536</v>
      </c>
      <c r="AY152" s="3070" t="s">
        <v>3337</v>
      </c>
      <c r="BC152" s="3070" t="s">
        <v>3284</v>
      </c>
      <c r="BD152" s="3070" t="s">
        <v>3075</v>
      </c>
      <c r="BI152" s="3070" t="s">
        <v>3235</v>
      </c>
      <c r="BJ152" s="3070" t="s">
        <v>3236</v>
      </c>
      <c r="BL152" s="3070" t="s">
        <v>4537</v>
      </c>
      <c r="BM152" s="3070" t="s">
        <v>4439</v>
      </c>
      <c r="BN152" s="3070">
        <v>130</v>
      </c>
      <c r="BO152" s="3070" t="s">
        <v>3253</v>
      </c>
      <c r="BR152" s="3070">
        <v>741</v>
      </c>
      <c r="BS152" s="3070" t="s">
        <v>3238</v>
      </c>
      <c r="BZ152" s="3073">
        <v>44153.833333333336</v>
      </c>
      <c r="CA152" s="3070">
        <v>12</v>
      </c>
      <c r="CD152" s="3070" t="s">
        <v>3239</v>
      </c>
      <c r="CF152" s="3070" t="s">
        <v>3091</v>
      </c>
      <c r="CH152" s="3070" t="s">
        <v>3240</v>
      </c>
      <c r="CI152" s="3070">
        <v>0</v>
      </c>
      <c r="CK152" s="3070" t="s">
        <v>3337</v>
      </c>
      <c r="CL152" s="3070" t="s">
        <v>3337</v>
      </c>
      <c r="CM152" s="3070">
        <v>1396032.1</v>
      </c>
      <c r="CV152" s="3070" t="s">
        <v>3246</v>
      </c>
      <c r="CW152" s="3070" t="s">
        <v>4538</v>
      </c>
      <c r="CX152" s="3070" t="s">
        <v>3311</v>
      </c>
      <c r="CZ152" s="3070">
        <v>213894.57</v>
      </c>
      <c r="DA152" s="3070">
        <v>159426.93</v>
      </c>
      <c r="DB152" s="3070">
        <v>0</v>
      </c>
      <c r="DC152" s="3070">
        <v>0</v>
      </c>
      <c r="DD152" s="3070">
        <v>3290547602</v>
      </c>
      <c r="DE152" s="3070">
        <v>2764253109</v>
      </c>
      <c r="DF152" s="3070">
        <v>1464966739</v>
      </c>
      <c r="DG152" s="3070">
        <v>14938370</v>
      </c>
      <c r="DH152" s="3070">
        <v>1284348000</v>
      </c>
      <c r="DI152" s="3070">
        <v>1278128000</v>
      </c>
      <c r="DJ152" s="3070">
        <v>6220000</v>
      </c>
      <c r="DK152" s="3070">
        <v>0</v>
      </c>
      <c r="DL152" s="3070">
        <v>0</v>
      </c>
      <c r="DM152" s="3070">
        <v>25491817.620000001</v>
      </c>
      <c r="DN152" s="3070">
        <v>2764253109</v>
      </c>
      <c r="DP152" s="3070">
        <v>2764253109</v>
      </c>
    </row>
    <row r="153" spans="1:120">
      <c r="A153" s="3070">
        <v>152</v>
      </c>
      <c r="B153" s="3070" t="s">
        <v>3224</v>
      </c>
      <c r="C153" s="3070">
        <v>12</v>
      </c>
      <c r="E153" s="3070">
        <v>1302</v>
      </c>
      <c r="F153" s="3070" t="s">
        <v>4539</v>
      </c>
      <c r="G153" s="3070" t="s">
        <v>4540</v>
      </c>
      <c r="H153" s="3070">
        <v>1284817</v>
      </c>
      <c r="I153" s="3070">
        <v>1284817</v>
      </c>
      <c r="J153" s="3070">
        <v>101.44</v>
      </c>
      <c r="K153" s="3070">
        <v>75.430000000000007</v>
      </c>
      <c r="L153" s="3070">
        <v>0</v>
      </c>
      <c r="M153" s="3070">
        <v>0</v>
      </c>
      <c r="N153" s="3070">
        <v>15544.44</v>
      </c>
      <c r="O153" s="3070">
        <v>1576828</v>
      </c>
      <c r="P153" s="3070">
        <v>12665.78</v>
      </c>
      <c r="Q153" s="3070">
        <v>1284817</v>
      </c>
      <c r="R153" s="3070" t="s">
        <v>3227</v>
      </c>
      <c r="S153" s="3070" t="s">
        <v>4541</v>
      </c>
      <c r="T153" s="3070" t="s">
        <v>3246</v>
      </c>
      <c r="U153" s="3070" t="s">
        <v>3259</v>
      </c>
      <c r="V153" s="3070" t="s">
        <v>3230</v>
      </c>
      <c r="Y153" s="3070">
        <v>394817</v>
      </c>
      <c r="Z153" s="3070">
        <v>394817</v>
      </c>
      <c r="AA153" s="3070">
        <v>394817</v>
      </c>
      <c r="AB153" s="3070">
        <v>0</v>
      </c>
      <c r="AC153" s="3070">
        <v>890000</v>
      </c>
      <c r="AD153" s="3070">
        <v>890000</v>
      </c>
      <c r="AE153" s="3070">
        <v>0</v>
      </c>
      <c r="AI153" s="3070" t="s">
        <v>3227</v>
      </c>
      <c r="AJ153" s="3070">
        <v>0</v>
      </c>
      <c r="AK153" s="3070">
        <v>0</v>
      </c>
      <c r="AL153" s="3070">
        <v>0</v>
      </c>
      <c r="AM153" s="3070">
        <v>12665.78</v>
      </c>
      <c r="AN153" s="3070">
        <v>1284817</v>
      </c>
      <c r="AP153" s="3070">
        <v>1284817</v>
      </c>
      <c r="AQ153" s="3072">
        <v>45230</v>
      </c>
      <c r="AT153" s="3073">
        <v>45770</v>
      </c>
      <c r="AV153" s="3070" t="s">
        <v>4542</v>
      </c>
      <c r="AW153" s="3070" t="s">
        <v>4543</v>
      </c>
      <c r="AX153" s="3070" t="s">
        <v>4544</v>
      </c>
      <c r="AY153" s="3070" t="s">
        <v>4100</v>
      </c>
      <c r="BA153" s="3070" t="s">
        <v>4545</v>
      </c>
      <c r="BC153" s="3070" t="s">
        <v>4209</v>
      </c>
      <c r="BD153" s="3070" t="s">
        <v>3077</v>
      </c>
      <c r="BI153" s="3070" t="s">
        <v>3235</v>
      </c>
      <c r="BL153" s="3070" t="s">
        <v>4546</v>
      </c>
      <c r="BM153" s="3070" t="s">
        <v>4439</v>
      </c>
      <c r="BN153" s="3070">
        <v>130</v>
      </c>
      <c r="BO153" s="3070" t="s">
        <v>3253</v>
      </c>
      <c r="BR153" s="3070">
        <v>19</v>
      </c>
      <c r="BS153" s="3070" t="s">
        <v>3238</v>
      </c>
      <c r="BU153" s="3070" t="s">
        <v>4545</v>
      </c>
      <c r="BZ153" s="3073">
        <v>44220.744444444441</v>
      </c>
      <c r="CA153" s="3070">
        <v>12</v>
      </c>
      <c r="CD153" s="3070" t="s">
        <v>3239</v>
      </c>
      <c r="CF153" s="3070" t="s">
        <v>3091</v>
      </c>
      <c r="CH153" s="3070" t="s">
        <v>3240</v>
      </c>
      <c r="CI153" s="3070">
        <v>0</v>
      </c>
      <c r="CK153" s="3070" t="s">
        <v>4100</v>
      </c>
      <c r="CL153" s="3070" t="s">
        <v>4545</v>
      </c>
      <c r="CM153" s="3070">
        <v>1178731.19</v>
      </c>
      <c r="CV153" s="3070" t="s">
        <v>3246</v>
      </c>
      <c r="CW153" s="3070" t="s">
        <v>4547</v>
      </c>
      <c r="CX153" s="3070" t="s">
        <v>3242</v>
      </c>
      <c r="CZ153" s="3070">
        <v>213894.57</v>
      </c>
      <c r="DA153" s="3070">
        <v>159426.93</v>
      </c>
      <c r="DB153" s="3070">
        <v>0</v>
      </c>
      <c r="DC153" s="3070">
        <v>0</v>
      </c>
      <c r="DD153" s="3070">
        <v>3290547602</v>
      </c>
      <c r="DE153" s="3070">
        <v>2764253109</v>
      </c>
      <c r="DF153" s="3070">
        <v>1464966739</v>
      </c>
      <c r="DG153" s="3070">
        <v>14938370</v>
      </c>
      <c r="DH153" s="3070">
        <v>1284348000</v>
      </c>
      <c r="DI153" s="3070">
        <v>1278128000</v>
      </c>
      <c r="DJ153" s="3070">
        <v>6220000</v>
      </c>
      <c r="DK153" s="3070">
        <v>0</v>
      </c>
      <c r="DL153" s="3070">
        <v>0</v>
      </c>
      <c r="DM153" s="3070">
        <v>25491817.620000001</v>
      </c>
      <c r="DN153" s="3070">
        <v>2764253109</v>
      </c>
      <c r="DP153" s="3070">
        <v>2764253109</v>
      </c>
    </row>
    <row r="154" spans="1:120">
      <c r="A154" s="3070">
        <v>153</v>
      </c>
      <c r="B154" s="3070" t="s">
        <v>3224</v>
      </c>
      <c r="C154" s="3070">
        <v>12</v>
      </c>
      <c r="E154" s="3070">
        <v>1303</v>
      </c>
      <c r="F154" s="3070" t="s">
        <v>4548</v>
      </c>
      <c r="G154" s="3070" t="s">
        <v>4549</v>
      </c>
      <c r="H154" s="3070">
        <v>1278180</v>
      </c>
      <c r="I154" s="3070">
        <v>1278180</v>
      </c>
      <c r="J154" s="3070">
        <v>101.38</v>
      </c>
      <c r="K154" s="3070">
        <v>75.39</v>
      </c>
      <c r="L154" s="3070">
        <v>0</v>
      </c>
      <c r="M154" s="3070">
        <v>0</v>
      </c>
      <c r="N154" s="3070">
        <v>15544.44</v>
      </c>
      <c r="O154" s="3070">
        <v>1575895</v>
      </c>
      <c r="P154" s="3070">
        <v>12607.81</v>
      </c>
      <c r="Q154" s="3070">
        <v>1278180</v>
      </c>
      <c r="R154" s="3070" t="s">
        <v>3227</v>
      </c>
      <c r="S154" s="3070" t="s">
        <v>4550</v>
      </c>
      <c r="T154" s="3070" t="s">
        <v>3246</v>
      </c>
      <c r="U154" s="3070" t="s">
        <v>3259</v>
      </c>
      <c r="V154" s="3070" t="s">
        <v>3230</v>
      </c>
      <c r="Y154" s="3070">
        <v>388180</v>
      </c>
      <c r="Z154" s="3070">
        <v>388180</v>
      </c>
      <c r="AA154" s="3070">
        <v>388180</v>
      </c>
      <c r="AB154" s="3070">
        <v>0</v>
      </c>
      <c r="AC154" s="3070">
        <v>890000</v>
      </c>
      <c r="AD154" s="3070">
        <v>890000</v>
      </c>
      <c r="AE154" s="3070">
        <v>0</v>
      </c>
      <c r="AI154" s="3070" t="s">
        <v>3227</v>
      </c>
      <c r="AJ154" s="3070">
        <v>0</v>
      </c>
      <c r="AK154" s="3070">
        <v>0</v>
      </c>
      <c r="AL154" s="3070">
        <v>0</v>
      </c>
      <c r="AM154" s="3070">
        <v>12607.81</v>
      </c>
      <c r="AN154" s="3070">
        <v>1278180</v>
      </c>
      <c r="AP154" s="3070">
        <v>1278180</v>
      </c>
      <c r="AQ154" s="3072">
        <v>45230</v>
      </c>
      <c r="AT154" s="3073">
        <v>45770</v>
      </c>
      <c r="AV154" s="3070" t="s">
        <v>4551</v>
      </c>
      <c r="AW154" s="3070" t="s">
        <v>4552</v>
      </c>
      <c r="AX154" s="3070" t="s">
        <v>4553</v>
      </c>
      <c r="AY154" s="3070" t="s">
        <v>3283</v>
      </c>
      <c r="BC154" s="3070" t="s">
        <v>3284</v>
      </c>
      <c r="BD154" s="3070" t="s">
        <v>3077</v>
      </c>
      <c r="BI154" s="3070" t="s">
        <v>3235</v>
      </c>
      <c r="BL154" s="3070" t="s">
        <v>4554</v>
      </c>
      <c r="BM154" s="3070" t="s">
        <v>4439</v>
      </c>
      <c r="BN154" s="3070">
        <v>130</v>
      </c>
      <c r="BO154" s="3070" t="s">
        <v>3253</v>
      </c>
      <c r="BR154" s="3070">
        <v>709</v>
      </c>
      <c r="BS154" s="3070" t="s">
        <v>3238</v>
      </c>
      <c r="BZ154" s="3073">
        <v>44142.646527777775</v>
      </c>
      <c r="CA154" s="3070">
        <v>12</v>
      </c>
      <c r="CD154" s="3070" t="s">
        <v>3239</v>
      </c>
      <c r="CF154" s="3070" t="s">
        <v>3091</v>
      </c>
      <c r="CH154" s="3070" t="s">
        <v>3240</v>
      </c>
      <c r="CI154" s="3070">
        <v>0</v>
      </c>
      <c r="CK154" s="3070" t="s">
        <v>3283</v>
      </c>
      <c r="CL154" s="3070" t="s">
        <v>3283</v>
      </c>
      <c r="CM154" s="3070">
        <v>1172642.2</v>
      </c>
      <c r="CV154" s="3070" t="s">
        <v>3246</v>
      </c>
      <c r="CW154" s="3070" t="s">
        <v>4555</v>
      </c>
      <c r="CX154" s="3070" t="s">
        <v>3267</v>
      </c>
      <c r="CZ154" s="3070">
        <v>213894.57</v>
      </c>
      <c r="DA154" s="3070">
        <v>159426.93</v>
      </c>
      <c r="DB154" s="3070">
        <v>0</v>
      </c>
      <c r="DC154" s="3070">
        <v>0</v>
      </c>
      <c r="DD154" s="3070">
        <v>3290547602</v>
      </c>
      <c r="DE154" s="3070">
        <v>2764253109</v>
      </c>
      <c r="DF154" s="3070">
        <v>1464966739</v>
      </c>
      <c r="DG154" s="3070">
        <v>14938370</v>
      </c>
      <c r="DH154" s="3070">
        <v>1284348000</v>
      </c>
      <c r="DI154" s="3070">
        <v>1278128000</v>
      </c>
      <c r="DJ154" s="3070">
        <v>6220000</v>
      </c>
      <c r="DK154" s="3070">
        <v>0</v>
      </c>
      <c r="DL154" s="3070">
        <v>0</v>
      </c>
      <c r="DM154" s="3070">
        <v>25491817.620000001</v>
      </c>
      <c r="DN154" s="3070">
        <v>2764253109</v>
      </c>
      <c r="DP154" s="3070">
        <v>2764253109</v>
      </c>
    </row>
    <row r="155" spans="1:120">
      <c r="A155" s="3070">
        <v>154</v>
      </c>
      <c r="B155" s="3070" t="s">
        <v>3224</v>
      </c>
      <c r="C155" s="3070">
        <v>12</v>
      </c>
      <c r="E155" s="3070">
        <v>1304</v>
      </c>
      <c r="F155" s="3070" t="s">
        <v>4556</v>
      </c>
      <c r="G155" s="3070" t="s">
        <v>4557</v>
      </c>
      <c r="H155" s="3070">
        <v>1510115</v>
      </c>
      <c r="I155" s="3070">
        <v>1510115</v>
      </c>
      <c r="J155" s="3070">
        <v>121.61</v>
      </c>
      <c r="K155" s="3070">
        <v>90.43</v>
      </c>
      <c r="L155" s="3070">
        <v>0</v>
      </c>
      <c r="M155" s="3070">
        <v>0</v>
      </c>
      <c r="N155" s="3070">
        <v>15344.44</v>
      </c>
      <c r="O155" s="3070">
        <v>1866037</v>
      </c>
      <c r="P155" s="3070">
        <v>12417.69</v>
      </c>
      <c r="Q155" s="3070">
        <v>1510115</v>
      </c>
      <c r="R155" s="3070" t="s">
        <v>3227</v>
      </c>
      <c r="S155" s="3070" t="s">
        <v>4558</v>
      </c>
      <c r="T155" s="3070" t="s">
        <v>3246</v>
      </c>
      <c r="U155" s="3070" t="s">
        <v>3279</v>
      </c>
      <c r="V155" s="3070" t="s">
        <v>3230</v>
      </c>
      <c r="Y155" s="3070">
        <v>460115</v>
      </c>
      <c r="Z155" s="3070">
        <v>460115</v>
      </c>
      <c r="AA155" s="3070">
        <v>460115</v>
      </c>
      <c r="AB155" s="3070">
        <v>0</v>
      </c>
      <c r="AC155" s="3070">
        <v>1050000</v>
      </c>
      <c r="AD155" s="3070">
        <v>1050000</v>
      </c>
      <c r="AE155" s="3070">
        <v>0</v>
      </c>
      <c r="AI155" s="3070" t="s">
        <v>3227</v>
      </c>
      <c r="AJ155" s="3070">
        <v>0</v>
      </c>
      <c r="AK155" s="3070">
        <v>0</v>
      </c>
      <c r="AL155" s="3070">
        <v>0</v>
      </c>
      <c r="AM155" s="3070">
        <v>12417.69</v>
      </c>
      <c r="AN155" s="3070">
        <v>1510115</v>
      </c>
      <c r="AP155" s="3070">
        <v>1510115</v>
      </c>
      <c r="AQ155" s="3072">
        <v>45230</v>
      </c>
      <c r="AT155" s="3073">
        <v>45770</v>
      </c>
      <c r="AV155" s="3070" t="s">
        <v>4559</v>
      </c>
      <c r="AW155" s="3070" t="s">
        <v>4560</v>
      </c>
      <c r="AX155" s="3070" t="s">
        <v>4561</v>
      </c>
      <c r="AY155" s="3070" t="s">
        <v>3283</v>
      </c>
      <c r="BC155" s="3070" t="s">
        <v>3284</v>
      </c>
      <c r="BD155" s="3070" t="s">
        <v>3075</v>
      </c>
      <c r="BI155" s="3070" t="s">
        <v>3295</v>
      </c>
      <c r="BL155" s="3070" t="s">
        <v>4562</v>
      </c>
      <c r="BM155" s="3070" t="s">
        <v>4439</v>
      </c>
      <c r="BN155" s="3070">
        <v>130</v>
      </c>
      <c r="BO155" s="3070" t="s">
        <v>3253</v>
      </c>
      <c r="BR155" s="3070">
        <v>623</v>
      </c>
      <c r="BS155" s="3070" t="s">
        <v>3238</v>
      </c>
      <c r="BZ155" s="3073">
        <v>44149.680555555555</v>
      </c>
      <c r="CA155" s="3070">
        <v>12</v>
      </c>
      <c r="CD155" s="3070" t="s">
        <v>3239</v>
      </c>
      <c r="CF155" s="3070" t="s">
        <v>3091</v>
      </c>
      <c r="CH155" s="3070" t="s">
        <v>3240</v>
      </c>
      <c r="CI155" s="3070">
        <v>0</v>
      </c>
      <c r="CK155" s="3070" t="s">
        <v>3283</v>
      </c>
      <c r="CL155" s="3070" t="s">
        <v>3283</v>
      </c>
      <c r="CM155" s="3070">
        <v>1385426.61</v>
      </c>
      <c r="CV155" s="3070" t="s">
        <v>3246</v>
      </c>
      <c r="CW155" s="3070" t="s">
        <v>4563</v>
      </c>
      <c r="CZ155" s="3070">
        <v>213894.57</v>
      </c>
      <c r="DA155" s="3070">
        <v>159426.93</v>
      </c>
      <c r="DB155" s="3070">
        <v>0</v>
      </c>
      <c r="DC155" s="3070">
        <v>0</v>
      </c>
      <c r="DD155" s="3070">
        <v>3290547602</v>
      </c>
      <c r="DE155" s="3070">
        <v>2764253109</v>
      </c>
      <c r="DF155" s="3070">
        <v>1464966739</v>
      </c>
      <c r="DG155" s="3070">
        <v>14938370</v>
      </c>
      <c r="DH155" s="3070">
        <v>1284348000</v>
      </c>
      <c r="DI155" s="3070">
        <v>1278128000</v>
      </c>
      <c r="DJ155" s="3070">
        <v>6220000</v>
      </c>
      <c r="DK155" s="3070">
        <v>0</v>
      </c>
      <c r="DL155" s="3070">
        <v>0</v>
      </c>
      <c r="DM155" s="3070">
        <v>25491817.620000001</v>
      </c>
      <c r="DN155" s="3070">
        <v>2764253109</v>
      </c>
      <c r="DP155" s="3070">
        <v>2764253109</v>
      </c>
    </row>
    <row r="156" spans="1:120">
      <c r="A156" s="3070">
        <v>155</v>
      </c>
      <c r="B156" s="3070" t="s">
        <v>3224</v>
      </c>
      <c r="C156" s="3070">
        <v>12</v>
      </c>
      <c r="E156" s="3070">
        <v>1401</v>
      </c>
      <c r="F156" s="3070" t="s">
        <v>4564</v>
      </c>
      <c r="G156" s="3070" t="s">
        <v>4565</v>
      </c>
      <c r="H156" s="3070">
        <v>1457315</v>
      </c>
      <c r="I156" s="3070">
        <v>1457315</v>
      </c>
      <c r="J156" s="3070">
        <v>121.61</v>
      </c>
      <c r="K156" s="3070">
        <v>90.43</v>
      </c>
      <c r="L156" s="3070">
        <v>0</v>
      </c>
      <c r="M156" s="3070">
        <v>0</v>
      </c>
      <c r="N156" s="3070">
        <v>15344.44</v>
      </c>
      <c r="O156" s="3070">
        <v>1866037</v>
      </c>
      <c r="P156" s="3070">
        <v>11983.51</v>
      </c>
      <c r="Q156" s="3070">
        <v>1457315</v>
      </c>
      <c r="R156" s="3070" t="s">
        <v>3227</v>
      </c>
      <c r="S156" s="3070" t="s">
        <v>4566</v>
      </c>
      <c r="T156" s="3070" t="s">
        <v>3246</v>
      </c>
      <c r="U156" s="3070" t="s">
        <v>3247</v>
      </c>
      <c r="V156" s="3070" t="s">
        <v>3230</v>
      </c>
      <c r="Y156" s="3070">
        <v>437315</v>
      </c>
      <c r="Z156" s="3070">
        <v>437315</v>
      </c>
      <c r="AA156" s="3070">
        <v>437315</v>
      </c>
      <c r="AB156" s="3070">
        <v>0</v>
      </c>
      <c r="AC156" s="3070">
        <v>1020000</v>
      </c>
      <c r="AD156" s="3070">
        <v>1020000</v>
      </c>
      <c r="AE156" s="3070">
        <v>0</v>
      </c>
      <c r="AI156" s="3070" t="s">
        <v>3227</v>
      </c>
      <c r="AJ156" s="3070">
        <v>0</v>
      </c>
      <c r="AK156" s="3070">
        <v>0</v>
      </c>
      <c r="AL156" s="3070">
        <v>0</v>
      </c>
      <c r="AM156" s="3070">
        <v>11983.51</v>
      </c>
      <c r="AN156" s="3070">
        <v>1457315</v>
      </c>
      <c r="AP156" s="3070">
        <v>1457315</v>
      </c>
      <c r="AQ156" s="3072">
        <v>45230</v>
      </c>
      <c r="AT156" s="3073">
        <v>45770</v>
      </c>
      <c r="AV156" s="3070" t="s">
        <v>4567</v>
      </c>
      <c r="AW156" s="3070" t="s">
        <v>4568</v>
      </c>
      <c r="AX156" s="3070" t="s">
        <v>4569</v>
      </c>
      <c r="AY156" s="3070" t="s">
        <v>3892</v>
      </c>
      <c r="BA156" s="3070" t="s">
        <v>3892</v>
      </c>
      <c r="BC156" s="3070" t="s">
        <v>4570</v>
      </c>
      <c r="BD156" s="3070" t="s">
        <v>3075</v>
      </c>
      <c r="BI156" s="3070" t="s">
        <v>3235</v>
      </c>
      <c r="BL156" s="3070" t="s">
        <v>4571</v>
      </c>
      <c r="BM156" s="3070" t="s">
        <v>4439</v>
      </c>
      <c r="BN156" s="3070">
        <v>140</v>
      </c>
      <c r="BO156" s="3070" t="s">
        <v>3253</v>
      </c>
      <c r="BR156" s="3070">
        <v>19</v>
      </c>
      <c r="BS156" s="3070" t="s">
        <v>3238</v>
      </c>
      <c r="BU156" s="3070" t="s">
        <v>3892</v>
      </c>
      <c r="BZ156" s="3073">
        <v>44212.848611111112</v>
      </c>
      <c r="CA156" s="3070">
        <v>12</v>
      </c>
      <c r="CD156" s="3070" t="s">
        <v>3239</v>
      </c>
      <c r="CF156" s="3070" t="s">
        <v>3091</v>
      </c>
      <c r="CH156" s="3070" t="s">
        <v>3240</v>
      </c>
      <c r="CI156" s="3070">
        <v>0</v>
      </c>
      <c r="CK156" s="3070" t="s">
        <v>3892</v>
      </c>
      <c r="CL156" s="3070" t="s">
        <v>4056</v>
      </c>
      <c r="CM156" s="3070">
        <v>1336986.24</v>
      </c>
      <c r="CV156" s="3070" t="s">
        <v>3246</v>
      </c>
      <c r="CW156" s="3070" t="s">
        <v>4572</v>
      </c>
      <c r="CX156" s="3070" t="s">
        <v>3267</v>
      </c>
      <c r="CZ156" s="3070">
        <v>213894.57</v>
      </c>
      <c r="DA156" s="3070">
        <v>159426.93</v>
      </c>
      <c r="DB156" s="3070">
        <v>0</v>
      </c>
      <c r="DC156" s="3070">
        <v>0</v>
      </c>
      <c r="DD156" s="3070">
        <v>3290547602</v>
      </c>
      <c r="DE156" s="3070">
        <v>2764253109</v>
      </c>
      <c r="DF156" s="3070">
        <v>1464966739</v>
      </c>
      <c r="DG156" s="3070">
        <v>14938370</v>
      </c>
      <c r="DH156" s="3070">
        <v>1284348000</v>
      </c>
      <c r="DI156" s="3070">
        <v>1278128000</v>
      </c>
      <c r="DJ156" s="3070">
        <v>6220000</v>
      </c>
      <c r="DK156" s="3070">
        <v>0</v>
      </c>
      <c r="DL156" s="3070">
        <v>0</v>
      </c>
      <c r="DM156" s="3070">
        <v>25491817.620000001</v>
      </c>
      <c r="DN156" s="3070">
        <v>2764253109</v>
      </c>
      <c r="DP156" s="3070">
        <v>2764253109</v>
      </c>
    </row>
    <row r="157" spans="1:120">
      <c r="A157" s="3070">
        <v>156</v>
      </c>
      <c r="B157" s="3070" t="s">
        <v>3224</v>
      </c>
      <c r="C157" s="3070">
        <v>12</v>
      </c>
      <c r="E157" s="3070">
        <v>1402</v>
      </c>
      <c r="F157" s="3070" t="s">
        <v>4573</v>
      </c>
      <c r="G157" s="3070" t="s">
        <v>4574</v>
      </c>
      <c r="H157" s="3070">
        <v>1269293</v>
      </c>
      <c r="I157" s="3070">
        <v>1269293</v>
      </c>
      <c r="J157" s="3070">
        <v>101.44</v>
      </c>
      <c r="K157" s="3070">
        <v>75.430000000000007</v>
      </c>
      <c r="L157" s="3070">
        <v>0</v>
      </c>
      <c r="M157" s="3070">
        <v>0</v>
      </c>
      <c r="N157" s="3070">
        <v>15444.44</v>
      </c>
      <c r="O157" s="3070">
        <v>1566684</v>
      </c>
      <c r="P157" s="3070">
        <v>12512.75</v>
      </c>
      <c r="Q157" s="3070">
        <v>1269293</v>
      </c>
      <c r="R157" s="3070" t="s">
        <v>3227</v>
      </c>
      <c r="S157" s="3070" t="s">
        <v>4575</v>
      </c>
      <c r="T157" s="3070" t="s">
        <v>3246</v>
      </c>
      <c r="U157" s="3070" t="s">
        <v>3247</v>
      </c>
      <c r="V157" s="3070" t="s">
        <v>3230</v>
      </c>
      <c r="Y157" s="3070">
        <v>709293</v>
      </c>
      <c r="Z157" s="3070">
        <v>709293</v>
      </c>
      <c r="AA157" s="3070">
        <v>709293</v>
      </c>
      <c r="AB157" s="3070">
        <v>0</v>
      </c>
      <c r="AC157" s="3070">
        <v>560000</v>
      </c>
      <c r="AD157" s="3070">
        <v>560000</v>
      </c>
      <c r="AE157" s="3070">
        <v>0</v>
      </c>
      <c r="AI157" s="3070" t="s">
        <v>3227</v>
      </c>
      <c r="AJ157" s="3070">
        <v>0</v>
      </c>
      <c r="AK157" s="3070">
        <v>0</v>
      </c>
      <c r="AL157" s="3070">
        <v>0</v>
      </c>
      <c r="AM157" s="3070">
        <v>12512.75</v>
      </c>
      <c r="AN157" s="3070">
        <v>1269293</v>
      </c>
      <c r="AP157" s="3070">
        <v>1269293</v>
      </c>
      <c r="AQ157" s="3072">
        <v>45230</v>
      </c>
      <c r="AT157" s="3073">
        <v>45770</v>
      </c>
      <c r="AV157" s="3074">
        <v>3.21E+17</v>
      </c>
      <c r="AW157" s="3070" t="s">
        <v>4576</v>
      </c>
      <c r="AX157" s="3070" t="s">
        <v>4577</v>
      </c>
      <c r="AY157" s="3070" t="s">
        <v>3954</v>
      </c>
      <c r="BC157" s="3070" t="s">
        <v>3284</v>
      </c>
      <c r="BD157" s="3070" t="s">
        <v>3077</v>
      </c>
      <c r="BI157" s="3070" t="s">
        <v>3235</v>
      </c>
      <c r="BJ157" s="3070" t="s">
        <v>4578</v>
      </c>
      <c r="BL157" s="3070" t="s">
        <v>4579</v>
      </c>
      <c r="BM157" s="3070" t="s">
        <v>4439</v>
      </c>
      <c r="BN157" s="3070">
        <v>140</v>
      </c>
      <c r="BO157" s="3070" t="s">
        <v>3253</v>
      </c>
      <c r="BR157" s="3070">
        <v>396</v>
      </c>
      <c r="BS157" s="3070" t="s">
        <v>3238</v>
      </c>
      <c r="BZ157" s="3073">
        <v>44142.763888888891</v>
      </c>
      <c r="CA157" s="3070">
        <v>12</v>
      </c>
      <c r="CD157" s="3070" t="s">
        <v>3239</v>
      </c>
      <c r="CF157" s="3070" t="s">
        <v>3091</v>
      </c>
      <c r="CH157" s="3070" t="s">
        <v>3240</v>
      </c>
      <c r="CI157" s="3070">
        <v>0</v>
      </c>
      <c r="CK157" s="3070" t="s">
        <v>3957</v>
      </c>
      <c r="CL157" s="3070" t="s">
        <v>3954</v>
      </c>
      <c r="CM157" s="3070">
        <v>1164488.99</v>
      </c>
      <c r="CV157" s="3070" t="s">
        <v>3246</v>
      </c>
      <c r="CW157" s="3070" t="s">
        <v>4580</v>
      </c>
      <c r="CZ157" s="3070">
        <v>213894.57</v>
      </c>
      <c r="DA157" s="3070">
        <v>159426.93</v>
      </c>
      <c r="DB157" s="3070">
        <v>0</v>
      </c>
      <c r="DC157" s="3070">
        <v>0</v>
      </c>
      <c r="DD157" s="3070">
        <v>3290547602</v>
      </c>
      <c r="DE157" s="3070">
        <v>2764253109</v>
      </c>
      <c r="DF157" s="3070">
        <v>1464966739</v>
      </c>
      <c r="DG157" s="3070">
        <v>14938370</v>
      </c>
      <c r="DH157" s="3070">
        <v>1284348000</v>
      </c>
      <c r="DI157" s="3070">
        <v>1278128000</v>
      </c>
      <c r="DJ157" s="3070">
        <v>6220000</v>
      </c>
      <c r="DK157" s="3070">
        <v>0</v>
      </c>
      <c r="DL157" s="3070">
        <v>0</v>
      </c>
      <c r="DM157" s="3070">
        <v>25491817.620000001</v>
      </c>
      <c r="DN157" s="3070">
        <v>2764253109</v>
      </c>
      <c r="DP157" s="3070">
        <v>2764253109</v>
      </c>
    </row>
    <row r="158" spans="1:120">
      <c r="A158" s="3070">
        <v>157</v>
      </c>
      <c r="B158" s="3070" t="s">
        <v>3224</v>
      </c>
      <c r="C158" s="3070">
        <v>12</v>
      </c>
      <c r="E158" s="3070">
        <v>1403</v>
      </c>
      <c r="F158" s="3070" t="s">
        <v>4581</v>
      </c>
      <c r="G158" s="3070" t="s">
        <v>4582</v>
      </c>
      <c r="H158" s="3070">
        <v>1268542</v>
      </c>
      <c r="I158" s="3070">
        <v>1268542</v>
      </c>
      <c r="J158" s="3070">
        <v>101.38</v>
      </c>
      <c r="K158" s="3070">
        <v>75.39</v>
      </c>
      <c r="L158" s="3070">
        <v>0</v>
      </c>
      <c r="M158" s="3070">
        <v>0</v>
      </c>
      <c r="N158" s="3070">
        <v>15444.44</v>
      </c>
      <c r="O158" s="3070">
        <v>1565757</v>
      </c>
      <c r="P158" s="3070">
        <v>12512.74</v>
      </c>
      <c r="Q158" s="3070">
        <v>1268542</v>
      </c>
      <c r="R158" s="3070" t="s">
        <v>3227</v>
      </c>
      <c r="S158" s="3070" t="s">
        <v>4583</v>
      </c>
      <c r="T158" s="3070" t="s">
        <v>3246</v>
      </c>
      <c r="U158" s="3070" t="s">
        <v>3381</v>
      </c>
      <c r="V158" s="3070" t="s">
        <v>3230</v>
      </c>
      <c r="Y158" s="3070">
        <v>488542</v>
      </c>
      <c r="Z158" s="3070">
        <v>428542</v>
      </c>
      <c r="AA158" s="3070">
        <v>488542</v>
      </c>
      <c r="AB158" s="3070">
        <v>0</v>
      </c>
      <c r="AC158" s="3070">
        <v>780000</v>
      </c>
      <c r="AD158" s="3070">
        <v>780000</v>
      </c>
      <c r="AE158" s="3070">
        <v>0</v>
      </c>
      <c r="AI158" s="3070" t="s">
        <v>3227</v>
      </c>
      <c r="AJ158" s="3070">
        <v>0</v>
      </c>
      <c r="AK158" s="3070">
        <v>0</v>
      </c>
      <c r="AL158" s="3070">
        <v>0</v>
      </c>
      <c r="AM158" s="3070">
        <v>12512.74</v>
      </c>
      <c r="AN158" s="3070">
        <v>1268542</v>
      </c>
      <c r="AP158" s="3070">
        <v>1268542</v>
      </c>
      <c r="AQ158" s="3072">
        <v>45230</v>
      </c>
      <c r="AT158" s="3073">
        <v>45770</v>
      </c>
      <c r="AV158" s="3070" t="s">
        <v>4584</v>
      </c>
      <c r="AW158" s="3070" t="s">
        <v>4585</v>
      </c>
      <c r="AX158" s="3070" t="s">
        <v>4586</v>
      </c>
      <c r="AY158" s="3070" t="s">
        <v>3681</v>
      </c>
      <c r="BC158" s="3070" t="s">
        <v>3284</v>
      </c>
      <c r="BD158" s="3070" t="s">
        <v>3077</v>
      </c>
      <c r="BI158" s="3070" t="s">
        <v>3235</v>
      </c>
      <c r="BJ158" s="3070" t="s">
        <v>3328</v>
      </c>
      <c r="BL158" s="3070" t="s">
        <v>4587</v>
      </c>
      <c r="BM158" s="3070" t="s">
        <v>4439</v>
      </c>
      <c r="BN158" s="3070">
        <v>140</v>
      </c>
      <c r="BO158" s="3070" t="s">
        <v>3253</v>
      </c>
      <c r="BR158" s="3070">
        <v>665</v>
      </c>
      <c r="BS158" s="3070" t="s">
        <v>3238</v>
      </c>
      <c r="BZ158" s="3073">
        <v>44142.661805555559</v>
      </c>
      <c r="CA158" s="3070">
        <v>12</v>
      </c>
      <c r="CD158" s="3070" t="s">
        <v>3239</v>
      </c>
      <c r="CF158" s="3070" t="s">
        <v>3091</v>
      </c>
      <c r="CH158" s="3070" t="s">
        <v>3240</v>
      </c>
      <c r="CI158" s="3070">
        <v>0</v>
      </c>
      <c r="CK158" s="3070" t="s">
        <v>3681</v>
      </c>
      <c r="CL158" s="3070" t="s">
        <v>3681</v>
      </c>
      <c r="CM158" s="3070">
        <v>1163800</v>
      </c>
      <c r="CV158" s="3070" t="s">
        <v>3246</v>
      </c>
      <c r="CW158" s="3070" t="s">
        <v>4588</v>
      </c>
      <c r="CX158" s="3070" t="s">
        <v>3267</v>
      </c>
      <c r="CZ158" s="3070">
        <v>213894.57</v>
      </c>
      <c r="DA158" s="3070">
        <v>159426.93</v>
      </c>
      <c r="DB158" s="3070">
        <v>0</v>
      </c>
      <c r="DC158" s="3070">
        <v>0</v>
      </c>
      <c r="DD158" s="3070">
        <v>3290547602</v>
      </c>
      <c r="DE158" s="3070">
        <v>2764253109</v>
      </c>
      <c r="DF158" s="3070">
        <v>1464966739</v>
      </c>
      <c r="DG158" s="3070">
        <v>14938370</v>
      </c>
      <c r="DH158" s="3070">
        <v>1284348000</v>
      </c>
      <c r="DI158" s="3070">
        <v>1278128000</v>
      </c>
      <c r="DJ158" s="3070">
        <v>6220000</v>
      </c>
      <c r="DK158" s="3070">
        <v>0</v>
      </c>
      <c r="DL158" s="3070">
        <v>0</v>
      </c>
      <c r="DM158" s="3070">
        <v>25491817.620000001</v>
      </c>
      <c r="DN158" s="3070">
        <v>2764253109</v>
      </c>
      <c r="DP158" s="3070">
        <v>2764253109</v>
      </c>
    </row>
    <row r="159" spans="1:120">
      <c r="A159" s="3070">
        <v>158</v>
      </c>
      <c r="B159" s="3070" t="s">
        <v>3224</v>
      </c>
      <c r="C159" s="3070">
        <v>12</v>
      </c>
      <c r="E159" s="3070">
        <v>1404</v>
      </c>
      <c r="F159" s="3070" t="s">
        <v>4589</v>
      </c>
      <c r="G159" s="3070" t="s">
        <v>4590</v>
      </c>
      <c r="H159" s="3070">
        <v>1544931</v>
      </c>
      <c r="I159" s="3070">
        <v>1544931</v>
      </c>
      <c r="J159" s="3070">
        <v>121.61</v>
      </c>
      <c r="K159" s="3070">
        <v>90.43</v>
      </c>
      <c r="L159" s="3070">
        <v>0</v>
      </c>
      <c r="M159" s="3070">
        <v>0</v>
      </c>
      <c r="N159" s="3070">
        <v>15244.44</v>
      </c>
      <c r="O159" s="3070">
        <v>1853876</v>
      </c>
      <c r="P159" s="3070">
        <v>12703.98</v>
      </c>
      <c r="Q159" s="3070">
        <v>1544931</v>
      </c>
      <c r="R159" s="3070" t="s">
        <v>3227</v>
      </c>
      <c r="S159" s="3070" t="s">
        <v>4591</v>
      </c>
      <c r="T159" s="3070" t="s">
        <v>3494</v>
      </c>
      <c r="V159" s="3070" t="s">
        <v>3230</v>
      </c>
      <c r="Y159" s="3070">
        <v>154493</v>
      </c>
      <c r="Z159" s="3070">
        <v>154493</v>
      </c>
      <c r="AA159" s="3070">
        <v>1544931</v>
      </c>
      <c r="AB159" s="3070">
        <v>0</v>
      </c>
      <c r="AC159" s="3070">
        <v>0</v>
      </c>
      <c r="AD159" s="3070">
        <v>0</v>
      </c>
      <c r="AE159" s="3070">
        <v>0</v>
      </c>
      <c r="AI159" s="3070" t="s">
        <v>3227</v>
      </c>
      <c r="AJ159" s="3070">
        <v>0</v>
      </c>
      <c r="AK159" s="3070">
        <v>0</v>
      </c>
      <c r="AL159" s="3070">
        <v>0</v>
      </c>
      <c r="AM159" s="3070">
        <v>12703.98</v>
      </c>
      <c r="AN159" s="3070">
        <v>1544931</v>
      </c>
      <c r="AP159" s="3070">
        <v>1544931</v>
      </c>
      <c r="AQ159" s="3072">
        <v>45230</v>
      </c>
      <c r="AT159" s="3073">
        <v>45770</v>
      </c>
      <c r="AV159" s="3074">
        <v>3.21E+17</v>
      </c>
      <c r="AW159" s="3070" t="s">
        <v>4592</v>
      </c>
      <c r="AX159" s="3070" t="s">
        <v>4593</v>
      </c>
      <c r="AY159" s="3070" t="s">
        <v>3587</v>
      </c>
      <c r="BA159" s="3070" t="s">
        <v>3587</v>
      </c>
      <c r="BC159" s="3070" t="s">
        <v>4594</v>
      </c>
      <c r="BD159" s="3070" t="s">
        <v>3075</v>
      </c>
      <c r="BI159" s="3070" t="s">
        <v>3295</v>
      </c>
      <c r="BL159" s="3070" t="s">
        <v>4595</v>
      </c>
      <c r="BM159" s="3070" t="s">
        <v>4439</v>
      </c>
      <c r="BN159" s="3070">
        <v>140</v>
      </c>
      <c r="BR159" s="3070">
        <v>16</v>
      </c>
      <c r="BS159" s="3070" t="s">
        <v>3238</v>
      </c>
      <c r="BU159" s="3070" t="s">
        <v>3587</v>
      </c>
      <c r="BZ159" s="3073">
        <v>44226.714583333334</v>
      </c>
      <c r="CA159" s="3070">
        <v>12</v>
      </c>
      <c r="CD159" s="3070" t="s">
        <v>3239</v>
      </c>
      <c r="CF159" s="3070" t="s">
        <v>3091</v>
      </c>
      <c r="CH159" s="3070" t="s">
        <v>3240</v>
      </c>
      <c r="CI159" s="3070">
        <v>0</v>
      </c>
      <c r="CK159" s="3070" t="s">
        <v>3587</v>
      </c>
      <c r="CL159" s="3070" t="s">
        <v>3590</v>
      </c>
      <c r="CM159" s="3070">
        <v>1417367.89</v>
      </c>
      <c r="CV159" s="3070" t="s">
        <v>3494</v>
      </c>
      <c r="CW159" s="3070" t="s">
        <v>4596</v>
      </c>
      <c r="CZ159" s="3070">
        <v>213894.57</v>
      </c>
      <c r="DA159" s="3070">
        <v>159426.93</v>
      </c>
      <c r="DB159" s="3070">
        <v>0</v>
      </c>
      <c r="DC159" s="3070">
        <v>0</v>
      </c>
      <c r="DD159" s="3070">
        <v>3290547602</v>
      </c>
      <c r="DE159" s="3070">
        <v>2764253109</v>
      </c>
      <c r="DF159" s="3070">
        <v>1464966739</v>
      </c>
      <c r="DG159" s="3070">
        <v>14938370</v>
      </c>
      <c r="DH159" s="3070">
        <v>1284348000</v>
      </c>
      <c r="DI159" s="3070">
        <v>1278128000</v>
      </c>
      <c r="DJ159" s="3070">
        <v>6220000</v>
      </c>
      <c r="DK159" s="3070">
        <v>0</v>
      </c>
      <c r="DL159" s="3070">
        <v>0</v>
      </c>
      <c r="DM159" s="3070">
        <v>25491817.620000001</v>
      </c>
      <c r="DN159" s="3070">
        <v>2764253109</v>
      </c>
      <c r="DP159" s="3070">
        <v>2764253109</v>
      </c>
    </row>
    <row r="160" spans="1:120">
      <c r="A160" s="3070">
        <v>159</v>
      </c>
      <c r="B160" s="3070" t="s">
        <v>3224</v>
      </c>
      <c r="C160" s="3070">
        <v>12</v>
      </c>
      <c r="E160" s="3070">
        <v>1501</v>
      </c>
      <c r="F160" s="3070" t="s">
        <v>4597</v>
      </c>
      <c r="G160" s="3070" t="s">
        <v>4598</v>
      </c>
      <c r="H160" s="3070">
        <v>1515895</v>
      </c>
      <c r="I160" s="3070">
        <v>1515895</v>
      </c>
      <c r="J160" s="3070">
        <v>121.61</v>
      </c>
      <c r="K160" s="3070">
        <v>90.43</v>
      </c>
      <c r="L160" s="3070">
        <v>0</v>
      </c>
      <c r="M160" s="3070">
        <v>0</v>
      </c>
      <c r="N160" s="3070">
        <v>15394.44</v>
      </c>
      <c r="O160" s="3070">
        <v>1872118</v>
      </c>
      <c r="P160" s="3070">
        <v>12465.22</v>
      </c>
      <c r="Q160" s="3070">
        <v>1515895</v>
      </c>
      <c r="R160" s="3070" t="s">
        <v>3227</v>
      </c>
      <c r="S160" s="3070" t="s">
        <v>4599</v>
      </c>
      <c r="T160" s="3070" t="s">
        <v>3246</v>
      </c>
      <c r="U160" s="3070" t="s">
        <v>3247</v>
      </c>
      <c r="V160" s="3070" t="s">
        <v>3230</v>
      </c>
      <c r="Y160" s="3070">
        <v>815895</v>
      </c>
      <c r="Z160" s="3070">
        <v>815895</v>
      </c>
      <c r="AA160" s="3070">
        <v>815895</v>
      </c>
      <c r="AB160" s="3070">
        <v>0</v>
      </c>
      <c r="AC160" s="3070">
        <v>700000</v>
      </c>
      <c r="AD160" s="3070">
        <v>700000</v>
      </c>
      <c r="AE160" s="3070">
        <v>0</v>
      </c>
      <c r="AI160" s="3070" t="s">
        <v>3227</v>
      </c>
      <c r="AJ160" s="3070">
        <v>0</v>
      </c>
      <c r="AK160" s="3070">
        <v>0</v>
      </c>
      <c r="AL160" s="3070">
        <v>0</v>
      </c>
      <c r="AM160" s="3070">
        <v>12465.22</v>
      </c>
      <c r="AN160" s="3070">
        <v>1515895</v>
      </c>
      <c r="AP160" s="3070">
        <v>1515895</v>
      </c>
      <c r="AQ160" s="3072">
        <v>45230</v>
      </c>
      <c r="AT160" s="3073">
        <v>45770</v>
      </c>
      <c r="AV160" s="3070" t="s">
        <v>4600</v>
      </c>
      <c r="AW160" s="3070" t="s">
        <v>4601</v>
      </c>
      <c r="AX160" s="3070" t="s">
        <v>4602</v>
      </c>
      <c r="AY160" s="3070" t="s">
        <v>3699</v>
      </c>
      <c r="BC160" s="3070" t="s">
        <v>3284</v>
      </c>
      <c r="BD160" s="3070" t="s">
        <v>3075</v>
      </c>
      <c r="BI160" s="3070" t="s">
        <v>3235</v>
      </c>
      <c r="BJ160" s="3070" t="s">
        <v>3236</v>
      </c>
      <c r="BL160" s="3070" t="s">
        <v>4603</v>
      </c>
      <c r="BM160" s="3070" t="s">
        <v>4439</v>
      </c>
      <c r="BN160" s="3070">
        <v>150</v>
      </c>
      <c r="BO160" s="3070" t="s">
        <v>3253</v>
      </c>
      <c r="BR160" s="3070">
        <v>520</v>
      </c>
      <c r="BS160" s="3070" t="s">
        <v>3238</v>
      </c>
      <c r="BZ160" s="3073">
        <v>44142.654166666667</v>
      </c>
      <c r="CA160" s="3070">
        <v>12</v>
      </c>
      <c r="CD160" s="3070" t="s">
        <v>3239</v>
      </c>
      <c r="CF160" s="3070" t="s">
        <v>3091</v>
      </c>
      <c r="CH160" s="3070" t="s">
        <v>3240</v>
      </c>
      <c r="CI160" s="3070">
        <v>0</v>
      </c>
      <c r="CK160" s="3070" t="s">
        <v>3699</v>
      </c>
      <c r="CL160" s="3070" t="s">
        <v>3699</v>
      </c>
      <c r="CM160" s="3070">
        <v>1390729.36</v>
      </c>
      <c r="CV160" s="3070" t="s">
        <v>3246</v>
      </c>
      <c r="CW160" s="3070" t="s">
        <v>4604</v>
      </c>
      <c r="CZ160" s="3070">
        <v>213894.57</v>
      </c>
      <c r="DA160" s="3070">
        <v>159426.93</v>
      </c>
      <c r="DB160" s="3070">
        <v>0</v>
      </c>
      <c r="DC160" s="3070">
        <v>0</v>
      </c>
      <c r="DD160" s="3070">
        <v>3290547602</v>
      </c>
      <c r="DE160" s="3070">
        <v>2764253109</v>
      </c>
      <c r="DF160" s="3070">
        <v>1464966739</v>
      </c>
      <c r="DG160" s="3070">
        <v>14938370</v>
      </c>
      <c r="DH160" s="3070">
        <v>1284348000</v>
      </c>
      <c r="DI160" s="3070">
        <v>1278128000</v>
      </c>
      <c r="DJ160" s="3070">
        <v>6220000</v>
      </c>
      <c r="DK160" s="3070">
        <v>0</v>
      </c>
      <c r="DL160" s="3070">
        <v>0</v>
      </c>
      <c r="DM160" s="3070">
        <v>25491817.620000001</v>
      </c>
      <c r="DN160" s="3070">
        <v>2764253109</v>
      </c>
      <c r="DP160" s="3070">
        <v>2764253109</v>
      </c>
    </row>
    <row r="161" spans="1:120">
      <c r="A161" s="3070">
        <v>160</v>
      </c>
      <c r="B161" s="3070" t="s">
        <v>3224</v>
      </c>
      <c r="C161" s="3070">
        <v>12</v>
      </c>
      <c r="E161" s="3070">
        <v>1502</v>
      </c>
      <c r="F161" s="3070" t="s">
        <v>4605</v>
      </c>
      <c r="G161" s="3070" t="s">
        <v>4606</v>
      </c>
      <c r="H161" s="3070">
        <v>1274115</v>
      </c>
      <c r="I161" s="3070">
        <v>1274115</v>
      </c>
      <c r="J161" s="3070">
        <v>101.44</v>
      </c>
      <c r="K161" s="3070">
        <v>75.430000000000007</v>
      </c>
      <c r="L161" s="3070">
        <v>0</v>
      </c>
      <c r="M161" s="3070">
        <v>0</v>
      </c>
      <c r="N161" s="3070">
        <v>15494.44</v>
      </c>
      <c r="O161" s="3070">
        <v>1571756</v>
      </c>
      <c r="P161" s="3070">
        <v>12560.28</v>
      </c>
      <c r="Q161" s="3070">
        <v>1274115</v>
      </c>
      <c r="R161" s="3070" t="s">
        <v>3227</v>
      </c>
      <c r="S161" s="3070" t="s">
        <v>4607</v>
      </c>
      <c r="T161" s="3070" t="s">
        <v>3258</v>
      </c>
      <c r="U161" s="3070" t="s">
        <v>3259</v>
      </c>
      <c r="V161" s="3070" t="s">
        <v>3230</v>
      </c>
      <c r="Y161" s="3070">
        <v>514115</v>
      </c>
      <c r="Z161" s="3070">
        <v>514115</v>
      </c>
      <c r="AA161" s="3070">
        <v>514115</v>
      </c>
      <c r="AB161" s="3070">
        <v>0</v>
      </c>
      <c r="AC161" s="3070">
        <v>760000</v>
      </c>
      <c r="AD161" s="3070">
        <v>760000</v>
      </c>
      <c r="AE161" s="3070">
        <v>0</v>
      </c>
      <c r="AI161" s="3070" t="s">
        <v>3227</v>
      </c>
      <c r="AJ161" s="3070">
        <v>0</v>
      </c>
      <c r="AK161" s="3070">
        <v>0</v>
      </c>
      <c r="AL161" s="3070">
        <v>0</v>
      </c>
      <c r="AM161" s="3070">
        <v>12560.28</v>
      </c>
      <c r="AN161" s="3070">
        <v>1274115</v>
      </c>
      <c r="AP161" s="3070">
        <v>1274115</v>
      </c>
      <c r="AQ161" s="3072">
        <v>45230</v>
      </c>
      <c r="AT161" s="3073">
        <v>45770</v>
      </c>
      <c r="AV161" s="3074">
        <v>3.21E+17</v>
      </c>
      <c r="AW161" s="3070" t="s">
        <v>4608</v>
      </c>
      <c r="AX161" s="3070" t="s">
        <v>4609</v>
      </c>
      <c r="AY161" s="3070" t="s">
        <v>3385</v>
      </c>
      <c r="BC161" s="3070" t="s">
        <v>3263</v>
      </c>
      <c r="BD161" s="3070" t="s">
        <v>3077</v>
      </c>
      <c r="BI161" s="3070" t="s">
        <v>3235</v>
      </c>
      <c r="BJ161" s="3070" t="s">
        <v>3338</v>
      </c>
      <c r="BL161" s="3070" t="s">
        <v>4610</v>
      </c>
      <c r="BM161" s="3070" t="s">
        <v>4439</v>
      </c>
      <c r="BN161" s="3070">
        <v>150</v>
      </c>
      <c r="BO161" s="3070" t="s">
        <v>3253</v>
      </c>
      <c r="BP161" s="3070" t="s">
        <v>3253</v>
      </c>
      <c r="BR161" s="3070">
        <v>538</v>
      </c>
      <c r="BS161" s="3070" t="s">
        <v>3238</v>
      </c>
      <c r="BZ161" s="3073">
        <v>44142.640972222223</v>
      </c>
      <c r="CA161" s="3070">
        <v>12</v>
      </c>
      <c r="CD161" s="3070" t="s">
        <v>3239</v>
      </c>
      <c r="CF161" s="3070" t="s">
        <v>3091</v>
      </c>
      <c r="CH161" s="3070" t="s">
        <v>3240</v>
      </c>
      <c r="CI161" s="3070">
        <v>0</v>
      </c>
      <c r="CJ161" s="3070" t="s">
        <v>3259</v>
      </c>
      <c r="CK161" s="3070" t="s">
        <v>3385</v>
      </c>
      <c r="CL161" s="3070" t="s">
        <v>3385</v>
      </c>
      <c r="CM161" s="3070">
        <v>1168912.8400000001</v>
      </c>
      <c r="CV161" s="3070" t="s">
        <v>3258</v>
      </c>
      <c r="CW161" s="3070" t="s">
        <v>4611</v>
      </c>
      <c r="CZ161" s="3070">
        <v>213894.57</v>
      </c>
      <c r="DA161" s="3070">
        <v>159426.93</v>
      </c>
      <c r="DB161" s="3070">
        <v>0</v>
      </c>
      <c r="DC161" s="3070">
        <v>0</v>
      </c>
      <c r="DD161" s="3070">
        <v>3290547602</v>
      </c>
      <c r="DE161" s="3070">
        <v>2764253109</v>
      </c>
      <c r="DF161" s="3070">
        <v>1464966739</v>
      </c>
      <c r="DG161" s="3070">
        <v>14938370</v>
      </c>
      <c r="DH161" s="3070">
        <v>1284348000</v>
      </c>
      <c r="DI161" s="3070">
        <v>1278128000</v>
      </c>
      <c r="DJ161" s="3070">
        <v>6220000</v>
      </c>
      <c r="DK161" s="3070">
        <v>0</v>
      </c>
      <c r="DL161" s="3070">
        <v>0</v>
      </c>
      <c r="DM161" s="3070">
        <v>25491817.620000001</v>
      </c>
      <c r="DN161" s="3070">
        <v>2764253109</v>
      </c>
      <c r="DP161" s="3070">
        <v>2764253109</v>
      </c>
    </row>
    <row r="162" spans="1:120">
      <c r="A162" s="3070">
        <v>161</v>
      </c>
      <c r="B162" s="3070" t="s">
        <v>3224</v>
      </c>
      <c r="C162" s="3070">
        <v>12</v>
      </c>
      <c r="E162" s="3070">
        <v>1503</v>
      </c>
      <c r="F162" s="3070" t="s">
        <v>4612</v>
      </c>
      <c r="G162" s="3070" t="s">
        <v>4613</v>
      </c>
      <c r="H162" s="3070">
        <v>1324056</v>
      </c>
      <c r="I162" s="3070">
        <v>1324056</v>
      </c>
      <c r="J162" s="3070">
        <v>101.38</v>
      </c>
      <c r="K162" s="3070">
        <v>75.39</v>
      </c>
      <c r="L162" s="3070">
        <v>0</v>
      </c>
      <c r="M162" s="3070">
        <v>0</v>
      </c>
      <c r="N162" s="3070">
        <v>15494.44</v>
      </c>
      <c r="O162" s="3070">
        <v>1570826</v>
      </c>
      <c r="P162" s="3070">
        <v>13060.33</v>
      </c>
      <c r="Q162" s="3070">
        <v>1324056</v>
      </c>
      <c r="R162" s="3070" t="s">
        <v>3227</v>
      </c>
      <c r="S162" s="3070" t="s">
        <v>4614</v>
      </c>
      <c r="T162" s="3070" t="s">
        <v>3258</v>
      </c>
      <c r="U162" s="3070" t="s">
        <v>3259</v>
      </c>
      <c r="V162" s="3070" t="s">
        <v>3230</v>
      </c>
      <c r="Y162" s="3070">
        <v>404056</v>
      </c>
      <c r="Z162" s="3070">
        <v>158887</v>
      </c>
      <c r="AA162" s="3070">
        <v>404056</v>
      </c>
      <c r="AB162" s="3070">
        <v>0</v>
      </c>
      <c r="AC162" s="3070">
        <v>920000</v>
      </c>
      <c r="AD162" s="3070">
        <v>920000</v>
      </c>
      <c r="AE162" s="3070">
        <v>0</v>
      </c>
      <c r="AI162" s="3070" t="s">
        <v>3227</v>
      </c>
      <c r="AJ162" s="3070">
        <v>0</v>
      </c>
      <c r="AK162" s="3070">
        <v>0</v>
      </c>
      <c r="AL162" s="3070">
        <v>0</v>
      </c>
      <c r="AM162" s="3070">
        <v>13060.33</v>
      </c>
      <c r="AN162" s="3070">
        <v>1324056</v>
      </c>
      <c r="AP162" s="3070">
        <v>1324056</v>
      </c>
      <c r="AQ162" s="3072">
        <v>45230</v>
      </c>
      <c r="AT162" s="3073">
        <v>45770</v>
      </c>
      <c r="AV162" s="3070" t="s">
        <v>4615</v>
      </c>
      <c r="AW162" s="3070" t="s">
        <v>4616</v>
      </c>
      <c r="AX162" s="3070" t="s">
        <v>4617</v>
      </c>
      <c r="AY162" s="3070" t="s">
        <v>4618</v>
      </c>
      <c r="BA162" s="3070" t="s">
        <v>4618</v>
      </c>
      <c r="BC162" s="3070" t="s">
        <v>4619</v>
      </c>
      <c r="BD162" s="3070" t="s">
        <v>3077</v>
      </c>
      <c r="BI162" s="3070" t="s">
        <v>3235</v>
      </c>
      <c r="BL162" s="3070" t="s">
        <v>4620</v>
      </c>
      <c r="BM162" s="3070" t="s">
        <v>4439</v>
      </c>
      <c r="BN162" s="3070">
        <v>150</v>
      </c>
      <c r="BO162" s="3070" t="s">
        <v>3253</v>
      </c>
      <c r="BP162" s="3070" t="s">
        <v>3253</v>
      </c>
      <c r="BR162" s="3070">
        <v>13</v>
      </c>
      <c r="BS162" s="3070" t="s">
        <v>3238</v>
      </c>
      <c r="BT162" s="3070" t="s">
        <v>3481</v>
      </c>
      <c r="BU162" s="3070" t="s">
        <v>4618</v>
      </c>
      <c r="BV162" s="3070" t="s">
        <v>4621</v>
      </c>
      <c r="BZ162" s="3073">
        <v>44171.740277777775</v>
      </c>
      <c r="CA162" s="3070">
        <v>12</v>
      </c>
      <c r="CB162" s="3070" t="s">
        <v>3481</v>
      </c>
      <c r="CD162" s="3070" t="s">
        <v>3239</v>
      </c>
      <c r="CF162" s="3070" t="s">
        <v>3091</v>
      </c>
      <c r="CH162" s="3070" t="s">
        <v>3240</v>
      </c>
      <c r="CI162" s="3070">
        <v>0</v>
      </c>
      <c r="CJ162" s="3070" t="s">
        <v>3259</v>
      </c>
      <c r="CK162" s="3070" t="s">
        <v>4618</v>
      </c>
      <c r="CL162" s="3070" t="s">
        <v>4618</v>
      </c>
      <c r="CM162" s="3070">
        <v>1214730.27</v>
      </c>
      <c r="CV162" s="3070" t="s">
        <v>3258</v>
      </c>
      <c r="CW162" s="3070" t="s">
        <v>4622</v>
      </c>
      <c r="CX162" s="3070" t="s">
        <v>3267</v>
      </c>
      <c r="CZ162" s="3070">
        <v>213894.57</v>
      </c>
      <c r="DA162" s="3070">
        <v>159426.93</v>
      </c>
      <c r="DB162" s="3070">
        <v>0</v>
      </c>
      <c r="DC162" s="3070">
        <v>0</v>
      </c>
      <c r="DD162" s="3070">
        <v>3290547602</v>
      </c>
      <c r="DE162" s="3070">
        <v>2764253109</v>
      </c>
      <c r="DF162" s="3070">
        <v>1464966739</v>
      </c>
      <c r="DG162" s="3070">
        <v>14938370</v>
      </c>
      <c r="DH162" s="3070">
        <v>1284348000</v>
      </c>
      <c r="DI162" s="3070">
        <v>1278128000</v>
      </c>
      <c r="DJ162" s="3070">
        <v>6220000</v>
      </c>
      <c r="DK162" s="3070">
        <v>0</v>
      </c>
      <c r="DL162" s="3070">
        <v>0</v>
      </c>
      <c r="DM162" s="3070">
        <v>25491817.620000001</v>
      </c>
      <c r="DN162" s="3070">
        <v>2764253109</v>
      </c>
      <c r="DP162" s="3070">
        <v>2764253109</v>
      </c>
    </row>
    <row r="163" spans="1:120">
      <c r="A163" s="3070">
        <v>162</v>
      </c>
      <c r="B163" s="3070" t="s">
        <v>3224</v>
      </c>
      <c r="C163" s="3070">
        <v>12</v>
      </c>
      <c r="E163" s="3070">
        <v>1504</v>
      </c>
      <c r="F163" s="3070" t="s">
        <v>4623</v>
      </c>
      <c r="G163" s="3070" t="s">
        <v>4624</v>
      </c>
      <c r="H163" s="3070">
        <v>1534008</v>
      </c>
      <c r="I163" s="3070">
        <v>1534008</v>
      </c>
      <c r="J163" s="3070">
        <v>121.61</v>
      </c>
      <c r="K163" s="3070">
        <v>90.43</v>
      </c>
      <c r="L163" s="3070">
        <v>0</v>
      </c>
      <c r="M163" s="3070">
        <v>0</v>
      </c>
      <c r="N163" s="3070">
        <v>15294.44</v>
      </c>
      <c r="O163" s="3070">
        <v>1859957</v>
      </c>
      <c r="P163" s="3070">
        <v>12614.16</v>
      </c>
      <c r="Q163" s="3070">
        <v>1534008</v>
      </c>
      <c r="R163" s="3070" t="s">
        <v>3227</v>
      </c>
      <c r="S163" s="3070" t="s">
        <v>4625</v>
      </c>
      <c r="T163" s="3070" t="s">
        <v>3494</v>
      </c>
      <c r="V163" s="3070" t="s">
        <v>3230</v>
      </c>
      <c r="Y163" s="3070">
        <v>153401</v>
      </c>
      <c r="Z163" s="3070">
        <v>153401</v>
      </c>
      <c r="AA163" s="3070">
        <v>1534008</v>
      </c>
      <c r="AB163" s="3070">
        <v>0</v>
      </c>
      <c r="AC163" s="3070">
        <v>0</v>
      </c>
      <c r="AD163" s="3070">
        <v>0</v>
      </c>
      <c r="AE163" s="3070">
        <v>0</v>
      </c>
      <c r="AI163" s="3070" t="s">
        <v>3227</v>
      </c>
      <c r="AJ163" s="3070">
        <v>0</v>
      </c>
      <c r="AK163" s="3070">
        <v>0</v>
      </c>
      <c r="AL163" s="3070">
        <v>0</v>
      </c>
      <c r="AM163" s="3070">
        <v>12614.16</v>
      </c>
      <c r="AN163" s="3070">
        <v>1534008</v>
      </c>
      <c r="AP163" s="3070">
        <v>1534008</v>
      </c>
      <c r="AQ163" s="3072">
        <v>45230</v>
      </c>
      <c r="AT163" s="3073">
        <v>45770</v>
      </c>
      <c r="AV163" s="3070" t="s">
        <v>4626</v>
      </c>
      <c r="AW163" s="3070" t="s">
        <v>4627</v>
      </c>
      <c r="AX163" s="3070" t="s">
        <v>4628</v>
      </c>
      <c r="AY163" s="3070" t="s">
        <v>3587</v>
      </c>
      <c r="BA163" s="3070" t="s">
        <v>3587</v>
      </c>
      <c r="BC163" s="3070" t="s">
        <v>4629</v>
      </c>
      <c r="BD163" s="3070" t="s">
        <v>3075</v>
      </c>
      <c r="BI163" s="3070" t="s">
        <v>4630</v>
      </c>
      <c r="BL163" s="3070" t="s">
        <v>4631</v>
      </c>
      <c r="BM163" s="3070" t="s">
        <v>4439</v>
      </c>
      <c r="BN163" s="3070">
        <v>150</v>
      </c>
      <c r="BR163" s="3070">
        <v>16</v>
      </c>
      <c r="BS163" s="3070" t="s">
        <v>3238</v>
      </c>
      <c r="BU163" s="3070" t="s">
        <v>3587</v>
      </c>
      <c r="BZ163" s="3073">
        <v>44210.603472222225</v>
      </c>
      <c r="CA163" s="3070">
        <v>12</v>
      </c>
      <c r="CD163" s="3070" t="s">
        <v>3239</v>
      </c>
      <c r="CF163" s="3070" t="s">
        <v>3091</v>
      </c>
      <c r="CH163" s="3070" t="s">
        <v>3240</v>
      </c>
      <c r="CI163" s="3070">
        <v>0</v>
      </c>
      <c r="CK163" s="3070" t="s">
        <v>3590</v>
      </c>
      <c r="CL163" s="3070" t="s">
        <v>3590</v>
      </c>
      <c r="CM163" s="3070">
        <v>1407346.79</v>
      </c>
      <c r="CV163" s="3070" t="s">
        <v>3494</v>
      </c>
      <c r="CW163" s="3070" t="s">
        <v>4632</v>
      </c>
      <c r="CZ163" s="3070">
        <v>213894.57</v>
      </c>
      <c r="DA163" s="3070">
        <v>159426.93</v>
      </c>
      <c r="DB163" s="3070">
        <v>0</v>
      </c>
      <c r="DC163" s="3070">
        <v>0</v>
      </c>
      <c r="DD163" s="3070">
        <v>3290547602</v>
      </c>
      <c r="DE163" s="3070">
        <v>2764253109</v>
      </c>
      <c r="DF163" s="3070">
        <v>1464966739</v>
      </c>
      <c r="DG163" s="3070">
        <v>14938370</v>
      </c>
      <c r="DH163" s="3070">
        <v>1284348000</v>
      </c>
      <c r="DI163" s="3070">
        <v>1278128000</v>
      </c>
      <c r="DJ163" s="3070">
        <v>6220000</v>
      </c>
      <c r="DK163" s="3070">
        <v>0</v>
      </c>
      <c r="DL163" s="3070">
        <v>0</v>
      </c>
      <c r="DM163" s="3070">
        <v>25491817.620000001</v>
      </c>
      <c r="DN163" s="3070">
        <v>2764253109</v>
      </c>
      <c r="DP163" s="3070">
        <v>2764253109</v>
      </c>
    </row>
    <row r="164" spans="1:120">
      <c r="A164" s="3070">
        <v>163</v>
      </c>
      <c r="B164" s="3070" t="s">
        <v>3224</v>
      </c>
      <c r="C164" s="3070">
        <v>12</v>
      </c>
      <c r="E164" s="3070">
        <v>1601</v>
      </c>
      <c r="F164" s="3070" t="s">
        <v>4633</v>
      </c>
      <c r="G164" s="3070" t="s">
        <v>4634</v>
      </c>
      <c r="H164" s="3070">
        <v>1447128</v>
      </c>
      <c r="I164" s="3070">
        <v>1447128</v>
      </c>
      <c r="J164" s="3070">
        <v>121.61</v>
      </c>
      <c r="K164" s="3070">
        <v>90.43</v>
      </c>
      <c r="L164" s="3070">
        <v>0</v>
      </c>
      <c r="M164" s="3070">
        <v>0</v>
      </c>
      <c r="N164" s="3070">
        <v>15394.44</v>
      </c>
      <c r="O164" s="3070">
        <v>1872118</v>
      </c>
      <c r="P164" s="3070">
        <v>11899.75</v>
      </c>
      <c r="Q164" s="3070">
        <v>1447128</v>
      </c>
      <c r="R164" s="3070" t="s">
        <v>3227</v>
      </c>
      <c r="S164" s="3070" t="s">
        <v>3353</v>
      </c>
      <c r="T164" s="3070" t="s">
        <v>3494</v>
      </c>
      <c r="V164" s="3070" t="s">
        <v>3230</v>
      </c>
      <c r="Y164" s="3070">
        <v>144713</v>
      </c>
      <c r="Z164" s="3070">
        <v>144713</v>
      </c>
      <c r="AA164" s="3070">
        <v>1447128</v>
      </c>
      <c r="AB164" s="3070">
        <v>0</v>
      </c>
      <c r="AC164" s="3070">
        <v>0</v>
      </c>
      <c r="AD164" s="3070">
        <v>0</v>
      </c>
      <c r="AE164" s="3070">
        <v>0</v>
      </c>
      <c r="AI164" s="3070" t="s">
        <v>3227</v>
      </c>
      <c r="AJ164" s="3070">
        <v>0</v>
      </c>
      <c r="AK164" s="3070">
        <v>0</v>
      </c>
      <c r="AL164" s="3070">
        <v>0</v>
      </c>
      <c r="AM164" s="3070">
        <v>11899.75</v>
      </c>
      <c r="AN164" s="3070">
        <v>1447128</v>
      </c>
      <c r="AP164" s="3070">
        <v>1447128</v>
      </c>
      <c r="AQ164" s="3072">
        <v>45230</v>
      </c>
      <c r="AT164" s="3073">
        <v>45770</v>
      </c>
      <c r="AV164" s="3070" t="s">
        <v>4635</v>
      </c>
      <c r="AW164" s="3070" t="s">
        <v>4636</v>
      </c>
      <c r="AX164" s="3070" t="s">
        <v>4637</v>
      </c>
      <c r="AY164" s="3070" t="s">
        <v>3587</v>
      </c>
      <c r="BA164" s="3070" t="s">
        <v>3587</v>
      </c>
      <c r="BC164" s="3070" t="s">
        <v>4638</v>
      </c>
      <c r="BD164" s="3070" t="s">
        <v>3075</v>
      </c>
      <c r="BI164" s="3070" t="s">
        <v>3295</v>
      </c>
      <c r="BL164" s="3070" t="s">
        <v>4639</v>
      </c>
      <c r="BM164" s="3070" t="s">
        <v>4439</v>
      </c>
      <c r="BN164" s="3070">
        <v>160</v>
      </c>
      <c r="BR164" s="3070">
        <v>20</v>
      </c>
      <c r="BS164" s="3070" t="s">
        <v>3238</v>
      </c>
      <c r="BU164" s="3070" t="s">
        <v>3587</v>
      </c>
      <c r="BZ164" s="3073">
        <v>44199.672222222223</v>
      </c>
      <c r="CA164" s="3070">
        <v>12</v>
      </c>
      <c r="CD164" s="3070" t="s">
        <v>3239</v>
      </c>
      <c r="CF164" s="3070" t="s">
        <v>3091</v>
      </c>
      <c r="CH164" s="3070" t="s">
        <v>3240</v>
      </c>
      <c r="CI164" s="3070">
        <v>0</v>
      </c>
      <c r="CK164" s="3070" t="s">
        <v>4640</v>
      </c>
      <c r="CL164" s="3070" t="s">
        <v>3590</v>
      </c>
      <c r="CM164" s="3070">
        <v>1327640.3700000001</v>
      </c>
      <c r="CV164" s="3070" t="s">
        <v>3494</v>
      </c>
      <c r="CW164" s="3070" t="s">
        <v>4641</v>
      </c>
      <c r="CZ164" s="3070">
        <v>213894.57</v>
      </c>
      <c r="DA164" s="3070">
        <v>159426.93</v>
      </c>
      <c r="DB164" s="3070">
        <v>0</v>
      </c>
      <c r="DC164" s="3070">
        <v>0</v>
      </c>
      <c r="DD164" s="3070">
        <v>3290547602</v>
      </c>
      <c r="DE164" s="3070">
        <v>2764253109</v>
      </c>
      <c r="DF164" s="3070">
        <v>1464966739</v>
      </c>
      <c r="DG164" s="3070">
        <v>14938370</v>
      </c>
      <c r="DH164" s="3070">
        <v>1284348000</v>
      </c>
      <c r="DI164" s="3070">
        <v>1278128000</v>
      </c>
      <c r="DJ164" s="3070">
        <v>6220000</v>
      </c>
      <c r="DK164" s="3070">
        <v>0</v>
      </c>
      <c r="DL164" s="3070">
        <v>0</v>
      </c>
      <c r="DM164" s="3070">
        <v>25491817.620000001</v>
      </c>
      <c r="DN164" s="3070">
        <v>2764253109</v>
      </c>
      <c r="DP164" s="3070">
        <v>2764253109</v>
      </c>
    </row>
    <row r="165" spans="1:120">
      <c r="A165" s="3070">
        <v>164</v>
      </c>
      <c r="B165" s="3070" t="s">
        <v>3224</v>
      </c>
      <c r="C165" s="3070">
        <v>12</v>
      </c>
      <c r="E165" s="3070">
        <v>1602</v>
      </c>
      <c r="F165" s="3070" t="s">
        <v>4642</v>
      </c>
      <c r="G165" s="3070" t="s">
        <v>4643</v>
      </c>
      <c r="H165" s="3070">
        <v>1274115</v>
      </c>
      <c r="I165" s="3070">
        <v>1274115</v>
      </c>
      <c r="J165" s="3070">
        <v>101.44</v>
      </c>
      <c r="K165" s="3070">
        <v>75.430000000000007</v>
      </c>
      <c r="L165" s="3070">
        <v>0</v>
      </c>
      <c r="M165" s="3070">
        <v>0</v>
      </c>
      <c r="N165" s="3070">
        <v>15494.44</v>
      </c>
      <c r="O165" s="3070">
        <v>1571756</v>
      </c>
      <c r="P165" s="3070">
        <v>12560.28</v>
      </c>
      <c r="Q165" s="3070">
        <v>1274115</v>
      </c>
      <c r="R165" s="3070" t="s">
        <v>3227</v>
      </c>
      <c r="S165" s="3070" t="s">
        <v>4644</v>
      </c>
      <c r="T165" s="3070" t="s">
        <v>3246</v>
      </c>
      <c r="U165" s="3070" t="s">
        <v>3539</v>
      </c>
      <c r="V165" s="3070" t="s">
        <v>3230</v>
      </c>
      <c r="Y165" s="3070">
        <v>1014115</v>
      </c>
      <c r="Z165" s="3070">
        <v>1014115</v>
      </c>
      <c r="AA165" s="3070">
        <v>1014115</v>
      </c>
      <c r="AB165" s="3070">
        <v>0</v>
      </c>
      <c r="AC165" s="3070">
        <v>260000</v>
      </c>
      <c r="AD165" s="3070">
        <v>260000</v>
      </c>
      <c r="AE165" s="3070">
        <v>0</v>
      </c>
      <c r="AI165" s="3070" t="s">
        <v>3227</v>
      </c>
      <c r="AJ165" s="3070">
        <v>0</v>
      </c>
      <c r="AK165" s="3070">
        <v>0</v>
      </c>
      <c r="AL165" s="3070">
        <v>0</v>
      </c>
      <c r="AM165" s="3070">
        <v>12560.28</v>
      </c>
      <c r="AN165" s="3070">
        <v>1274115</v>
      </c>
      <c r="AP165" s="3070">
        <v>1274115</v>
      </c>
      <c r="AQ165" s="3072">
        <v>45230</v>
      </c>
      <c r="AT165" s="3073">
        <v>45770</v>
      </c>
      <c r="AV165" s="3070" t="s">
        <v>4645</v>
      </c>
      <c r="AW165" s="3070" t="s">
        <v>4646</v>
      </c>
      <c r="AX165" s="3070" t="s">
        <v>4647</v>
      </c>
      <c r="AY165" s="3070" t="s">
        <v>3699</v>
      </c>
      <c r="BC165" s="3070" t="s">
        <v>3284</v>
      </c>
      <c r="BD165" s="3070" t="s">
        <v>3077</v>
      </c>
      <c r="BI165" s="3070" t="s">
        <v>3235</v>
      </c>
      <c r="BL165" s="3070" t="s">
        <v>4648</v>
      </c>
      <c r="BM165" s="3070" t="s">
        <v>4439</v>
      </c>
      <c r="BN165" s="3070">
        <v>160</v>
      </c>
      <c r="BO165" s="3070" t="s">
        <v>3253</v>
      </c>
      <c r="BR165" s="3070">
        <v>808</v>
      </c>
      <c r="BS165" s="3070" t="s">
        <v>3238</v>
      </c>
      <c r="BZ165" s="3073">
        <v>44143.738194444442</v>
      </c>
      <c r="CA165" s="3070">
        <v>12</v>
      </c>
      <c r="CD165" s="3070" t="s">
        <v>3239</v>
      </c>
      <c r="CF165" s="3070" t="s">
        <v>3091</v>
      </c>
      <c r="CH165" s="3070" t="s">
        <v>3240</v>
      </c>
      <c r="CI165" s="3070">
        <v>0</v>
      </c>
      <c r="CK165" s="3070" t="s">
        <v>3699</v>
      </c>
      <c r="CL165" s="3070" t="s">
        <v>3699</v>
      </c>
      <c r="CM165" s="3070">
        <v>1168912.8400000001</v>
      </c>
      <c r="CV165" s="3070" t="s">
        <v>3246</v>
      </c>
      <c r="CW165" s="3070" t="s">
        <v>4649</v>
      </c>
      <c r="CX165" s="3070" t="s">
        <v>3311</v>
      </c>
      <c r="CZ165" s="3070">
        <v>213894.57</v>
      </c>
      <c r="DA165" s="3070">
        <v>159426.93</v>
      </c>
      <c r="DB165" s="3070">
        <v>0</v>
      </c>
      <c r="DC165" s="3070">
        <v>0</v>
      </c>
      <c r="DD165" s="3070">
        <v>3290547602</v>
      </c>
      <c r="DE165" s="3070">
        <v>2764253109</v>
      </c>
      <c r="DF165" s="3070">
        <v>1464966739</v>
      </c>
      <c r="DG165" s="3070">
        <v>14938370</v>
      </c>
      <c r="DH165" s="3070">
        <v>1284348000</v>
      </c>
      <c r="DI165" s="3070">
        <v>1278128000</v>
      </c>
      <c r="DJ165" s="3070">
        <v>6220000</v>
      </c>
      <c r="DK165" s="3070">
        <v>0</v>
      </c>
      <c r="DL165" s="3070">
        <v>0</v>
      </c>
      <c r="DM165" s="3070">
        <v>25491817.620000001</v>
      </c>
      <c r="DN165" s="3070">
        <v>2764253109</v>
      </c>
      <c r="DP165" s="3070">
        <v>2764253109</v>
      </c>
    </row>
    <row r="166" spans="1:120">
      <c r="A166" s="3070">
        <v>165</v>
      </c>
      <c r="B166" s="3070" t="s">
        <v>3224</v>
      </c>
      <c r="C166" s="3070">
        <v>12</v>
      </c>
      <c r="E166" s="3070">
        <v>1603</v>
      </c>
      <c r="F166" s="3070" t="s">
        <v>4650</v>
      </c>
      <c r="G166" s="3070" t="s">
        <v>4651</v>
      </c>
      <c r="H166" s="3070">
        <v>1260628</v>
      </c>
      <c r="I166" s="3070">
        <v>1260628</v>
      </c>
      <c r="J166" s="3070">
        <v>101.38</v>
      </c>
      <c r="K166" s="3070">
        <v>75.39</v>
      </c>
      <c r="L166" s="3070">
        <v>0</v>
      </c>
      <c r="M166" s="3070">
        <v>0</v>
      </c>
      <c r="N166" s="3070">
        <v>15494.44</v>
      </c>
      <c r="O166" s="3070">
        <v>1570826</v>
      </c>
      <c r="P166" s="3070">
        <v>12434.68</v>
      </c>
      <c r="Q166" s="3070">
        <v>1260628</v>
      </c>
      <c r="R166" s="3070" t="s">
        <v>3227</v>
      </c>
      <c r="S166" s="3070" t="s">
        <v>4652</v>
      </c>
      <c r="T166" s="3070" t="s">
        <v>3229</v>
      </c>
      <c r="V166" s="3070" t="s">
        <v>3230</v>
      </c>
      <c r="Y166" s="3070">
        <v>990628</v>
      </c>
      <c r="Z166" s="3070">
        <v>990628</v>
      </c>
      <c r="AA166" s="3070">
        <v>1260628</v>
      </c>
      <c r="AB166" s="3070">
        <v>0</v>
      </c>
      <c r="AC166" s="3070">
        <v>0</v>
      </c>
      <c r="AD166" s="3070">
        <v>0</v>
      </c>
      <c r="AE166" s="3070">
        <v>0</v>
      </c>
      <c r="AI166" s="3070" t="s">
        <v>3227</v>
      </c>
      <c r="AJ166" s="3070">
        <v>0</v>
      </c>
      <c r="AK166" s="3070">
        <v>0</v>
      </c>
      <c r="AL166" s="3070">
        <v>0</v>
      </c>
      <c r="AM166" s="3070">
        <v>12434.68</v>
      </c>
      <c r="AN166" s="3070">
        <v>1260628</v>
      </c>
      <c r="AP166" s="3070">
        <v>1260628</v>
      </c>
      <c r="AQ166" s="3072">
        <v>45230</v>
      </c>
      <c r="AT166" s="3073">
        <v>45770</v>
      </c>
      <c r="AV166" s="3070" t="s">
        <v>4653</v>
      </c>
      <c r="AW166" s="3070" t="s">
        <v>4654</v>
      </c>
      <c r="AX166" s="3070" t="s">
        <v>4655</v>
      </c>
      <c r="AY166" s="3070" t="s">
        <v>3419</v>
      </c>
      <c r="BC166" s="3070" t="s">
        <v>3792</v>
      </c>
      <c r="BD166" s="3070" t="s">
        <v>3077</v>
      </c>
      <c r="BI166" s="3070" t="s">
        <v>3235</v>
      </c>
      <c r="BJ166" s="3070" t="s">
        <v>3338</v>
      </c>
      <c r="BL166" s="3070" t="s">
        <v>4656</v>
      </c>
      <c r="BM166" s="3070" t="s">
        <v>4439</v>
      </c>
      <c r="BN166" s="3070">
        <v>160</v>
      </c>
      <c r="BR166" s="3070">
        <v>31</v>
      </c>
      <c r="BS166" s="3070" t="s">
        <v>3238</v>
      </c>
      <c r="BZ166" s="3073">
        <v>44146.388194444444</v>
      </c>
      <c r="CA166" s="3070">
        <v>12</v>
      </c>
      <c r="CD166" s="3070" t="s">
        <v>3239</v>
      </c>
      <c r="CF166" s="3070" t="s">
        <v>3091</v>
      </c>
      <c r="CH166" s="3070" t="s">
        <v>3240</v>
      </c>
      <c r="CI166" s="3070">
        <v>0</v>
      </c>
      <c r="CK166" s="3070" t="s">
        <v>3419</v>
      </c>
      <c r="CL166" s="3070" t="s">
        <v>3419</v>
      </c>
      <c r="CM166" s="3070">
        <v>1156539.45</v>
      </c>
      <c r="CV166" s="3070" t="s">
        <v>3229</v>
      </c>
      <c r="CW166" s="3070" t="s">
        <v>4657</v>
      </c>
      <c r="CZ166" s="3070">
        <v>213894.57</v>
      </c>
      <c r="DA166" s="3070">
        <v>159426.93</v>
      </c>
      <c r="DB166" s="3070">
        <v>0</v>
      </c>
      <c r="DC166" s="3070">
        <v>0</v>
      </c>
      <c r="DD166" s="3070">
        <v>3290547602</v>
      </c>
      <c r="DE166" s="3070">
        <v>2764253109</v>
      </c>
      <c r="DF166" s="3070">
        <v>1464966739</v>
      </c>
      <c r="DG166" s="3070">
        <v>14938370</v>
      </c>
      <c r="DH166" s="3070">
        <v>1284348000</v>
      </c>
      <c r="DI166" s="3070">
        <v>1278128000</v>
      </c>
      <c r="DJ166" s="3070">
        <v>6220000</v>
      </c>
      <c r="DK166" s="3070">
        <v>0</v>
      </c>
      <c r="DL166" s="3070">
        <v>0</v>
      </c>
      <c r="DM166" s="3070">
        <v>25491817.620000001</v>
      </c>
      <c r="DN166" s="3070">
        <v>2764253109</v>
      </c>
      <c r="DP166" s="3070">
        <v>2764253109</v>
      </c>
    </row>
    <row r="167" spans="1:120">
      <c r="A167" s="3070">
        <v>166</v>
      </c>
      <c r="B167" s="3070" t="s">
        <v>3224</v>
      </c>
      <c r="C167" s="3070">
        <v>12</v>
      </c>
      <c r="E167" s="3070">
        <v>1604</v>
      </c>
      <c r="F167" s="3070" t="s">
        <v>4658</v>
      </c>
      <c r="G167" s="3070" t="s">
        <v>4659</v>
      </c>
      <c r="H167" s="3070">
        <v>1501292</v>
      </c>
      <c r="I167" s="3070">
        <v>1501292</v>
      </c>
      <c r="J167" s="3070">
        <v>121.61</v>
      </c>
      <c r="K167" s="3070">
        <v>90.43</v>
      </c>
      <c r="L167" s="3070">
        <v>0</v>
      </c>
      <c r="M167" s="3070">
        <v>0</v>
      </c>
      <c r="N167" s="3070">
        <v>15294.44</v>
      </c>
      <c r="O167" s="3070">
        <v>1859957</v>
      </c>
      <c r="P167" s="3070">
        <v>12345.14</v>
      </c>
      <c r="Q167" s="3070">
        <v>1501292</v>
      </c>
      <c r="R167" s="3070" t="s">
        <v>3227</v>
      </c>
      <c r="S167" s="3070" t="s">
        <v>4660</v>
      </c>
      <c r="T167" s="3070" t="s">
        <v>3494</v>
      </c>
      <c r="V167" s="3070" t="s">
        <v>3230</v>
      </c>
      <c r="Y167" s="3070">
        <v>150129</v>
      </c>
      <c r="Z167" s="3070">
        <v>150129</v>
      </c>
      <c r="AA167" s="3070">
        <v>1501292</v>
      </c>
      <c r="AB167" s="3070">
        <v>0</v>
      </c>
      <c r="AC167" s="3070">
        <v>0</v>
      </c>
      <c r="AD167" s="3070">
        <v>0</v>
      </c>
      <c r="AE167" s="3070">
        <v>0</v>
      </c>
      <c r="AI167" s="3070" t="s">
        <v>3227</v>
      </c>
      <c r="AJ167" s="3070">
        <v>0</v>
      </c>
      <c r="AK167" s="3070">
        <v>0</v>
      </c>
      <c r="AL167" s="3070">
        <v>0</v>
      </c>
      <c r="AM167" s="3070">
        <v>12345.14</v>
      </c>
      <c r="AN167" s="3070">
        <v>1501292</v>
      </c>
      <c r="AP167" s="3070">
        <v>1501292</v>
      </c>
      <c r="AQ167" s="3072">
        <v>45230</v>
      </c>
      <c r="AT167" s="3073">
        <v>45770</v>
      </c>
      <c r="AV167" s="3074">
        <v>3.21E+17</v>
      </c>
      <c r="AW167" s="3070" t="s">
        <v>4661</v>
      </c>
      <c r="AX167" s="3070" t="s">
        <v>4662</v>
      </c>
      <c r="AY167" s="3070" t="s">
        <v>4265</v>
      </c>
      <c r="BA167" s="3070" t="s">
        <v>4265</v>
      </c>
      <c r="BC167" s="3070" t="s">
        <v>4663</v>
      </c>
      <c r="BD167" s="3070" t="s">
        <v>3075</v>
      </c>
      <c r="BI167" s="3070" t="s">
        <v>3295</v>
      </c>
      <c r="BL167" s="3070" t="s">
        <v>4664</v>
      </c>
      <c r="BM167" s="3070" t="s">
        <v>4439</v>
      </c>
      <c r="BN167" s="3070">
        <v>160</v>
      </c>
      <c r="BR167" s="3070">
        <v>22</v>
      </c>
      <c r="BS167" s="3070" t="s">
        <v>3238</v>
      </c>
      <c r="BU167" s="3070" t="s">
        <v>4265</v>
      </c>
      <c r="BZ167" s="3073">
        <v>44213.899305555555</v>
      </c>
      <c r="CA167" s="3070">
        <v>12</v>
      </c>
      <c r="CD167" s="3070" t="s">
        <v>3239</v>
      </c>
      <c r="CF167" s="3070" t="s">
        <v>3091</v>
      </c>
      <c r="CH167" s="3070" t="s">
        <v>3240</v>
      </c>
      <c r="CI167" s="3070">
        <v>0</v>
      </c>
      <c r="CK167" s="3070" t="s">
        <v>4265</v>
      </c>
      <c r="CL167" s="3070" t="s">
        <v>4665</v>
      </c>
      <c r="CM167" s="3070">
        <v>1377332.11</v>
      </c>
      <c r="CV167" s="3070" t="s">
        <v>3494</v>
      </c>
      <c r="CW167" s="3070" t="s">
        <v>4666</v>
      </c>
      <c r="CZ167" s="3070">
        <v>213894.57</v>
      </c>
      <c r="DA167" s="3070">
        <v>159426.93</v>
      </c>
      <c r="DB167" s="3070">
        <v>0</v>
      </c>
      <c r="DC167" s="3070">
        <v>0</v>
      </c>
      <c r="DD167" s="3070">
        <v>3290547602</v>
      </c>
      <c r="DE167" s="3070">
        <v>2764253109</v>
      </c>
      <c r="DF167" s="3070">
        <v>1464966739</v>
      </c>
      <c r="DG167" s="3070">
        <v>14938370</v>
      </c>
      <c r="DH167" s="3070">
        <v>1284348000</v>
      </c>
      <c r="DI167" s="3070">
        <v>1278128000</v>
      </c>
      <c r="DJ167" s="3070">
        <v>6220000</v>
      </c>
      <c r="DK167" s="3070">
        <v>0</v>
      </c>
      <c r="DL167" s="3070">
        <v>0</v>
      </c>
      <c r="DM167" s="3070">
        <v>25491817.620000001</v>
      </c>
      <c r="DN167" s="3070">
        <v>2764253109</v>
      </c>
      <c r="DP167" s="3070">
        <v>2764253109</v>
      </c>
    </row>
    <row r="168" spans="1:120">
      <c r="A168" s="3070">
        <v>167</v>
      </c>
      <c r="B168" s="3070" t="s">
        <v>3224</v>
      </c>
      <c r="C168" s="3070">
        <v>12</v>
      </c>
      <c r="E168" s="3070">
        <v>1701</v>
      </c>
      <c r="F168" s="3070" t="s">
        <v>4667</v>
      </c>
      <c r="G168" s="3070" t="s">
        <v>4668</v>
      </c>
      <c r="H168" s="3070">
        <v>1588934</v>
      </c>
      <c r="I168" s="3070">
        <v>1588934</v>
      </c>
      <c r="J168" s="3070">
        <v>121.61</v>
      </c>
      <c r="K168" s="3070">
        <v>90.43</v>
      </c>
      <c r="L168" s="3070">
        <v>0</v>
      </c>
      <c r="M168" s="3070">
        <v>0</v>
      </c>
      <c r="N168" s="3070">
        <v>15294.44</v>
      </c>
      <c r="O168" s="3070">
        <v>1859957</v>
      </c>
      <c r="P168" s="3070">
        <v>13065.82</v>
      </c>
      <c r="Q168" s="3070">
        <v>1588934</v>
      </c>
      <c r="R168" s="3070" t="s">
        <v>3227</v>
      </c>
      <c r="S168" s="3070" t="s">
        <v>4669</v>
      </c>
      <c r="T168" s="3070" t="s">
        <v>3494</v>
      </c>
      <c r="V168" s="3070" t="s">
        <v>3230</v>
      </c>
      <c r="Y168" s="3070">
        <v>158893</v>
      </c>
      <c r="Z168" s="3070">
        <v>158893</v>
      </c>
      <c r="AA168" s="3070">
        <v>1588934</v>
      </c>
      <c r="AB168" s="3070">
        <v>0</v>
      </c>
      <c r="AC168" s="3070">
        <v>0</v>
      </c>
      <c r="AD168" s="3070">
        <v>0</v>
      </c>
      <c r="AE168" s="3070">
        <v>0</v>
      </c>
      <c r="AI168" s="3070" t="s">
        <v>3227</v>
      </c>
      <c r="AJ168" s="3070">
        <v>0</v>
      </c>
      <c r="AK168" s="3070">
        <v>0</v>
      </c>
      <c r="AL168" s="3070">
        <v>0</v>
      </c>
      <c r="AM168" s="3070">
        <v>13065.82</v>
      </c>
      <c r="AN168" s="3070">
        <v>1588934</v>
      </c>
      <c r="AP168" s="3070">
        <v>1588934</v>
      </c>
      <c r="AQ168" s="3072">
        <v>45230</v>
      </c>
      <c r="AT168" s="3073">
        <v>45770</v>
      </c>
      <c r="AV168" s="3074">
        <v>3.21E+17</v>
      </c>
      <c r="AW168" s="3070" t="s">
        <v>4670</v>
      </c>
      <c r="AX168" s="3070" t="s">
        <v>4671</v>
      </c>
      <c r="AY168" s="3070" t="s">
        <v>3892</v>
      </c>
      <c r="BC168" s="3070" t="s">
        <v>4672</v>
      </c>
      <c r="BD168" s="3070" t="s">
        <v>3075</v>
      </c>
      <c r="BI168" s="3070" t="s">
        <v>4630</v>
      </c>
      <c r="BL168" s="3070" t="s">
        <v>4673</v>
      </c>
      <c r="BM168" s="3070" t="s">
        <v>4439</v>
      </c>
      <c r="BN168" s="3070">
        <v>170</v>
      </c>
      <c r="BR168" s="3070">
        <v>16</v>
      </c>
      <c r="BS168" s="3070" t="s">
        <v>3238</v>
      </c>
      <c r="BV168" s="3070" t="s">
        <v>4674</v>
      </c>
      <c r="BZ168" s="3073">
        <v>44194.840277777781</v>
      </c>
      <c r="CA168" s="3070">
        <v>12</v>
      </c>
      <c r="CD168" s="3070" t="s">
        <v>3239</v>
      </c>
      <c r="CF168" s="3070" t="s">
        <v>3091</v>
      </c>
      <c r="CH168" s="3070" t="s">
        <v>3240</v>
      </c>
      <c r="CI168" s="3070">
        <v>0</v>
      </c>
      <c r="CK168" s="3070" t="s">
        <v>4056</v>
      </c>
      <c r="CL168" s="3070" t="s">
        <v>4056</v>
      </c>
      <c r="CM168" s="3070">
        <v>1457737.61</v>
      </c>
      <c r="CV168" s="3070" t="s">
        <v>3494</v>
      </c>
      <c r="CW168" s="3070" t="s">
        <v>4675</v>
      </c>
      <c r="CZ168" s="3070">
        <v>213894.57</v>
      </c>
      <c r="DA168" s="3070">
        <v>159426.93</v>
      </c>
      <c r="DB168" s="3070">
        <v>0</v>
      </c>
      <c r="DC168" s="3070">
        <v>0</v>
      </c>
      <c r="DD168" s="3070">
        <v>3290547602</v>
      </c>
      <c r="DE168" s="3070">
        <v>2764253109</v>
      </c>
      <c r="DF168" s="3070">
        <v>1464966739</v>
      </c>
      <c r="DG168" s="3070">
        <v>14938370</v>
      </c>
      <c r="DH168" s="3070">
        <v>1284348000</v>
      </c>
      <c r="DI168" s="3070">
        <v>1278128000</v>
      </c>
      <c r="DJ168" s="3070">
        <v>6220000</v>
      </c>
      <c r="DK168" s="3070">
        <v>0</v>
      </c>
      <c r="DL168" s="3070">
        <v>0</v>
      </c>
      <c r="DM168" s="3070">
        <v>25491817.620000001</v>
      </c>
      <c r="DN168" s="3070">
        <v>2764253109</v>
      </c>
      <c r="DP168" s="3070">
        <v>2764253109</v>
      </c>
    </row>
    <row r="169" spans="1:120">
      <c r="A169" s="3070">
        <v>168</v>
      </c>
      <c r="B169" s="3070" t="s">
        <v>3224</v>
      </c>
      <c r="C169" s="3070">
        <v>12</v>
      </c>
      <c r="E169" s="3070">
        <v>1702</v>
      </c>
      <c r="F169" s="3070" t="s">
        <v>4676</v>
      </c>
      <c r="G169" s="3070" t="s">
        <v>4677</v>
      </c>
      <c r="H169" s="3070">
        <v>1335429</v>
      </c>
      <c r="I169" s="3070">
        <v>1335429</v>
      </c>
      <c r="J169" s="3070">
        <v>101.44</v>
      </c>
      <c r="K169" s="3070">
        <v>75.430000000000007</v>
      </c>
      <c r="L169" s="3070">
        <v>0</v>
      </c>
      <c r="M169" s="3070">
        <v>0</v>
      </c>
      <c r="N169" s="3070">
        <v>15394.44</v>
      </c>
      <c r="O169" s="3070">
        <v>1561612</v>
      </c>
      <c r="P169" s="3070">
        <v>13164.72</v>
      </c>
      <c r="Q169" s="3070">
        <v>1335429</v>
      </c>
      <c r="R169" s="3070" t="s">
        <v>3227</v>
      </c>
      <c r="S169" s="3070" t="s">
        <v>4678</v>
      </c>
      <c r="T169" s="3070" t="s">
        <v>3246</v>
      </c>
      <c r="U169" s="3070" t="s">
        <v>3371</v>
      </c>
      <c r="V169" s="3070" t="s">
        <v>3230</v>
      </c>
      <c r="Y169" s="3070">
        <v>405429</v>
      </c>
      <c r="Z169" s="3070">
        <v>133543</v>
      </c>
      <c r="AA169" s="3070">
        <v>405429</v>
      </c>
      <c r="AB169" s="3070">
        <v>0</v>
      </c>
      <c r="AC169" s="3070">
        <v>930000</v>
      </c>
      <c r="AD169" s="3070">
        <v>930000</v>
      </c>
      <c r="AE169" s="3070">
        <v>0</v>
      </c>
      <c r="AI169" s="3070" t="s">
        <v>3227</v>
      </c>
      <c r="AJ169" s="3070">
        <v>0</v>
      </c>
      <c r="AK169" s="3070">
        <v>0</v>
      </c>
      <c r="AL169" s="3070">
        <v>0</v>
      </c>
      <c r="AM169" s="3070">
        <v>13164.72</v>
      </c>
      <c r="AN169" s="3070">
        <v>1335429</v>
      </c>
      <c r="AP169" s="3070">
        <v>1335429</v>
      </c>
      <c r="AQ169" s="3072">
        <v>45230</v>
      </c>
      <c r="AT169" s="3073">
        <v>45770</v>
      </c>
      <c r="AV169" s="3074">
        <v>3.21E+17</v>
      </c>
      <c r="AW169" s="3070" t="s">
        <v>4679</v>
      </c>
      <c r="AX169" s="3070" t="s">
        <v>4680</v>
      </c>
      <c r="AY169" s="3070" t="s">
        <v>3656</v>
      </c>
      <c r="BC169" s="3070" t="s">
        <v>4681</v>
      </c>
      <c r="BD169" s="3070" t="s">
        <v>3077</v>
      </c>
      <c r="BI169" s="3070" t="s">
        <v>3235</v>
      </c>
      <c r="BJ169" s="3070" t="s">
        <v>3296</v>
      </c>
      <c r="BL169" s="3070" t="s">
        <v>4682</v>
      </c>
      <c r="BM169" s="3070" t="s">
        <v>4439</v>
      </c>
      <c r="BN169" s="3070">
        <v>170</v>
      </c>
      <c r="BO169" s="3070" t="s">
        <v>3253</v>
      </c>
      <c r="BR169" s="3070">
        <v>0</v>
      </c>
      <c r="BS169" s="3070" t="s">
        <v>3238</v>
      </c>
      <c r="BZ169" s="3073">
        <v>44159.597222222219</v>
      </c>
      <c r="CA169" s="3070">
        <v>12</v>
      </c>
      <c r="CD169" s="3070" t="s">
        <v>3239</v>
      </c>
      <c r="CF169" s="3070" t="s">
        <v>3091</v>
      </c>
      <c r="CH169" s="3070" t="s">
        <v>3240</v>
      </c>
      <c r="CI169" s="3070">
        <v>0</v>
      </c>
      <c r="CK169" s="3070" t="s">
        <v>3656</v>
      </c>
      <c r="CL169" s="3070" t="s">
        <v>3656</v>
      </c>
      <c r="CM169" s="3070">
        <v>1225164.22</v>
      </c>
      <c r="CV169" s="3070" t="s">
        <v>3246</v>
      </c>
      <c r="CW169" s="3070" t="s">
        <v>4683</v>
      </c>
      <c r="CZ169" s="3070">
        <v>213894.57</v>
      </c>
      <c r="DA169" s="3070">
        <v>159426.93</v>
      </c>
      <c r="DB169" s="3070">
        <v>0</v>
      </c>
      <c r="DC169" s="3070">
        <v>0</v>
      </c>
      <c r="DD169" s="3070">
        <v>3290547602</v>
      </c>
      <c r="DE169" s="3070">
        <v>2764253109</v>
      </c>
      <c r="DF169" s="3070">
        <v>1464966739</v>
      </c>
      <c r="DG169" s="3070">
        <v>14938370</v>
      </c>
      <c r="DH169" s="3070">
        <v>1284348000</v>
      </c>
      <c r="DI169" s="3070">
        <v>1278128000</v>
      </c>
      <c r="DJ169" s="3070">
        <v>6220000</v>
      </c>
      <c r="DK169" s="3070">
        <v>0</v>
      </c>
      <c r="DL169" s="3070">
        <v>0</v>
      </c>
      <c r="DM169" s="3070">
        <v>25491817.620000001</v>
      </c>
      <c r="DN169" s="3070">
        <v>2764253109</v>
      </c>
      <c r="DP169" s="3070">
        <v>2764253109</v>
      </c>
    </row>
    <row r="170" spans="1:120">
      <c r="A170" s="3070">
        <v>169</v>
      </c>
      <c r="B170" s="3070" t="s">
        <v>3224</v>
      </c>
      <c r="C170" s="3070">
        <v>12</v>
      </c>
      <c r="E170" s="3070">
        <v>1703</v>
      </c>
      <c r="F170" s="3070" t="s">
        <v>4684</v>
      </c>
      <c r="G170" s="3070" t="s">
        <v>4685</v>
      </c>
      <c r="H170" s="3070">
        <v>1263724</v>
      </c>
      <c r="I170" s="3070">
        <v>1263724</v>
      </c>
      <c r="J170" s="3070">
        <v>101.38</v>
      </c>
      <c r="K170" s="3070">
        <v>75.39</v>
      </c>
      <c r="L170" s="3070">
        <v>0</v>
      </c>
      <c r="M170" s="3070">
        <v>0</v>
      </c>
      <c r="N170" s="3070">
        <v>15394.44</v>
      </c>
      <c r="O170" s="3070">
        <v>1560688</v>
      </c>
      <c r="P170" s="3070">
        <v>12465.22</v>
      </c>
      <c r="Q170" s="3070">
        <v>1263724</v>
      </c>
      <c r="R170" s="3070" t="s">
        <v>3227</v>
      </c>
      <c r="S170" s="3070" t="s">
        <v>4686</v>
      </c>
      <c r="T170" s="3070" t="s">
        <v>3246</v>
      </c>
      <c r="U170" s="3070" t="s">
        <v>3247</v>
      </c>
      <c r="V170" s="3070" t="s">
        <v>3230</v>
      </c>
      <c r="Y170" s="3070">
        <v>513724</v>
      </c>
      <c r="Z170" s="3070">
        <v>513724</v>
      </c>
      <c r="AA170" s="3070">
        <v>513724</v>
      </c>
      <c r="AB170" s="3070">
        <v>0</v>
      </c>
      <c r="AC170" s="3070">
        <v>750000</v>
      </c>
      <c r="AD170" s="3070">
        <v>750000</v>
      </c>
      <c r="AE170" s="3070">
        <v>0</v>
      </c>
      <c r="AI170" s="3070" t="s">
        <v>3227</v>
      </c>
      <c r="AJ170" s="3070">
        <v>0</v>
      </c>
      <c r="AK170" s="3070">
        <v>0</v>
      </c>
      <c r="AL170" s="3070">
        <v>0</v>
      </c>
      <c r="AM170" s="3070">
        <v>12465.22</v>
      </c>
      <c r="AN170" s="3070">
        <v>1263724</v>
      </c>
      <c r="AP170" s="3070">
        <v>1263724</v>
      </c>
      <c r="AQ170" s="3072">
        <v>45230</v>
      </c>
      <c r="AT170" s="3073">
        <v>45770</v>
      </c>
      <c r="AV170" s="3070" t="s">
        <v>4687</v>
      </c>
      <c r="AW170" s="3070" t="s">
        <v>4688</v>
      </c>
      <c r="AX170" s="3070" t="s">
        <v>4689</v>
      </c>
      <c r="AY170" s="3070" t="s">
        <v>3306</v>
      </c>
      <c r="BC170" s="3070" t="s">
        <v>3284</v>
      </c>
      <c r="BD170" s="3070" t="s">
        <v>3077</v>
      </c>
      <c r="BI170" s="3070" t="s">
        <v>3235</v>
      </c>
      <c r="BL170" s="3070" t="s">
        <v>4690</v>
      </c>
      <c r="BM170" s="3070" t="s">
        <v>4439</v>
      </c>
      <c r="BN170" s="3070">
        <v>170</v>
      </c>
      <c r="BO170" s="3070" t="s">
        <v>3253</v>
      </c>
      <c r="BR170" s="3070">
        <v>578</v>
      </c>
      <c r="BS170" s="3070" t="s">
        <v>3238</v>
      </c>
      <c r="BZ170" s="3073">
        <v>44142.652083333334</v>
      </c>
      <c r="CA170" s="3070">
        <v>12</v>
      </c>
      <c r="CD170" s="3070" t="s">
        <v>3239</v>
      </c>
      <c r="CF170" s="3070" t="s">
        <v>3091</v>
      </c>
      <c r="CH170" s="3070" t="s">
        <v>3240</v>
      </c>
      <c r="CI170" s="3070">
        <v>0</v>
      </c>
      <c r="CK170" s="3070" t="s">
        <v>3306</v>
      </c>
      <c r="CL170" s="3070" t="s">
        <v>3306</v>
      </c>
      <c r="CM170" s="3070">
        <v>1159379.82</v>
      </c>
      <c r="CV170" s="3070" t="s">
        <v>3246</v>
      </c>
      <c r="CW170" s="3070" t="s">
        <v>4691</v>
      </c>
      <c r="CZ170" s="3070">
        <v>213894.57</v>
      </c>
      <c r="DA170" s="3070">
        <v>159426.93</v>
      </c>
      <c r="DB170" s="3070">
        <v>0</v>
      </c>
      <c r="DC170" s="3070">
        <v>0</v>
      </c>
      <c r="DD170" s="3070">
        <v>3290547602</v>
      </c>
      <c r="DE170" s="3070">
        <v>2764253109</v>
      </c>
      <c r="DF170" s="3070">
        <v>1464966739</v>
      </c>
      <c r="DG170" s="3070">
        <v>14938370</v>
      </c>
      <c r="DH170" s="3070">
        <v>1284348000</v>
      </c>
      <c r="DI170" s="3070">
        <v>1278128000</v>
      </c>
      <c r="DJ170" s="3070">
        <v>6220000</v>
      </c>
      <c r="DK170" s="3070">
        <v>0</v>
      </c>
      <c r="DL170" s="3070">
        <v>0</v>
      </c>
      <c r="DM170" s="3070">
        <v>25491817.620000001</v>
      </c>
      <c r="DN170" s="3070">
        <v>2764253109</v>
      </c>
      <c r="DP170" s="3070">
        <v>2764253109</v>
      </c>
    </row>
    <row r="171" spans="1:120">
      <c r="A171" s="3070">
        <v>170</v>
      </c>
      <c r="B171" s="3070" t="s">
        <v>3224</v>
      </c>
      <c r="C171" s="3070">
        <v>12</v>
      </c>
      <c r="E171" s="3070">
        <v>1704</v>
      </c>
      <c r="F171" s="3070" t="s">
        <v>4692</v>
      </c>
      <c r="G171" s="3070" t="s">
        <v>4693</v>
      </c>
      <c r="H171" s="3070">
        <v>1442026</v>
      </c>
      <c r="I171" s="3070">
        <v>1442026</v>
      </c>
      <c r="J171" s="3070">
        <v>121.61</v>
      </c>
      <c r="K171" s="3070">
        <v>90.43</v>
      </c>
      <c r="L171" s="3070">
        <v>0</v>
      </c>
      <c r="M171" s="3070">
        <v>0</v>
      </c>
      <c r="N171" s="3070">
        <v>15194.44</v>
      </c>
      <c r="O171" s="3070">
        <v>1847796</v>
      </c>
      <c r="P171" s="3070">
        <v>11857.79</v>
      </c>
      <c r="Q171" s="3070">
        <v>1442026</v>
      </c>
      <c r="R171" s="3070" t="s">
        <v>3227</v>
      </c>
      <c r="S171" s="3070" t="s">
        <v>4694</v>
      </c>
      <c r="T171" s="3070" t="s">
        <v>3246</v>
      </c>
      <c r="U171" s="3070" t="s">
        <v>3259</v>
      </c>
      <c r="V171" s="3070" t="s">
        <v>3230</v>
      </c>
      <c r="Y171" s="3070">
        <v>442026</v>
      </c>
      <c r="Z171" s="3070">
        <v>442026</v>
      </c>
      <c r="AA171" s="3070">
        <v>442026</v>
      </c>
      <c r="AB171" s="3070">
        <v>0</v>
      </c>
      <c r="AC171" s="3070">
        <v>1000000</v>
      </c>
      <c r="AD171" s="3070">
        <v>1000000</v>
      </c>
      <c r="AE171" s="3070">
        <v>0</v>
      </c>
      <c r="AI171" s="3070" t="s">
        <v>3227</v>
      </c>
      <c r="AJ171" s="3070">
        <v>0</v>
      </c>
      <c r="AK171" s="3070">
        <v>0</v>
      </c>
      <c r="AL171" s="3070">
        <v>0</v>
      </c>
      <c r="AM171" s="3070">
        <v>11857.79</v>
      </c>
      <c r="AN171" s="3070">
        <v>1442026</v>
      </c>
      <c r="AP171" s="3070">
        <v>1442026</v>
      </c>
      <c r="AQ171" s="3072">
        <v>45230</v>
      </c>
      <c r="AT171" s="3073">
        <v>45770</v>
      </c>
      <c r="AV171" s="3070" t="s">
        <v>4695</v>
      </c>
      <c r="AW171" s="3070" t="s">
        <v>4696</v>
      </c>
      <c r="AX171" s="3070" t="s">
        <v>4697</v>
      </c>
      <c r="AY171" s="3070" t="s">
        <v>4065</v>
      </c>
      <c r="BA171" s="3070" t="s">
        <v>4065</v>
      </c>
      <c r="BC171" s="3070" t="s">
        <v>4570</v>
      </c>
      <c r="BD171" s="3070" t="s">
        <v>3075</v>
      </c>
      <c r="BI171" s="3070" t="s">
        <v>3235</v>
      </c>
      <c r="BL171" s="3070" t="s">
        <v>4698</v>
      </c>
      <c r="BM171" s="3070" t="s">
        <v>4439</v>
      </c>
      <c r="BN171" s="3070">
        <v>170</v>
      </c>
      <c r="BO171" s="3070" t="s">
        <v>3253</v>
      </c>
      <c r="BR171" s="3070">
        <v>21</v>
      </c>
      <c r="BS171" s="3070" t="s">
        <v>3238</v>
      </c>
      <c r="BU171" s="3070" t="s">
        <v>4065</v>
      </c>
      <c r="BZ171" s="3073">
        <v>44213.705555555556</v>
      </c>
      <c r="CA171" s="3070">
        <v>12</v>
      </c>
      <c r="CD171" s="3070" t="s">
        <v>3239</v>
      </c>
      <c r="CF171" s="3070" t="s">
        <v>3091</v>
      </c>
      <c r="CH171" s="3070" t="s">
        <v>3240</v>
      </c>
      <c r="CI171" s="3070">
        <v>0</v>
      </c>
      <c r="CK171" s="3070" t="s">
        <v>4065</v>
      </c>
      <c r="CL171" s="3070" t="s">
        <v>4242</v>
      </c>
      <c r="CM171" s="3070">
        <v>1322959.6299999999</v>
      </c>
      <c r="CV171" s="3070" t="s">
        <v>3246</v>
      </c>
      <c r="CW171" s="3070" t="s">
        <v>4699</v>
      </c>
      <c r="CX171" s="3070" t="s">
        <v>3311</v>
      </c>
      <c r="CZ171" s="3070">
        <v>213894.57</v>
      </c>
      <c r="DA171" s="3070">
        <v>159426.93</v>
      </c>
      <c r="DB171" s="3070">
        <v>0</v>
      </c>
      <c r="DC171" s="3070">
        <v>0</v>
      </c>
      <c r="DD171" s="3070">
        <v>3290547602</v>
      </c>
      <c r="DE171" s="3070">
        <v>2764253109</v>
      </c>
      <c r="DF171" s="3070">
        <v>1464966739</v>
      </c>
      <c r="DG171" s="3070">
        <v>14938370</v>
      </c>
      <c r="DH171" s="3070">
        <v>1284348000</v>
      </c>
      <c r="DI171" s="3070">
        <v>1278128000</v>
      </c>
      <c r="DJ171" s="3070">
        <v>6220000</v>
      </c>
      <c r="DK171" s="3070">
        <v>0</v>
      </c>
      <c r="DL171" s="3070">
        <v>0</v>
      </c>
      <c r="DM171" s="3070">
        <v>25491817.620000001</v>
      </c>
      <c r="DN171" s="3070">
        <v>2764253109</v>
      </c>
      <c r="DP171" s="3070">
        <v>2764253109</v>
      </c>
    </row>
    <row r="172" spans="1:120">
      <c r="A172" s="3070">
        <v>171</v>
      </c>
      <c r="B172" s="3070" t="s">
        <v>3224</v>
      </c>
      <c r="C172" s="3070">
        <v>12</v>
      </c>
      <c r="E172" s="3070">
        <v>1801</v>
      </c>
      <c r="F172" s="3070" t="s">
        <v>4700</v>
      </c>
      <c r="G172" s="3070" t="s">
        <v>4701</v>
      </c>
      <c r="H172" s="3070">
        <v>1212095</v>
      </c>
      <c r="I172" s="3070">
        <v>1212095</v>
      </c>
      <c r="J172" s="3070">
        <v>121.61</v>
      </c>
      <c r="K172" s="3070">
        <v>90.43</v>
      </c>
      <c r="L172" s="3070">
        <v>0</v>
      </c>
      <c r="M172" s="3070">
        <v>0</v>
      </c>
      <c r="N172" s="3070">
        <v>15094.44</v>
      </c>
      <c r="O172" s="3070">
        <v>1835635</v>
      </c>
      <c r="P172" s="3070">
        <v>9967.07</v>
      </c>
      <c r="Q172" s="3070">
        <v>1212095</v>
      </c>
      <c r="R172" s="3070" t="s">
        <v>3227</v>
      </c>
      <c r="S172" s="3070" t="s">
        <v>4702</v>
      </c>
      <c r="T172" s="3070" t="s">
        <v>3878</v>
      </c>
      <c r="U172" s="3070" t="s">
        <v>3279</v>
      </c>
      <c r="V172" s="3070" t="s">
        <v>3230</v>
      </c>
      <c r="Y172" s="3070">
        <v>612095</v>
      </c>
      <c r="Z172" s="3070">
        <v>612095</v>
      </c>
      <c r="AA172" s="3070">
        <v>612095</v>
      </c>
      <c r="AB172" s="3070">
        <v>0</v>
      </c>
      <c r="AC172" s="3070">
        <v>600000</v>
      </c>
      <c r="AD172" s="3070">
        <v>600000</v>
      </c>
      <c r="AE172" s="3070">
        <v>0</v>
      </c>
      <c r="AI172" s="3070" t="s">
        <v>3227</v>
      </c>
      <c r="AJ172" s="3070">
        <v>0</v>
      </c>
      <c r="AK172" s="3070">
        <v>0</v>
      </c>
      <c r="AL172" s="3070">
        <v>0</v>
      </c>
      <c r="AM172" s="3070">
        <v>9967.07</v>
      </c>
      <c r="AN172" s="3070">
        <v>1212095</v>
      </c>
      <c r="AP172" s="3070">
        <v>1212095</v>
      </c>
      <c r="AQ172" s="3072">
        <v>45230</v>
      </c>
      <c r="AT172" s="3073">
        <v>45770</v>
      </c>
      <c r="AV172" s="3070" t="s">
        <v>4703</v>
      </c>
      <c r="AW172" s="3070" t="s">
        <v>4704</v>
      </c>
      <c r="AX172" s="3070" t="s">
        <v>4705</v>
      </c>
      <c r="AY172" s="3070" t="s">
        <v>4706</v>
      </c>
      <c r="BC172" s="3070" t="s">
        <v>4707</v>
      </c>
      <c r="BD172" s="3070" t="s">
        <v>3075</v>
      </c>
      <c r="BI172" s="3070" t="s">
        <v>3235</v>
      </c>
      <c r="BJ172" s="3070" t="s">
        <v>3296</v>
      </c>
      <c r="BL172" s="3070" t="s">
        <v>4708</v>
      </c>
      <c r="BM172" s="3070" t="s">
        <v>4439</v>
      </c>
      <c r="BN172" s="3070">
        <v>180</v>
      </c>
      <c r="BO172" s="3070" t="s">
        <v>3253</v>
      </c>
      <c r="BR172" s="3070">
        <v>0</v>
      </c>
      <c r="BS172" s="3070" t="s">
        <v>3238</v>
      </c>
      <c r="BV172" s="3070" t="s">
        <v>4709</v>
      </c>
      <c r="BW172" s="3070" t="s">
        <v>4710</v>
      </c>
      <c r="BX172" s="3070" t="s">
        <v>4711</v>
      </c>
      <c r="BZ172" s="3073">
        <v>44260.365972222222</v>
      </c>
      <c r="CA172" s="3070">
        <v>12</v>
      </c>
      <c r="CD172" s="3070" t="s">
        <v>3239</v>
      </c>
      <c r="CF172" s="3070" t="s">
        <v>3091</v>
      </c>
      <c r="CH172" s="3070" t="s">
        <v>3240</v>
      </c>
      <c r="CI172" s="3070">
        <v>0</v>
      </c>
      <c r="CK172" s="3070" t="s">
        <v>4706</v>
      </c>
      <c r="CL172" s="3070" t="s">
        <v>4706</v>
      </c>
      <c r="CM172" s="3070">
        <v>1112013.76</v>
      </c>
      <c r="CV172" s="3070" t="s">
        <v>3246</v>
      </c>
      <c r="CW172" s="3070" t="s">
        <v>4712</v>
      </c>
      <c r="CX172" s="3070" t="s">
        <v>3267</v>
      </c>
      <c r="CZ172" s="3070">
        <v>213894.57</v>
      </c>
      <c r="DA172" s="3070">
        <v>159426.93</v>
      </c>
      <c r="DB172" s="3070">
        <v>0</v>
      </c>
      <c r="DC172" s="3070">
        <v>0</v>
      </c>
      <c r="DD172" s="3070">
        <v>3290547602</v>
      </c>
      <c r="DE172" s="3070">
        <v>2764253109</v>
      </c>
      <c r="DF172" s="3070">
        <v>1464966739</v>
      </c>
      <c r="DG172" s="3070">
        <v>14938370</v>
      </c>
      <c r="DH172" s="3070">
        <v>1284348000</v>
      </c>
      <c r="DI172" s="3070">
        <v>1278128000</v>
      </c>
      <c r="DJ172" s="3070">
        <v>6220000</v>
      </c>
      <c r="DK172" s="3070">
        <v>0</v>
      </c>
      <c r="DL172" s="3070">
        <v>0</v>
      </c>
      <c r="DM172" s="3070">
        <v>25491817.620000001</v>
      </c>
      <c r="DN172" s="3070">
        <v>2764253109</v>
      </c>
      <c r="DP172" s="3070">
        <v>2764253109</v>
      </c>
    </row>
    <row r="173" spans="1:120">
      <c r="A173" s="3070">
        <v>172</v>
      </c>
      <c r="B173" s="3070" t="s">
        <v>3224</v>
      </c>
      <c r="C173" s="3070">
        <v>12</v>
      </c>
      <c r="E173" s="3070">
        <v>1802</v>
      </c>
      <c r="F173" s="3070" t="s">
        <v>4713</v>
      </c>
      <c r="G173" s="3070" t="s">
        <v>4714</v>
      </c>
      <c r="H173" s="3070">
        <v>1199538</v>
      </c>
      <c r="I173" s="3070">
        <v>1199538</v>
      </c>
      <c r="J173" s="3070">
        <v>101.44</v>
      </c>
      <c r="K173" s="3070">
        <v>75.430000000000007</v>
      </c>
      <c r="L173" s="3070">
        <v>0</v>
      </c>
      <c r="M173" s="3070">
        <v>0</v>
      </c>
      <c r="N173" s="3070">
        <v>15194.44</v>
      </c>
      <c r="O173" s="3070">
        <v>1541324</v>
      </c>
      <c r="P173" s="3070">
        <v>11825.1</v>
      </c>
      <c r="Q173" s="3070">
        <v>1199538</v>
      </c>
      <c r="R173" s="3070" t="s">
        <v>3227</v>
      </c>
      <c r="S173" s="3070" t="s">
        <v>4715</v>
      </c>
      <c r="T173" s="3070" t="s">
        <v>3494</v>
      </c>
      <c r="V173" s="3070" t="s">
        <v>3230</v>
      </c>
      <c r="Y173" s="3070">
        <v>119954</v>
      </c>
      <c r="Z173" s="3070">
        <v>119954</v>
      </c>
      <c r="AA173" s="3070">
        <v>1199538</v>
      </c>
      <c r="AB173" s="3070">
        <v>0</v>
      </c>
      <c r="AC173" s="3070">
        <v>0</v>
      </c>
      <c r="AD173" s="3070">
        <v>0</v>
      </c>
      <c r="AE173" s="3070">
        <v>0</v>
      </c>
      <c r="AI173" s="3070" t="s">
        <v>3227</v>
      </c>
      <c r="AJ173" s="3070">
        <v>0</v>
      </c>
      <c r="AK173" s="3070">
        <v>0</v>
      </c>
      <c r="AL173" s="3070">
        <v>0</v>
      </c>
      <c r="AM173" s="3070">
        <v>11825.1</v>
      </c>
      <c r="AN173" s="3070">
        <v>1199538</v>
      </c>
      <c r="AP173" s="3070">
        <v>1199538</v>
      </c>
      <c r="AQ173" s="3072">
        <v>45230</v>
      </c>
      <c r="AT173" s="3073">
        <v>45770</v>
      </c>
      <c r="AV173" s="3074">
        <v>3.21E+17</v>
      </c>
      <c r="AW173" s="3070" t="s">
        <v>4716</v>
      </c>
      <c r="AX173" s="3070" t="s">
        <v>4717</v>
      </c>
      <c r="AY173" s="3070" t="s">
        <v>4019</v>
      </c>
      <c r="BA173" s="3070" t="s">
        <v>4019</v>
      </c>
      <c r="BC173" s="3070" t="s">
        <v>4460</v>
      </c>
      <c r="BD173" s="3070" t="s">
        <v>3077</v>
      </c>
      <c r="BI173" s="3070" t="s">
        <v>3235</v>
      </c>
      <c r="BL173" s="3070" t="s">
        <v>4718</v>
      </c>
      <c r="BM173" s="3070" t="s">
        <v>4439</v>
      </c>
      <c r="BN173" s="3070">
        <v>180</v>
      </c>
      <c r="BR173" s="3070">
        <v>23</v>
      </c>
      <c r="BS173" s="3070" t="s">
        <v>3238</v>
      </c>
      <c r="BU173" s="3070" t="s">
        <v>4019</v>
      </c>
      <c r="BZ173" s="3073">
        <v>44213.904166666667</v>
      </c>
      <c r="CA173" s="3070">
        <v>12</v>
      </c>
      <c r="CD173" s="3070" t="s">
        <v>3239</v>
      </c>
      <c r="CF173" s="3070" t="s">
        <v>3091</v>
      </c>
      <c r="CH173" s="3070" t="s">
        <v>3240</v>
      </c>
      <c r="CI173" s="3070">
        <v>0</v>
      </c>
      <c r="CK173" s="3070" t="s">
        <v>4019</v>
      </c>
      <c r="CL173" s="3070" t="s">
        <v>4022</v>
      </c>
      <c r="CM173" s="3070">
        <v>1100493.58</v>
      </c>
      <c r="CV173" s="3070" t="s">
        <v>3494</v>
      </c>
      <c r="CW173" s="3070" t="s">
        <v>4719</v>
      </c>
      <c r="CZ173" s="3070">
        <v>213894.57</v>
      </c>
      <c r="DA173" s="3070">
        <v>159426.93</v>
      </c>
      <c r="DB173" s="3070">
        <v>0</v>
      </c>
      <c r="DC173" s="3070">
        <v>0</v>
      </c>
      <c r="DD173" s="3070">
        <v>3290547602</v>
      </c>
      <c r="DE173" s="3070">
        <v>2764253109</v>
      </c>
      <c r="DF173" s="3070">
        <v>1464966739</v>
      </c>
      <c r="DG173" s="3070">
        <v>14938370</v>
      </c>
      <c r="DH173" s="3070">
        <v>1284348000</v>
      </c>
      <c r="DI173" s="3070">
        <v>1278128000</v>
      </c>
      <c r="DJ173" s="3070">
        <v>6220000</v>
      </c>
      <c r="DK173" s="3070">
        <v>0</v>
      </c>
      <c r="DL173" s="3070">
        <v>0</v>
      </c>
      <c r="DM173" s="3070">
        <v>25491817.620000001</v>
      </c>
      <c r="DN173" s="3070">
        <v>2764253109</v>
      </c>
      <c r="DP173" s="3070">
        <v>2764253109</v>
      </c>
    </row>
    <row r="174" spans="1:120">
      <c r="A174" s="3070">
        <v>173</v>
      </c>
      <c r="B174" s="3070" t="s">
        <v>3224</v>
      </c>
      <c r="C174" s="3070">
        <v>12</v>
      </c>
      <c r="E174" s="3070">
        <v>1803</v>
      </c>
      <c r="F174" s="3070" t="s">
        <v>4720</v>
      </c>
      <c r="G174" s="3070" t="s">
        <v>4721</v>
      </c>
      <c r="H174" s="3070">
        <v>1266528</v>
      </c>
      <c r="I174" s="3070">
        <v>1266528</v>
      </c>
      <c r="J174" s="3070">
        <v>101.38</v>
      </c>
      <c r="K174" s="3070">
        <v>75.39</v>
      </c>
      <c r="L174" s="3070">
        <v>0</v>
      </c>
      <c r="M174" s="3070">
        <v>0</v>
      </c>
      <c r="N174" s="3070">
        <v>15194.44</v>
      </c>
      <c r="O174" s="3070">
        <v>1540412</v>
      </c>
      <c r="P174" s="3070">
        <v>12492.88</v>
      </c>
      <c r="Q174" s="3070">
        <v>1266528</v>
      </c>
      <c r="R174" s="3070" t="s">
        <v>3227</v>
      </c>
      <c r="S174" s="3070" t="s">
        <v>4722</v>
      </c>
      <c r="T174" s="3070" t="s">
        <v>3258</v>
      </c>
      <c r="U174" s="3070" t="s">
        <v>3259</v>
      </c>
      <c r="V174" s="3070" t="s">
        <v>3230</v>
      </c>
      <c r="Y174" s="3070">
        <v>796528</v>
      </c>
      <c r="Z174" s="3070">
        <v>796528</v>
      </c>
      <c r="AA174" s="3070">
        <v>796528</v>
      </c>
      <c r="AB174" s="3070">
        <v>0</v>
      </c>
      <c r="AC174" s="3070">
        <v>470000</v>
      </c>
      <c r="AD174" s="3070">
        <v>470000</v>
      </c>
      <c r="AE174" s="3070">
        <v>0</v>
      </c>
      <c r="AI174" s="3070" t="s">
        <v>3227</v>
      </c>
      <c r="AJ174" s="3070">
        <v>0</v>
      </c>
      <c r="AK174" s="3070">
        <v>0</v>
      </c>
      <c r="AL174" s="3070">
        <v>0</v>
      </c>
      <c r="AM174" s="3070">
        <v>12492.88</v>
      </c>
      <c r="AN174" s="3070">
        <v>1266528</v>
      </c>
      <c r="AP174" s="3070">
        <v>1266528</v>
      </c>
      <c r="AQ174" s="3072">
        <v>45230</v>
      </c>
      <c r="AT174" s="3073">
        <v>45770</v>
      </c>
      <c r="AV174" s="3074">
        <v>3.21E+17</v>
      </c>
      <c r="AW174" s="3070" t="s">
        <v>4723</v>
      </c>
      <c r="AX174" s="3070" t="s">
        <v>4724</v>
      </c>
      <c r="AY174" s="3070" t="s">
        <v>4100</v>
      </c>
      <c r="BA174" s="3070" t="s">
        <v>4100</v>
      </c>
      <c r="BC174" s="3070" t="s">
        <v>4725</v>
      </c>
      <c r="BD174" s="3070" t="s">
        <v>3077</v>
      </c>
      <c r="BI174" s="3070" t="s">
        <v>3235</v>
      </c>
      <c r="BL174" s="3070" t="s">
        <v>4726</v>
      </c>
      <c r="BM174" s="3070" t="s">
        <v>4439</v>
      </c>
      <c r="BN174" s="3070">
        <v>180</v>
      </c>
      <c r="BO174" s="3070" t="s">
        <v>3253</v>
      </c>
      <c r="BP174" s="3070" t="s">
        <v>3253</v>
      </c>
      <c r="BR174" s="3070">
        <v>16</v>
      </c>
      <c r="BS174" s="3070" t="s">
        <v>3238</v>
      </c>
      <c r="BU174" s="3070" t="s">
        <v>4100</v>
      </c>
      <c r="BZ174" s="3073">
        <v>44223.686805555553</v>
      </c>
      <c r="CA174" s="3070">
        <v>12</v>
      </c>
      <c r="CD174" s="3070" t="s">
        <v>3239</v>
      </c>
      <c r="CF174" s="3070" t="s">
        <v>3091</v>
      </c>
      <c r="CH174" s="3070" t="s">
        <v>3240</v>
      </c>
      <c r="CI174" s="3070">
        <v>0</v>
      </c>
      <c r="CJ174" s="3070" t="s">
        <v>3259</v>
      </c>
      <c r="CK174" s="3070" t="s">
        <v>4100</v>
      </c>
      <c r="CL174" s="3070" t="s">
        <v>4545</v>
      </c>
      <c r="CM174" s="3070">
        <v>1161952.29</v>
      </c>
      <c r="CV174" s="3070" t="s">
        <v>3258</v>
      </c>
      <c r="CW174" s="3070" t="s">
        <v>4727</v>
      </c>
      <c r="CX174" s="3070" t="s">
        <v>3267</v>
      </c>
      <c r="CZ174" s="3070">
        <v>213894.57</v>
      </c>
      <c r="DA174" s="3070">
        <v>159426.93</v>
      </c>
      <c r="DB174" s="3070">
        <v>0</v>
      </c>
      <c r="DC174" s="3070">
        <v>0</v>
      </c>
      <c r="DD174" s="3070">
        <v>3290547602</v>
      </c>
      <c r="DE174" s="3070">
        <v>2764253109</v>
      </c>
      <c r="DF174" s="3070">
        <v>1464966739</v>
      </c>
      <c r="DG174" s="3070">
        <v>14938370</v>
      </c>
      <c r="DH174" s="3070">
        <v>1284348000</v>
      </c>
      <c r="DI174" s="3070">
        <v>1278128000</v>
      </c>
      <c r="DJ174" s="3070">
        <v>6220000</v>
      </c>
      <c r="DK174" s="3070">
        <v>0</v>
      </c>
      <c r="DL174" s="3070">
        <v>0</v>
      </c>
      <c r="DM174" s="3070">
        <v>25491817.620000001</v>
      </c>
      <c r="DN174" s="3070">
        <v>2764253109</v>
      </c>
      <c r="DP174" s="3070">
        <v>2764253109</v>
      </c>
    </row>
    <row r="175" spans="1:120">
      <c r="A175" s="3070">
        <v>174</v>
      </c>
      <c r="B175" s="3070" t="s">
        <v>3224</v>
      </c>
      <c r="C175" s="3070">
        <v>12</v>
      </c>
      <c r="E175" s="3070">
        <v>1804</v>
      </c>
      <c r="F175" s="3070" t="s">
        <v>4728</v>
      </c>
      <c r="G175" s="3070" t="s">
        <v>4729</v>
      </c>
      <c r="H175" s="3070">
        <v>1364958</v>
      </c>
      <c r="I175" s="3070">
        <v>1364958</v>
      </c>
      <c r="J175" s="3070">
        <v>121.61</v>
      </c>
      <c r="K175" s="3070">
        <v>90.43</v>
      </c>
      <c r="L175" s="3070">
        <v>0</v>
      </c>
      <c r="M175" s="3070">
        <v>0</v>
      </c>
      <c r="N175" s="3070">
        <v>14994.44</v>
      </c>
      <c r="O175" s="3070">
        <v>1823474</v>
      </c>
      <c r="P175" s="3070">
        <v>11224.06</v>
      </c>
      <c r="Q175" s="3070">
        <v>1364958</v>
      </c>
      <c r="R175" s="3070" t="s">
        <v>3227</v>
      </c>
      <c r="S175" s="3070" t="s">
        <v>4730</v>
      </c>
      <c r="T175" s="3070" t="s">
        <v>3878</v>
      </c>
      <c r="U175" s="3070" t="s">
        <v>3279</v>
      </c>
      <c r="V175" s="3070" t="s">
        <v>3230</v>
      </c>
      <c r="Y175" s="3070">
        <v>844958</v>
      </c>
      <c r="Z175" s="3070">
        <v>844958</v>
      </c>
      <c r="AA175" s="3070">
        <v>844958</v>
      </c>
      <c r="AB175" s="3070">
        <v>0</v>
      </c>
      <c r="AC175" s="3070">
        <v>520000</v>
      </c>
      <c r="AD175" s="3070">
        <v>520000</v>
      </c>
      <c r="AE175" s="3070">
        <v>0</v>
      </c>
      <c r="AI175" s="3070" t="s">
        <v>3227</v>
      </c>
      <c r="AJ175" s="3070">
        <v>0</v>
      </c>
      <c r="AK175" s="3070">
        <v>0</v>
      </c>
      <c r="AL175" s="3070">
        <v>0</v>
      </c>
      <c r="AM175" s="3070">
        <v>11224.06</v>
      </c>
      <c r="AN175" s="3070">
        <v>1364958</v>
      </c>
      <c r="AP175" s="3070">
        <v>1364958</v>
      </c>
      <c r="AQ175" s="3072">
        <v>45230</v>
      </c>
      <c r="AT175" s="3073">
        <v>45770</v>
      </c>
      <c r="AV175" s="3070" t="s">
        <v>4731</v>
      </c>
      <c r="AW175" s="3070" t="s">
        <v>4732</v>
      </c>
      <c r="AX175" s="3070" t="s">
        <v>4733</v>
      </c>
      <c r="AY175" s="3070" t="s">
        <v>3587</v>
      </c>
      <c r="BC175" s="3070" t="s">
        <v>4734</v>
      </c>
      <c r="BD175" s="3070" t="s">
        <v>3075</v>
      </c>
      <c r="BI175" s="3070" t="s">
        <v>3295</v>
      </c>
      <c r="BJ175" s="3070" t="s">
        <v>3296</v>
      </c>
      <c r="BL175" s="3070" t="s">
        <v>4735</v>
      </c>
      <c r="BM175" s="3070" t="s">
        <v>4439</v>
      </c>
      <c r="BN175" s="3070">
        <v>180</v>
      </c>
      <c r="BO175" s="3070" t="s">
        <v>3253</v>
      </c>
      <c r="BR175" s="3070">
        <v>0</v>
      </c>
      <c r="BS175" s="3070" t="s">
        <v>3238</v>
      </c>
      <c r="BZ175" s="3073">
        <v>44266.640972222223</v>
      </c>
      <c r="CA175" s="3070">
        <v>12</v>
      </c>
      <c r="CD175" s="3070" t="s">
        <v>3239</v>
      </c>
      <c r="CF175" s="3070" t="s">
        <v>3091</v>
      </c>
      <c r="CH175" s="3070" t="s">
        <v>3240</v>
      </c>
      <c r="CI175" s="3070">
        <v>0</v>
      </c>
      <c r="CK175" s="3070" t="s">
        <v>4736</v>
      </c>
      <c r="CL175" s="3070" t="s">
        <v>3587</v>
      </c>
      <c r="CM175" s="3070">
        <v>1252255.05</v>
      </c>
      <c r="CV175" s="3070" t="s">
        <v>3246</v>
      </c>
      <c r="CW175" s="3070" t="s">
        <v>4737</v>
      </c>
      <c r="CZ175" s="3070">
        <v>213894.57</v>
      </c>
      <c r="DA175" s="3070">
        <v>159426.93</v>
      </c>
      <c r="DB175" s="3070">
        <v>0</v>
      </c>
      <c r="DC175" s="3070">
        <v>0</v>
      </c>
      <c r="DD175" s="3070">
        <v>3290547602</v>
      </c>
      <c r="DE175" s="3070">
        <v>2764253109</v>
      </c>
      <c r="DF175" s="3070">
        <v>1464966739</v>
      </c>
      <c r="DG175" s="3070">
        <v>14938370</v>
      </c>
      <c r="DH175" s="3070">
        <v>1284348000</v>
      </c>
      <c r="DI175" s="3070">
        <v>1278128000</v>
      </c>
      <c r="DJ175" s="3070">
        <v>6220000</v>
      </c>
      <c r="DK175" s="3070">
        <v>0</v>
      </c>
      <c r="DL175" s="3070">
        <v>0</v>
      </c>
      <c r="DM175" s="3070">
        <v>25491817.620000001</v>
      </c>
      <c r="DN175" s="3070">
        <v>2764253109</v>
      </c>
      <c r="DP175" s="3070">
        <v>2764253109</v>
      </c>
    </row>
    <row r="176" spans="1:120">
      <c r="A176" s="3070">
        <v>175</v>
      </c>
      <c r="B176" s="3070" t="s">
        <v>3224</v>
      </c>
      <c r="C176" s="3070">
        <v>12</v>
      </c>
      <c r="E176" s="3070">
        <v>201</v>
      </c>
      <c r="F176" s="3070" t="s">
        <v>4738</v>
      </c>
      <c r="G176" s="3070" t="s">
        <v>4739</v>
      </c>
      <c r="H176" s="3070">
        <v>566620</v>
      </c>
      <c r="I176" s="3070">
        <v>1416547</v>
      </c>
      <c r="J176" s="3070">
        <v>121.61</v>
      </c>
      <c r="K176" s="3070">
        <v>90.43</v>
      </c>
      <c r="L176" s="3070">
        <v>0</v>
      </c>
      <c r="M176" s="3070">
        <v>0</v>
      </c>
      <c r="N176" s="3070">
        <v>14944.44</v>
      </c>
      <c r="O176" s="3070">
        <v>1817393</v>
      </c>
      <c r="P176" s="3070">
        <v>11648.28</v>
      </c>
      <c r="Q176" s="3070">
        <v>1416547</v>
      </c>
      <c r="R176" s="3070" t="s">
        <v>3227</v>
      </c>
      <c r="S176" s="3070" t="s">
        <v>3353</v>
      </c>
      <c r="T176" s="3070" t="s">
        <v>3494</v>
      </c>
      <c r="V176" s="3070" t="s">
        <v>3230</v>
      </c>
      <c r="Y176" s="3070">
        <v>141655</v>
      </c>
      <c r="Z176" s="3070">
        <v>141655</v>
      </c>
      <c r="AA176" s="3070">
        <v>566620</v>
      </c>
      <c r="AB176" s="3070">
        <v>849927</v>
      </c>
      <c r="AC176" s="3070">
        <v>0</v>
      </c>
      <c r="AD176" s="3070">
        <v>0</v>
      </c>
      <c r="AE176" s="3070">
        <v>0</v>
      </c>
      <c r="AI176" s="3070" t="s">
        <v>3227</v>
      </c>
      <c r="AJ176" s="3070">
        <v>0</v>
      </c>
      <c r="AK176" s="3070">
        <v>0</v>
      </c>
      <c r="AL176" s="3070">
        <v>0</v>
      </c>
      <c r="AM176" s="3070">
        <v>11648.28</v>
      </c>
      <c r="AN176" s="3070">
        <v>1416547</v>
      </c>
      <c r="AP176" s="3070">
        <v>1416547</v>
      </c>
      <c r="AQ176" s="3072">
        <v>45230</v>
      </c>
      <c r="AT176" s="3073">
        <v>45770</v>
      </c>
      <c r="AV176" s="3070" t="s">
        <v>4740</v>
      </c>
      <c r="AW176" s="3070" t="s">
        <v>4741</v>
      </c>
      <c r="AX176" s="3070" t="s">
        <v>4742</v>
      </c>
      <c r="AY176" s="3070" t="s">
        <v>3587</v>
      </c>
      <c r="BA176" s="3070" t="s">
        <v>3587</v>
      </c>
      <c r="BC176" s="3070" t="s">
        <v>4460</v>
      </c>
      <c r="BD176" s="3070" t="s">
        <v>3075</v>
      </c>
      <c r="BI176" s="3070" t="s">
        <v>3235</v>
      </c>
      <c r="BL176" s="3070" t="s">
        <v>4743</v>
      </c>
      <c r="BM176" s="3070" t="s">
        <v>4439</v>
      </c>
      <c r="BN176" s="3070">
        <v>201</v>
      </c>
      <c r="BR176" s="3070">
        <v>19</v>
      </c>
      <c r="BS176" s="3070" t="s">
        <v>3238</v>
      </c>
      <c r="BU176" s="3070" t="s">
        <v>3587</v>
      </c>
      <c r="BZ176" s="3073">
        <v>44227.912499999999</v>
      </c>
      <c r="CA176" s="3070">
        <v>12</v>
      </c>
      <c r="CD176" s="3070" t="s">
        <v>3239</v>
      </c>
      <c r="CF176" s="3070" t="s">
        <v>3091</v>
      </c>
      <c r="CH176" s="3070" t="s">
        <v>3240</v>
      </c>
      <c r="CI176" s="3070">
        <v>0</v>
      </c>
      <c r="CK176" s="3070" t="s">
        <v>3590</v>
      </c>
      <c r="CL176" s="3070" t="s">
        <v>3587</v>
      </c>
      <c r="CM176" s="3070">
        <v>1299584.3999999999</v>
      </c>
      <c r="CV176" s="3070" t="s">
        <v>3494</v>
      </c>
      <c r="CW176" s="3070" t="s">
        <v>4744</v>
      </c>
      <c r="CX176" s="3070" t="s">
        <v>3242</v>
      </c>
      <c r="CZ176" s="3070">
        <v>213894.57</v>
      </c>
      <c r="DA176" s="3070">
        <v>159426.93</v>
      </c>
      <c r="DB176" s="3070">
        <v>0</v>
      </c>
      <c r="DC176" s="3070">
        <v>0</v>
      </c>
      <c r="DD176" s="3070">
        <v>3290547602</v>
      </c>
      <c r="DE176" s="3070">
        <v>2764253109</v>
      </c>
      <c r="DF176" s="3070">
        <v>1464966739</v>
      </c>
      <c r="DG176" s="3070">
        <v>14938370</v>
      </c>
      <c r="DH176" s="3070">
        <v>1284348000</v>
      </c>
      <c r="DI176" s="3070">
        <v>1278128000</v>
      </c>
      <c r="DJ176" s="3070">
        <v>6220000</v>
      </c>
      <c r="DK176" s="3070">
        <v>0</v>
      </c>
      <c r="DL176" s="3070">
        <v>0</v>
      </c>
      <c r="DM176" s="3070">
        <v>25491817.620000001</v>
      </c>
      <c r="DN176" s="3070">
        <v>2764253109</v>
      </c>
      <c r="DP176" s="3070">
        <v>2764253109</v>
      </c>
    </row>
    <row r="177" spans="1:120">
      <c r="A177" s="3070">
        <v>176</v>
      </c>
      <c r="B177" s="3070" t="s">
        <v>3224</v>
      </c>
      <c r="C177" s="3070">
        <v>12</v>
      </c>
      <c r="E177" s="3070">
        <v>202</v>
      </c>
      <c r="F177" s="3070" t="s">
        <v>4745</v>
      </c>
      <c r="G177" s="3070" t="s">
        <v>4746</v>
      </c>
      <c r="H177" s="3070">
        <v>1257342</v>
      </c>
      <c r="I177" s="3070">
        <v>1257342</v>
      </c>
      <c r="J177" s="3070">
        <v>101.47</v>
      </c>
      <c r="K177" s="3070">
        <v>75.45</v>
      </c>
      <c r="L177" s="3070">
        <v>0</v>
      </c>
      <c r="M177" s="3070">
        <v>0</v>
      </c>
      <c r="N177" s="3070">
        <v>15044.44</v>
      </c>
      <c r="O177" s="3070">
        <v>1526559</v>
      </c>
      <c r="P177" s="3070">
        <v>12391.27</v>
      </c>
      <c r="Q177" s="3070">
        <v>1257342</v>
      </c>
      <c r="R177" s="3070" t="s">
        <v>3227</v>
      </c>
      <c r="S177" s="3070" t="s">
        <v>4747</v>
      </c>
      <c r="T177" s="3070" t="s">
        <v>3258</v>
      </c>
      <c r="U177" s="3070" t="s">
        <v>3259</v>
      </c>
      <c r="V177" s="3070" t="s">
        <v>3230</v>
      </c>
      <c r="Y177" s="3070">
        <v>507342</v>
      </c>
      <c r="Z177" s="3070">
        <v>507342</v>
      </c>
      <c r="AA177" s="3070">
        <v>507342</v>
      </c>
      <c r="AB177" s="3070">
        <v>0</v>
      </c>
      <c r="AC177" s="3070">
        <v>750000</v>
      </c>
      <c r="AD177" s="3070">
        <v>750000</v>
      </c>
      <c r="AE177" s="3070">
        <v>0</v>
      </c>
      <c r="AI177" s="3070" t="s">
        <v>3227</v>
      </c>
      <c r="AJ177" s="3070">
        <v>0</v>
      </c>
      <c r="AK177" s="3070">
        <v>0</v>
      </c>
      <c r="AL177" s="3070">
        <v>0</v>
      </c>
      <c r="AM177" s="3070">
        <v>12391.27</v>
      </c>
      <c r="AN177" s="3070">
        <v>1257342</v>
      </c>
      <c r="AP177" s="3070">
        <v>1257342</v>
      </c>
      <c r="AQ177" s="3072">
        <v>45230</v>
      </c>
      <c r="AT177" s="3073">
        <v>45770</v>
      </c>
      <c r="AV177" s="3070" t="s">
        <v>4748</v>
      </c>
      <c r="AW177" s="3070" t="s">
        <v>4749</v>
      </c>
      <c r="AX177" s="3070" t="s">
        <v>4750</v>
      </c>
      <c r="AY177" s="3070" t="s">
        <v>3306</v>
      </c>
      <c r="BA177" s="3070" t="s">
        <v>3306</v>
      </c>
      <c r="BC177" s="3070" t="s">
        <v>4751</v>
      </c>
      <c r="BD177" s="3070" t="s">
        <v>3077</v>
      </c>
      <c r="BI177" s="3070" t="s">
        <v>3235</v>
      </c>
      <c r="BL177" s="3070" t="s">
        <v>4752</v>
      </c>
      <c r="BM177" s="3070" t="s">
        <v>4439</v>
      </c>
      <c r="BN177" s="3070">
        <v>202</v>
      </c>
      <c r="BO177" s="3070" t="s">
        <v>3253</v>
      </c>
      <c r="BP177" s="3070" t="s">
        <v>3253</v>
      </c>
      <c r="BR177" s="3070">
        <v>16</v>
      </c>
      <c r="BS177" s="3070" t="s">
        <v>3238</v>
      </c>
      <c r="BU177" s="3070" t="s">
        <v>3306</v>
      </c>
      <c r="BV177" s="3070" t="s">
        <v>4753</v>
      </c>
      <c r="BZ177" s="3073">
        <v>44178.545138888891</v>
      </c>
      <c r="CA177" s="3070">
        <v>12</v>
      </c>
      <c r="CD177" s="3070" t="s">
        <v>3239</v>
      </c>
      <c r="CF177" s="3070" t="s">
        <v>3091</v>
      </c>
      <c r="CH177" s="3070" t="s">
        <v>3240</v>
      </c>
      <c r="CI177" s="3070">
        <v>0</v>
      </c>
      <c r="CJ177" s="3070" t="s">
        <v>3259</v>
      </c>
      <c r="CK177" s="3070" t="s">
        <v>3306</v>
      </c>
      <c r="CL177" s="3070" t="s">
        <v>3306</v>
      </c>
      <c r="CM177" s="3070">
        <v>1153524.77</v>
      </c>
      <c r="CV177" s="3070" t="s">
        <v>3258</v>
      </c>
      <c r="CW177" s="3070" t="s">
        <v>4754</v>
      </c>
      <c r="CX177" s="3070" t="s">
        <v>3510</v>
      </c>
      <c r="CZ177" s="3070">
        <v>213894.57</v>
      </c>
      <c r="DA177" s="3070">
        <v>159426.93</v>
      </c>
      <c r="DB177" s="3070">
        <v>0</v>
      </c>
      <c r="DC177" s="3070">
        <v>0</v>
      </c>
      <c r="DD177" s="3070">
        <v>3290547602</v>
      </c>
      <c r="DE177" s="3070">
        <v>2764253109</v>
      </c>
      <c r="DF177" s="3070">
        <v>1464966739</v>
      </c>
      <c r="DG177" s="3070">
        <v>14938370</v>
      </c>
      <c r="DH177" s="3070">
        <v>1284348000</v>
      </c>
      <c r="DI177" s="3070">
        <v>1278128000</v>
      </c>
      <c r="DJ177" s="3070">
        <v>6220000</v>
      </c>
      <c r="DK177" s="3070">
        <v>0</v>
      </c>
      <c r="DL177" s="3070">
        <v>0</v>
      </c>
      <c r="DM177" s="3070">
        <v>25491817.620000001</v>
      </c>
      <c r="DN177" s="3070">
        <v>2764253109</v>
      </c>
      <c r="DP177" s="3070">
        <v>2764253109</v>
      </c>
    </row>
    <row r="178" spans="1:120">
      <c r="A178" s="3070">
        <v>177</v>
      </c>
      <c r="B178" s="3070" t="s">
        <v>3224</v>
      </c>
      <c r="C178" s="3070">
        <v>12</v>
      </c>
      <c r="E178" s="3070">
        <v>203</v>
      </c>
      <c r="F178" s="3070" t="s">
        <v>4755</v>
      </c>
      <c r="G178" s="3070" t="s">
        <v>4756</v>
      </c>
      <c r="H178" s="3070">
        <v>1262597</v>
      </c>
      <c r="I178" s="3070">
        <v>1262597</v>
      </c>
      <c r="J178" s="3070">
        <v>101.47</v>
      </c>
      <c r="K178" s="3070">
        <v>75.45</v>
      </c>
      <c r="L178" s="3070">
        <v>0</v>
      </c>
      <c r="M178" s="3070">
        <v>0</v>
      </c>
      <c r="N178" s="3070">
        <v>15044.44</v>
      </c>
      <c r="O178" s="3070">
        <v>1526559</v>
      </c>
      <c r="P178" s="3070">
        <v>12443.06</v>
      </c>
      <c r="Q178" s="3070">
        <v>1262597</v>
      </c>
      <c r="R178" s="3070" t="s">
        <v>3227</v>
      </c>
      <c r="S178" s="3070" t="s">
        <v>4757</v>
      </c>
      <c r="T178" s="3070" t="s">
        <v>3246</v>
      </c>
      <c r="U178" s="3070" t="s">
        <v>3279</v>
      </c>
      <c r="V178" s="3070" t="s">
        <v>3230</v>
      </c>
      <c r="Y178" s="3070">
        <v>632597</v>
      </c>
      <c r="Z178" s="3070">
        <v>632597</v>
      </c>
      <c r="AA178" s="3070">
        <v>632597</v>
      </c>
      <c r="AB178" s="3070">
        <v>0</v>
      </c>
      <c r="AC178" s="3070">
        <v>630000</v>
      </c>
      <c r="AD178" s="3070">
        <v>630000</v>
      </c>
      <c r="AE178" s="3070">
        <v>0</v>
      </c>
      <c r="AI178" s="3070" t="s">
        <v>3227</v>
      </c>
      <c r="AJ178" s="3070">
        <v>0</v>
      </c>
      <c r="AK178" s="3070">
        <v>0</v>
      </c>
      <c r="AL178" s="3070">
        <v>0</v>
      </c>
      <c r="AM178" s="3070">
        <v>12443.06</v>
      </c>
      <c r="AN178" s="3070">
        <v>1262597</v>
      </c>
      <c r="AP178" s="3070">
        <v>1262597</v>
      </c>
      <c r="AQ178" s="3072">
        <v>45230</v>
      </c>
      <c r="AT178" s="3073">
        <v>45770</v>
      </c>
      <c r="AV178" s="3070" t="s">
        <v>4758</v>
      </c>
      <c r="AW178" s="3070" t="s">
        <v>4759</v>
      </c>
      <c r="AX178" s="3070" t="s">
        <v>4760</v>
      </c>
      <c r="AY178" s="3070" t="s">
        <v>3306</v>
      </c>
      <c r="BA178" s="3070" t="s">
        <v>3306</v>
      </c>
      <c r="BC178" s="3070" t="s">
        <v>4761</v>
      </c>
      <c r="BD178" s="3070" t="s">
        <v>3077</v>
      </c>
      <c r="BI178" s="3070" t="s">
        <v>3235</v>
      </c>
      <c r="BL178" s="3070" t="s">
        <v>4762</v>
      </c>
      <c r="BM178" s="3070" t="s">
        <v>4439</v>
      </c>
      <c r="BN178" s="3070">
        <v>203</v>
      </c>
      <c r="BO178" s="3070" t="s">
        <v>3253</v>
      </c>
      <c r="BR178" s="3070">
        <v>16</v>
      </c>
      <c r="BS178" s="3070" t="s">
        <v>3238</v>
      </c>
      <c r="BU178" s="3070" t="s">
        <v>3306</v>
      </c>
      <c r="BV178" s="3070" t="s">
        <v>4763</v>
      </c>
      <c r="BZ178" s="3073">
        <v>44178.884027777778</v>
      </c>
      <c r="CA178" s="3070">
        <v>12</v>
      </c>
      <c r="CD178" s="3070" t="s">
        <v>3239</v>
      </c>
      <c r="CF178" s="3070" t="s">
        <v>3091</v>
      </c>
      <c r="CH178" s="3070" t="s">
        <v>3240</v>
      </c>
      <c r="CI178" s="3070">
        <v>0</v>
      </c>
      <c r="CK178" s="3070" t="s">
        <v>3306</v>
      </c>
      <c r="CL178" s="3070" t="s">
        <v>3306</v>
      </c>
      <c r="CM178" s="3070">
        <v>1158345.8700000001</v>
      </c>
      <c r="CV178" s="3070" t="s">
        <v>3246</v>
      </c>
      <c r="CW178" s="3070" t="s">
        <v>4764</v>
      </c>
      <c r="CX178" s="3070" t="s">
        <v>3510</v>
      </c>
      <c r="CZ178" s="3070">
        <v>213894.57</v>
      </c>
      <c r="DA178" s="3070">
        <v>159426.93</v>
      </c>
      <c r="DB178" s="3070">
        <v>0</v>
      </c>
      <c r="DC178" s="3070">
        <v>0</v>
      </c>
      <c r="DD178" s="3070">
        <v>3290547602</v>
      </c>
      <c r="DE178" s="3070">
        <v>2764253109</v>
      </c>
      <c r="DF178" s="3070">
        <v>1464966739</v>
      </c>
      <c r="DG178" s="3070">
        <v>14938370</v>
      </c>
      <c r="DH178" s="3070">
        <v>1284348000</v>
      </c>
      <c r="DI178" s="3070">
        <v>1278128000</v>
      </c>
      <c r="DJ178" s="3070">
        <v>6220000</v>
      </c>
      <c r="DK178" s="3070">
        <v>0</v>
      </c>
      <c r="DL178" s="3070">
        <v>0</v>
      </c>
      <c r="DM178" s="3070">
        <v>25491817.620000001</v>
      </c>
      <c r="DN178" s="3070">
        <v>2764253109</v>
      </c>
      <c r="DP178" s="3070">
        <v>2764253109</v>
      </c>
    </row>
    <row r="179" spans="1:120">
      <c r="A179" s="3070">
        <v>178</v>
      </c>
      <c r="B179" s="3070" t="s">
        <v>3224</v>
      </c>
      <c r="C179" s="3070">
        <v>12</v>
      </c>
      <c r="E179" s="3070">
        <v>204</v>
      </c>
      <c r="F179" s="3070" t="s">
        <v>4765</v>
      </c>
      <c r="G179" s="3070" t="s">
        <v>4766</v>
      </c>
      <c r="H179" s="3070">
        <v>1395604</v>
      </c>
      <c r="I179" s="3070">
        <v>1395604</v>
      </c>
      <c r="J179" s="3070">
        <v>121.61</v>
      </c>
      <c r="K179" s="3070">
        <v>90.43</v>
      </c>
      <c r="L179" s="3070">
        <v>0</v>
      </c>
      <c r="M179" s="3070">
        <v>0</v>
      </c>
      <c r="N179" s="3070">
        <v>13569.44</v>
      </c>
      <c r="O179" s="3070">
        <v>1650180</v>
      </c>
      <c r="P179" s="3070">
        <v>11476.06</v>
      </c>
      <c r="Q179" s="3070">
        <v>1395604</v>
      </c>
      <c r="R179" s="3070" t="s">
        <v>3227</v>
      </c>
      <c r="S179" s="3070" t="s">
        <v>4767</v>
      </c>
      <c r="T179" s="3070" t="s">
        <v>3476</v>
      </c>
      <c r="U179" s="3070" t="s">
        <v>3259</v>
      </c>
      <c r="V179" s="3070" t="s">
        <v>3230</v>
      </c>
      <c r="Y179" s="3070">
        <v>167472</v>
      </c>
      <c r="Z179" s="3070">
        <v>167472</v>
      </c>
      <c r="AA179" s="3070">
        <v>425604</v>
      </c>
      <c r="AB179" s="3070">
        <v>0</v>
      </c>
      <c r="AC179" s="3070">
        <v>970000</v>
      </c>
      <c r="AD179" s="3070">
        <v>970000</v>
      </c>
      <c r="AE179" s="3070">
        <v>0</v>
      </c>
      <c r="AI179" s="3070" t="s">
        <v>3227</v>
      </c>
      <c r="AJ179" s="3070">
        <v>0</v>
      </c>
      <c r="AK179" s="3070">
        <v>0</v>
      </c>
      <c r="AL179" s="3070">
        <v>0</v>
      </c>
      <c r="AM179" s="3070">
        <v>11476.06</v>
      </c>
      <c r="AN179" s="3070">
        <v>1395604</v>
      </c>
      <c r="AP179" s="3070">
        <v>1395604</v>
      </c>
      <c r="AQ179" s="3072">
        <v>45230</v>
      </c>
      <c r="AT179" s="3073">
        <v>45770</v>
      </c>
      <c r="AV179" s="3074">
        <v>3.71E+17</v>
      </c>
      <c r="AW179" s="3070" t="s">
        <v>4768</v>
      </c>
      <c r="AX179" s="3070" t="s">
        <v>4769</v>
      </c>
      <c r="AY179" s="3070" t="s">
        <v>3632</v>
      </c>
      <c r="BC179" s="3070" t="s">
        <v>4770</v>
      </c>
      <c r="BD179" s="3070" t="s">
        <v>3075</v>
      </c>
      <c r="BI179" s="3070" t="s">
        <v>3295</v>
      </c>
      <c r="BL179" s="3070" t="s">
        <v>4771</v>
      </c>
      <c r="BM179" s="3070" t="s">
        <v>4439</v>
      </c>
      <c r="BN179" s="3070">
        <v>204</v>
      </c>
      <c r="BO179" s="3070" t="s">
        <v>3253</v>
      </c>
      <c r="BR179" s="3070">
        <v>18</v>
      </c>
      <c r="BS179" s="3070" t="s">
        <v>3238</v>
      </c>
      <c r="BT179" s="3070" t="s">
        <v>3481</v>
      </c>
      <c r="BV179" s="3070" t="s">
        <v>4772</v>
      </c>
      <c r="BZ179" s="3073">
        <v>44184.509722222225</v>
      </c>
      <c r="CA179" s="3070">
        <v>12</v>
      </c>
      <c r="CB179" s="3070" t="s">
        <v>3481</v>
      </c>
      <c r="CD179" s="3070" t="s">
        <v>3239</v>
      </c>
      <c r="CF179" s="3070" t="s">
        <v>3091</v>
      </c>
      <c r="CH179" s="3070" t="s">
        <v>3240</v>
      </c>
      <c r="CI179" s="3070">
        <v>0</v>
      </c>
      <c r="CK179" s="3070" t="s">
        <v>3632</v>
      </c>
      <c r="CL179" s="3070" t="s">
        <v>3632</v>
      </c>
      <c r="CM179" s="3070">
        <v>1280370.6399999999</v>
      </c>
      <c r="CV179" s="3070" t="s">
        <v>3482</v>
      </c>
      <c r="CW179" s="3070" t="s">
        <v>4773</v>
      </c>
      <c r="CZ179" s="3070">
        <v>213894.57</v>
      </c>
      <c r="DA179" s="3070">
        <v>159426.93</v>
      </c>
      <c r="DB179" s="3070">
        <v>0</v>
      </c>
      <c r="DC179" s="3070">
        <v>0</v>
      </c>
      <c r="DD179" s="3070">
        <v>3290547602</v>
      </c>
      <c r="DE179" s="3070">
        <v>2764253109</v>
      </c>
      <c r="DF179" s="3070">
        <v>1464966739</v>
      </c>
      <c r="DG179" s="3070">
        <v>14938370</v>
      </c>
      <c r="DH179" s="3070">
        <v>1284348000</v>
      </c>
      <c r="DI179" s="3070">
        <v>1278128000</v>
      </c>
      <c r="DJ179" s="3070">
        <v>6220000</v>
      </c>
      <c r="DK179" s="3070">
        <v>0</v>
      </c>
      <c r="DL179" s="3070">
        <v>0</v>
      </c>
      <c r="DM179" s="3070">
        <v>25491817.620000001</v>
      </c>
      <c r="DN179" s="3070">
        <v>2764253109</v>
      </c>
      <c r="DP179" s="3070">
        <v>2764253109</v>
      </c>
    </row>
    <row r="180" spans="1:120">
      <c r="A180" s="3070">
        <v>179</v>
      </c>
      <c r="B180" s="3070" t="s">
        <v>3224</v>
      </c>
      <c r="C180" s="3070">
        <v>12</v>
      </c>
      <c r="E180" s="3070">
        <v>301</v>
      </c>
      <c r="F180" s="3070" t="s">
        <v>4774</v>
      </c>
      <c r="G180" s="3070" t="s">
        <v>4775</v>
      </c>
      <c r="H180" s="3070">
        <v>1458889</v>
      </c>
      <c r="I180" s="3070">
        <v>1458889</v>
      </c>
      <c r="J180" s="3070">
        <v>121.61</v>
      </c>
      <c r="K180" s="3070">
        <v>90.43</v>
      </c>
      <c r="L180" s="3070">
        <v>0</v>
      </c>
      <c r="M180" s="3070">
        <v>0</v>
      </c>
      <c r="N180" s="3070">
        <v>15044.44</v>
      </c>
      <c r="O180" s="3070">
        <v>1829554</v>
      </c>
      <c r="P180" s="3070">
        <v>11996.46</v>
      </c>
      <c r="Q180" s="3070">
        <v>1458889</v>
      </c>
      <c r="R180" s="3070" t="s">
        <v>3227</v>
      </c>
      <c r="S180" s="3070" t="s">
        <v>4776</v>
      </c>
      <c r="T180" s="3070" t="s">
        <v>3258</v>
      </c>
      <c r="U180" s="3070" t="s">
        <v>3259</v>
      </c>
      <c r="V180" s="3070" t="s">
        <v>3230</v>
      </c>
      <c r="Y180" s="3070">
        <v>438889</v>
      </c>
      <c r="Z180" s="3070">
        <v>438889</v>
      </c>
      <c r="AA180" s="3070">
        <v>438889</v>
      </c>
      <c r="AB180" s="3070">
        <v>0</v>
      </c>
      <c r="AC180" s="3070">
        <v>1020000</v>
      </c>
      <c r="AD180" s="3070">
        <v>1020000</v>
      </c>
      <c r="AE180" s="3070">
        <v>0</v>
      </c>
      <c r="AI180" s="3070" t="s">
        <v>3227</v>
      </c>
      <c r="AJ180" s="3070">
        <v>0</v>
      </c>
      <c r="AK180" s="3070">
        <v>0</v>
      </c>
      <c r="AL180" s="3070">
        <v>0</v>
      </c>
      <c r="AM180" s="3070">
        <v>11996.46</v>
      </c>
      <c r="AN180" s="3070">
        <v>1458889</v>
      </c>
      <c r="AP180" s="3070">
        <v>1458889</v>
      </c>
      <c r="AQ180" s="3072">
        <v>45230</v>
      </c>
      <c r="AT180" s="3073">
        <v>45770</v>
      </c>
      <c r="AV180" s="3070" t="s">
        <v>4777</v>
      </c>
      <c r="AW180" s="3070" t="s">
        <v>4778</v>
      </c>
      <c r="AX180" s="3070" t="s">
        <v>4779</v>
      </c>
      <c r="AY180" s="3070" t="s">
        <v>3892</v>
      </c>
      <c r="BC180" s="3070" t="s">
        <v>4780</v>
      </c>
      <c r="BD180" s="3070" t="s">
        <v>3075</v>
      </c>
      <c r="BI180" s="3070" t="s">
        <v>3295</v>
      </c>
      <c r="BL180" s="3070" t="s">
        <v>4781</v>
      </c>
      <c r="BM180" s="3070" t="s">
        <v>4439</v>
      </c>
      <c r="BN180" s="3070">
        <v>301</v>
      </c>
      <c r="BO180" s="3070" t="s">
        <v>3253</v>
      </c>
      <c r="BP180" s="3070" t="s">
        <v>3253</v>
      </c>
      <c r="BR180" s="3070">
        <v>16</v>
      </c>
      <c r="BS180" s="3070" t="s">
        <v>3238</v>
      </c>
      <c r="BZ180" s="3073">
        <v>44227.790277777778</v>
      </c>
      <c r="CA180" s="3070">
        <v>12</v>
      </c>
      <c r="CD180" s="3070" t="s">
        <v>3239</v>
      </c>
      <c r="CF180" s="3070" t="s">
        <v>3091</v>
      </c>
      <c r="CH180" s="3070" t="s">
        <v>3240</v>
      </c>
      <c r="CI180" s="3070">
        <v>0</v>
      </c>
      <c r="CJ180" s="3070" t="s">
        <v>3259</v>
      </c>
      <c r="CK180" s="3070" t="s">
        <v>3892</v>
      </c>
      <c r="CL180" s="3070" t="s">
        <v>3892</v>
      </c>
      <c r="CM180" s="3070">
        <v>1338430.28</v>
      </c>
      <c r="CV180" s="3070" t="s">
        <v>3258</v>
      </c>
      <c r="CW180" s="3070" t="s">
        <v>4782</v>
      </c>
      <c r="CZ180" s="3070">
        <v>213894.57</v>
      </c>
      <c r="DA180" s="3070">
        <v>159426.93</v>
      </c>
      <c r="DB180" s="3070">
        <v>0</v>
      </c>
      <c r="DC180" s="3070">
        <v>0</v>
      </c>
      <c r="DD180" s="3070">
        <v>3290547602</v>
      </c>
      <c r="DE180" s="3070">
        <v>2764253109</v>
      </c>
      <c r="DF180" s="3070">
        <v>1464966739</v>
      </c>
      <c r="DG180" s="3070">
        <v>14938370</v>
      </c>
      <c r="DH180" s="3070">
        <v>1284348000</v>
      </c>
      <c r="DI180" s="3070">
        <v>1278128000</v>
      </c>
      <c r="DJ180" s="3070">
        <v>6220000</v>
      </c>
      <c r="DK180" s="3070">
        <v>0</v>
      </c>
      <c r="DL180" s="3070">
        <v>0</v>
      </c>
      <c r="DM180" s="3070">
        <v>25491817.620000001</v>
      </c>
      <c r="DN180" s="3070">
        <v>2764253109</v>
      </c>
      <c r="DP180" s="3070">
        <v>2764253109</v>
      </c>
    </row>
    <row r="181" spans="1:120">
      <c r="A181" s="3070">
        <v>180</v>
      </c>
      <c r="B181" s="3070" t="s">
        <v>3224</v>
      </c>
      <c r="C181" s="3070">
        <v>12</v>
      </c>
      <c r="E181" s="3070">
        <v>302</v>
      </c>
      <c r="F181" s="3070" t="s">
        <v>4783</v>
      </c>
      <c r="G181" s="3070" t="s">
        <v>4784</v>
      </c>
      <c r="H181" s="3070">
        <v>1240732</v>
      </c>
      <c r="I181" s="3070">
        <v>1240732</v>
      </c>
      <c r="J181" s="3070">
        <v>101.47</v>
      </c>
      <c r="K181" s="3070">
        <v>75.45</v>
      </c>
      <c r="L181" s="3070">
        <v>0</v>
      </c>
      <c r="M181" s="3070">
        <v>0</v>
      </c>
      <c r="N181" s="3070">
        <v>15144.44</v>
      </c>
      <c r="O181" s="3070">
        <v>1536706</v>
      </c>
      <c r="P181" s="3070">
        <v>12227.57</v>
      </c>
      <c r="Q181" s="3070">
        <v>1240732</v>
      </c>
      <c r="R181" s="3070" t="s">
        <v>3227</v>
      </c>
      <c r="S181" s="3070" t="s">
        <v>4785</v>
      </c>
      <c r="T181" s="3070" t="s">
        <v>3246</v>
      </c>
      <c r="U181" s="3070" t="s">
        <v>3279</v>
      </c>
      <c r="V181" s="3070" t="s">
        <v>3230</v>
      </c>
      <c r="Y181" s="3070">
        <v>630732</v>
      </c>
      <c r="Z181" s="3070">
        <v>380732</v>
      </c>
      <c r="AA181" s="3070">
        <v>630732</v>
      </c>
      <c r="AB181" s="3070">
        <v>0</v>
      </c>
      <c r="AC181" s="3070">
        <v>610000</v>
      </c>
      <c r="AD181" s="3070">
        <v>610000</v>
      </c>
      <c r="AE181" s="3070">
        <v>0</v>
      </c>
      <c r="AI181" s="3070" t="s">
        <v>3227</v>
      </c>
      <c r="AJ181" s="3070">
        <v>0</v>
      </c>
      <c r="AK181" s="3070">
        <v>0</v>
      </c>
      <c r="AL181" s="3070">
        <v>0</v>
      </c>
      <c r="AM181" s="3070">
        <v>12227.57</v>
      </c>
      <c r="AN181" s="3070">
        <v>1240732</v>
      </c>
      <c r="AP181" s="3070">
        <v>1240732</v>
      </c>
      <c r="AQ181" s="3072">
        <v>45230</v>
      </c>
      <c r="AT181" s="3073">
        <v>45770</v>
      </c>
      <c r="AV181" s="3070" t="s">
        <v>4786</v>
      </c>
      <c r="AW181" s="3070" t="s">
        <v>4787</v>
      </c>
      <c r="AX181" s="3070" t="s">
        <v>4788</v>
      </c>
      <c r="AY181" s="3070" t="s">
        <v>3883</v>
      </c>
      <c r="BC181" s="3070" t="s">
        <v>3284</v>
      </c>
      <c r="BD181" s="3070" t="s">
        <v>3077</v>
      </c>
      <c r="BI181" s="3070" t="s">
        <v>3235</v>
      </c>
      <c r="BJ181" s="3070" t="s">
        <v>3338</v>
      </c>
      <c r="BL181" s="3070" t="s">
        <v>4789</v>
      </c>
      <c r="BM181" s="3070" t="s">
        <v>4439</v>
      </c>
      <c r="BN181" s="3070">
        <v>302</v>
      </c>
      <c r="BO181" s="3070" t="s">
        <v>3253</v>
      </c>
      <c r="BR181" s="3070">
        <v>458</v>
      </c>
      <c r="BS181" s="3070" t="s">
        <v>3238</v>
      </c>
      <c r="BZ181" s="3073">
        <v>44142.638194444444</v>
      </c>
      <c r="CA181" s="3070">
        <v>12</v>
      </c>
      <c r="CD181" s="3070" t="s">
        <v>3239</v>
      </c>
      <c r="CF181" s="3070" t="s">
        <v>3091</v>
      </c>
      <c r="CH181" s="3070" t="s">
        <v>3240</v>
      </c>
      <c r="CI181" s="3070">
        <v>0</v>
      </c>
      <c r="CK181" s="3070" t="s">
        <v>3273</v>
      </c>
      <c r="CL181" s="3070" t="s">
        <v>3883</v>
      </c>
      <c r="CM181" s="3070">
        <v>1138286.24</v>
      </c>
      <c r="CV181" s="3070" t="s">
        <v>3246</v>
      </c>
      <c r="CW181" s="3070" t="s">
        <v>4790</v>
      </c>
      <c r="CZ181" s="3070">
        <v>213894.57</v>
      </c>
      <c r="DA181" s="3070">
        <v>159426.93</v>
      </c>
      <c r="DB181" s="3070">
        <v>0</v>
      </c>
      <c r="DC181" s="3070">
        <v>0</v>
      </c>
      <c r="DD181" s="3070">
        <v>3290547602</v>
      </c>
      <c r="DE181" s="3070">
        <v>2764253109</v>
      </c>
      <c r="DF181" s="3070">
        <v>1464966739</v>
      </c>
      <c r="DG181" s="3070">
        <v>14938370</v>
      </c>
      <c r="DH181" s="3070">
        <v>1284348000</v>
      </c>
      <c r="DI181" s="3070">
        <v>1278128000</v>
      </c>
      <c r="DJ181" s="3070">
        <v>6220000</v>
      </c>
      <c r="DK181" s="3070">
        <v>0</v>
      </c>
      <c r="DL181" s="3070">
        <v>0</v>
      </c>
      <c r="DM181" s="3070">
        <v>25491817.620000001</v>
      </c>
      <c r="DN181" s="3070">
        <v>2764253109</v>
      </c>
      <c r="DP181" s="3070">
        <v>2764253109</v>
      </c>
    </row>
    <row r="182" spans="1:120">
      <c r="A182" s="3070">
        <v>181</v>
      </c>
      <c r="B182" s="3070" t="s">
        <v>3224</v>
      </c>
      <c r="C182" s="3070">
        <v>12</v>
      </c>
      <c r="E182" s="3070">
        <v>303</v>
      </c>
      <c r="F182" s="3070" t="s">
        <v>4791</v>
      </c>
      <c r="G182" s="3070" t="s">
        <v>4792</v>
      </c>
      <c r="H182" s="3070">
        <v>1306794</v>
      </c>
      <c r="I182" s="3070">
        <v>1306794</v>
      </c>
      <c r="J182" s="3070">
        <v>101.47</v>
      </c>
      <c r="K182" s="3070">
        <v>75.45</v>
      </c>
      <c r="L182" s="3070">
        <v>0</v>
      </c>
      <c r="M182" s="3070">
        <v>0</v>
      </c>
      <c r="N182" s="3070">
        <v>15144.44</v>
      </c>
      <c r="O182" s="3070">
        <v>1536706</v>
      </c>
      <c r="P182" s="3070">
        <v>12878.62</v>
      </c>
      <c r="Q182" s="3070">
        <v>1306794</v>
      </c>
      <c r="R182" s="3070" t="s">
        <v>3227</v>
      </c>
      <c r="S182" s="3070" t="s">
        <v>4793</v>
      </c>
      <c r="T182" s="3070" t="s">
        <v>3246</v>
      </c>
      <c r="U182" s="3070" t="s">
        <v>3259</v>
      </c>
      <c r="V182" s="3070" t="s">
        <v>3230</v>
      </c>
      <c r="Y182" s="3070">
        <v>396794</v>
      </c>
      <c r="Z182" s="3070">
        <v>396794</v>
      </c>
      <c r="AA182" s="3070">
        <v>396794</v>
      </c>
      <c r="AB182" s="3070">
        <v>0</v>
      </c>
      <c r="AC182" s="3070">
        <v>910000</v>
      </c>
      <c r="AD182" s="3070">
        <v>910000</v>
      </c>
      <c r="AE182" s="3070">
        <v>0</v>
      </c>
      <c r="AI182" s="3070" t="s">
        <v>3227</v>
      </c>
      <c r="AJ182" s="3070">
        <v>0</v>
      </c>
      <c r="AK182" s="3070">
        <v>0</v>
      </c>
      <c r="AL182" s="3070">
        <v>0</v>
      </c>
      <c r="AM182" s="3070">
        <v>12878.62</v>
      </c>
      <c r="AN182" s="3070">
        <v>1306794</v>
      </c>
      <c r="AP182" s="3070">
        <v>1306794</v>
      </c>
      <c r="AQ182" s="3072">
        <v>45230</v>
      </c>
      <c r="AT182" s="3073">
        <v>45770</v>
      </c>
      <c r="AV182" s="3074">
        <v>3.21E+17</v>
      </c>
      <c r="AW182" s="3070" t="s">
        <v>4794</v>
      </c>
      <c r="AX182" s="3070" t="s">
        <v>4795</v>
      </c>
      <c r="AY182" s="3070" t="s">
        <v>3393</v>
      </c>
      <c r="BC182" s="3070" t="s">
        <v>4796</v>
      </c>
      <c r="BD182" s="3070" t="s">
        <v>3077</v>
      </c>
      <c r="BI182" s="3070" t="s">
        <v>3235</v>
      </c>
      <c r="BL182" s="3070" t="s">
        <v>4797</v>
      </c>
      <c r="BM182" s="3070" t="s">
        <v>4439</v>
      </c>
      <c r="BN182" s="3070">
        <v>303</v>
      </c>
      <c r="BO182" s="3070" t="s">
        <v>3253</v>
      </c>
      <c r="BR182" s="3070">
        <v>13</v>
      </c>
      <c r="BS182" s="3070" t="s">
        <v>3238</v>
      </c>
      <c r="BT182" s="3070" t="s">
        <v>3481</v>
      </c>
      <c r="BV182" s="3070" t="s">
        <v>4798</v>
      </c>
      <c r="BZ182" s="3073">
        <v>44169.552083333336</v>
      </c>
      <c r="CA182" s="3070">
        <v>12</v>
      </c>
      <c r="CB182" s="3070" t="s">
        <v>3481</v>
      </c>
      <c r="CD182" s="3070" t="s">
        <v>3239</v>
      </c>
      <c r="CF182" s="3070" t="s">
        <v>3091</v>
      </c>
      <c r="CH182" s="3070" t="s">
        <v>3240</v>
      </c>
      <c r="CI182" s="3070">
        <v>0</v>
      </c>
      <c r="CK182" s="3070" t="s">
        <v>3393</v>
      </c>
      <c r="CL182" s="3070" t="s">
        <v>3393</v>
      </c>
      <c r="CM182" s="3070">
        <v>1198893.58</v>
      </c>
      <c r="CV182" s="3070" t="s">
        <v>3246</v>
      </c>
      <c r="CW182" s="3070" t="s">
        <v>4799</v>
      </c>
      <c r="CX182" s="3070" t="s">
        <v>3510</v>
      </c>
      <c r="CZ182" s="3070">
        <v>213894.57</v>
      </c>
      <c r="DA182" s="3070">
        <v>159426.93</v>
      </c>
      <c r="DB182" s="3070">
        <v>0</v>
      </c>
      <c r="DC182" s="3070">
        <v>0</v>
      </c>
      <c r="DD182" s="3070">
        <v>3290547602</v>
      </c>
      <c r="DE182" s="3070">
        <v>2764253109</v>
      </c>
      <c r="DF182" s="3070">
        <v>1464966739</v>
      </c>
      <c r="DG182" s="3070">
        <v>14938370</v>
      </c>
      <c r="DH182" s="3070">
        <v>1284348000</v>
      </c>
      <c r="DI182" s="3070">
        <v>1278128000</v>
      </c>
      <c r="DJ182" s="3070">
        <v>6220000</v>
      </c>
      <c r="DK182" s="3070">
        <v>0</v>
      </c>
      <c r="DL182" s="3070">
        <v>0</v>
      </c>
      <c r="DM182" s="3070">
        <v>25491817.620000001</v>
      </c>
      <c r="DN182" s="3070">
        <v>2764253109</v>
      </c>
      <c r="DP182" s="3070">
        <v>2764253109</v>
      </c>
    </row>
    <row r="183" spans="1:120">
      <c r="A183" s="3070">
        <v>182</v>
      </c>
      <c r="B183" s="3070" t="s">
        <v>3224</v>
      </c>
      <c r="C183" s="3070">
        <v>12</v>
      </c>
      <c r="E183" s="3070">
        <v>304</v>
      </c>
      <c r="F183" s="3070" t="s">
        <v>4800</v>
      </c>
      <c r="G183" s="3070" t="s">
        <v>4801</v>
      </c>
      <c r="H183" s="3070">
        <v>1462457</v>
      </c>
      <c r="I183" s="3070">
        <v>1462457</v>
      </c>
      <c r="J183" s="3070">
        <v>121.61</v>
      </c>
      <c r="K183" s="3070">
        <v>90.43</v>
      </c>
      <c r="L183" s="3070">
        <v>0</v>
      </c>
      <c r="M183" s="3070">
        <v>0</v>
      </c>
      <c r="N183" s="3070">
        <v>14944.44</v>
      </c>
      <c r="O183" s="3070">
        <v>1817393</v>
      </c>
      <c r="P183" s="3070">
        <v>12025.8</v>
      </c>
      <c r="Q183" s="3070">
        <v>1462457</v>
      </c>
      <c r="R183" s="3070" t="s">
        <v>3227</v>
      </c>
      <c r="S183" s="3070" t="s">
        <v>3353</v>
      </c>
      <c r="T183" s="3070" t="s">
        <v>3494</v>
      </c>
      <c r="V183" s="3070" t="s">
        <v>3230</v>
      </c>
      <c r="Y183" s="3070">
        <v>146246</v>
      </c>
      <c r="Z183" s="3070">
        <v>146246</v>
      </c>
      <c r="AA183" s="3070">
        <v>1462457</v>
      </c>
      <c r="AB183" s="3070">
        <v>0</v>
      </c>
      <c r="AC183" s="3070">
        <v>0</v>
      </c>
      <c r="AD183" s="3070">
        <v>0</v>
      </c>
      <c r="AE183" s="3070">
        <v>0</v>
      </c>
      <c r="AI183" s="3070" t="s">
        <v>3227</v>
      </c>
      <c r="AJ183" s="3070">
        <v>0</v>
      </c>
      <c r="AK183" s="3070">
        <v>0</v>
      </c>
      <c r="AL183" s="3070">
        <v>0</v>
      </c>
      <c r="AM183" s="3070">
        <v>12025.8</v>
      </c>
      <c r="AN183" s="3070">
        <v>1462457</v>
      </c>
      <c r="AP183" s="3070">
        <v>1462457</v>
      </c>
      <c r="AQ183" s="3072">
        <v>45230</v>
      </c>
      <c r="AT183" s="3073">
        <v>45770</v>
      </c>
      <c r="AV183" s="3074">
        <v>3.21E+17</v>
      </c>
      <c r="AW183" s="3070" t="s">
        <v>4802</v>
      </c>
      <c r="AX183" s="3070" t="s">
        <v>4803</v>
      </c>
      <c r="AY183" s="3070" t="s">
        <v>3883</v>
      </c>
      <c r="BA183" s="3070" t="s">
        <v>3883</v>
      </c>
      <c r="BC183" s="3070" t="s">
        <v>4804</v>
      </c>
      <c r="BD183" s="3070" t="s">
        <v>3075</v>
      </c>
      <c r="BI183" s="3070" t="s">
        <v>3295</v>
      </c>
      <c r="BL183" s="3070" t="s">
        <v>4805</v>
      </c>
      <c r="BM183" s="3070" t="s">
        <v>4439</v>
      </c>
      <c r="BN183" s="3070">
        <v>304</v>
      </c>
      <c r="BR183" s="3070">
        <v>20</v>
      </c>
      <c r="BS183" s="3070" t="s">
        <v>3238</v>
      </c>
      <c r="BU183" s="3070" t="s">
        <v>3883</v>
      </c>
      <c r="BZ183" s="3073">
        <v>44218.501388888886</v>
      </c>
      <c r="CA183" s="3070">
        <v>12</v>
      </c>
      <c r="CD183" s="3070" t="s">
        <v>3239</v>
      </c>
      <c r="CF183" s="3070" t="s">
        <v>3091</v>
      </c>
      <c r="CH183" s="3070" t="s">
        <v>3240</v>
      </c>
      <c r="CI183" s="3070">
        <v>0</v>
      </c>
      <c r="CK183" s="3070" t="s">
        <v>3883</v>
      </c>
      <c r="CL183" s="3070" t="s">
        <v>4303</v>
      </c>
      <c r="CM183" s="3070">
        <v>1341703.67</v>
      </c>
      <c r="CV183" s="3070" t="s">
        <v>3494</v>
      </c>
      <c r="CW183" s="3070" t="s">
        <v>4806</v>
      </c>
      <c r="CZ183" s="3070">
        <v>213894.57</v>
      </c>
      <c r="DA183" s="3070">
        <v>159426.93</v>
      </c>
      <c r="DB183" s="3070">
        <v>0</v>
      </c>
      <c r="DC183" s="3070">
        <v>0</v>
      </c>
      <c r="DD183" s="3070">
        <v>3290547602</v>
      </c>
      <c r="DE183" s="3070">
        <v>2764253109</v>
      </c>
      <c r="DF183" s="3070">
        <v>1464966739</v>
      </c>
      <c r="DG183" s="3070">
        <v>14938370</v>
      </c>
      <c r="DH183" s="3070">
        <v>1284348000</v>
      </c>
      <c r="DI183" s="3070">
        <v>1278128000</v>
      </c>
      <c r="DJ183" s="3070">
        <v>6220000</v>
      </c>
      <c r="DK183" s="3070">
        <v>0</v>
      </c>
      <c r="DL183" s="3070">
        <v>0</v>
      </c>
      <c r="DM183" s="3070">
        <v>25491817.620000001</v>
      </c>
      <c r="DN183" s="3070">
        <v>2764253109</v>
      </c>
      <c r="DP183" s="3070">
        <v>2764253109</v>
      </c>
    </row>
    <row r="184" spans="1:120">
      <c r="A184" s="3070">
        <v>183</v>
      </c>
      <c r="B184" s="3070" t="s">
        <v>3224</v>
      </c>
      <c r="C184" s="3070">
        <v>12</v>
      </c>
      <c r="E184" s="3070">
        <v>401</v>
      </c>
      <c r="F184" s="3070" t="s">
        <v>4807</v>
      </c>
      <c r="G184" s="3070" t="s">
        <v>4808</v>
      </c>
      <c r="H184" s="3070">
        <v>1464432</v>
      </c>
      <c r="I184" s="3070">
        <v>1464432</v>
      </c>
      <c r="J184" s="3070">
        <v>121.61</v>
      </c>
      <c r="K184" s="3070">
        <v>90.43</v>
      </c>
      <c r="L184" s="3070">
        <v>0</v>
      </c>
      <c r="M184" s="3070">
        <v>0</v>
      </c>
      <c r="N184" s="3070">
        <v>14944.44</v>
      </c>
      <c r="O184" s="3070">
        <v>1817393</v>
      </c>
      <c r="P184" s="3070">
        <v>12042.04</v>
      </c>
      <c r="Q184" s="3070">
        <v>1464432</v>
      </c>
      <c r="R184" s="3070" t="s">
        <v>3227</v>
      </c>
      <c r="S184" s="3070" t="s">
        <v>4809</v>
      </c>
      <c r="T184" s="3070" t="s">
        <v>3258</v>
      </c>
      <c r="U184" s="3070" t="s">
        <v>3259</v>
      </c>
      <c r="V184" s="3070" t="s">
        <v>3230</v>
      </c>
      <c r="Y184" s="3070">
        <v>714432</v>
      </c>
      <c r="Z184" s="3070">
        <v>146443</v>
      </c>
      <c r="AA184" s="3070">
        <v>714432</v>
      </c>
      <c r="AB184" s="3070">
        <v>0</v>
      </c>
      <c r="AC184" s="3070">
        <v>750000</v>
      </c>
      <c r="AD184" s="3070">
        <v>750000</v>
      </c>
      <c r="AE184" s="3070">
        <v>0</v>
      </c>
      <c r="AI184" s="3070" t="s">
        <v>3227</v>
      </c>
      <c r="AJ184" s="3070">
        <v>0</v>
      </c>
      <c r="AK184" s="3070">
        <v>0</v>
      </c>
      <c r="AL184" s="3070">
        <v>0</v>
      </c>
      <c r="AM184" s="3070">
        <v>12042.04</v>
      </c>
      <c r="AN184" s="3070">
        <v>1464432</v>
      </c>
      <c r="AP184" s="3070">
        <v>1464432</v>
      </c>
      <c r="AQ184" s="3072">
        <v>45230</v>
      </c>
      <c r="AT184" s="3073">
        <v>45770</v>
      </c>
      <c r="AV184" s="3070" t="s">
        <v>4810</v>
      </c>
      <c r="AW184" s="3070" t="s">
        <v>4811</v>
      </c>
      <c r="AX184" s="3070" t="s">
        <v>4812</v>
      </c>
      <c r="AY184" s="3070" t="s">
        <v>3587</v>
      </c>
      <c r="BA184" s="3070" t="s">
        <v>3587</v>
      </c>
      <c r="BC184" s="3070" t="s">
        <v>4813</v>
      </c>
      <c r="BD184" s="3070" t="s">
        <v>3075</v>
      </c>
      <c r="BI184" s="3070" t="s">
        <v>3235</v>
      </c>
      <c r="BL184" s="3070" t="s">
        <v>4814</v>
      </c>
      <c r="BM184" s="3070" t="s">
        <v>4439</v>
      </c>
      <c r="BN184" s="3070">
        <v>401</v>
      </c>
      <c r="BO184" s="3070" t="s">
        <v>3403</v>
      </c>
      <c r="BP184" s="3070" t="s">
        <v>3403</v>
      </c>
      <c r="BR184" s="3070">
        <v>21</v>
      </c>
      <c r="BS184" s="3070" t="s">
        <v>3238</v>
      </c>
      <c r="BT184" s="3070" t="s">
        <v>3404</v>
      </c>
      <c r="BU184" s="3070" t="s">
        <v>3587</v>
      </c>
      <c r="BZ184" s="3073">
        <v>44219.73333333333</v>
      </c>
      <c r="CA184" s="3070">
        <v>12</v>
      </c>
      <c r="CB184" s="3070" t="s">
        <v>3404</v>
      </c>
      <c r="CD184" s="3070" t="s">
        <v>3239</v>
      </c>
      <c r="CF184" s="3070" t="s">
        <v>3091</v>
      </c>
      <c r="CH184" s="3070" t="s">
        <v>3240</v>
      </c>
      <c r="CI184" s="3070">
        <v>0</v>
      </c>
      <c r="CJ184" s="3070" t="s">
        <v>3259</v>
      </c>
      <c r="CK184" s="3070" t="s">
        <v>3590</v>
      </c>
      <c r="CL184" s="3070" t="s">
        <v>3590</v>
      </c>
      <c r="CM184" s="3070">
        <v>1343515.6</v>
      </c>
      <c r="CV184" s="3070" t="s">
        <v>3258</v>
      </c>
      <c r="CW184" s="3070" t="s">
        <v>4815</v>
      </c>
      <c r="CZ184" s="3070">
        <v>213894.57</v>
      </c>
      <c r="DA184" s="3070">
        <v>159426.93</v>
      </c>
      <c r="DB184" s="3070">
        <v>0</v>
      </c>
      <c r="DC184" s="3070">
        <v>0</v>
      </c>
      <c r="DD184" s="3070">
        <v>3290547602</v>
      </c>
      <c r="DE184" s="3070">
        <v>2764253109</v>
      </c>
      <c r="DF184" s="3070">
        <v>1464966739</v>
      </c>
      <c r="DG184" s="3070">
        <v>14938370</v>
      </c>
      <c r="DH184" s="3070">
        <v>1284348000</v>
      </c>
      <c r="DI184" s="3070">
        <v>1278128000</v>
      </c>
      <c r="DJ184" s="3070">
        <v>6220000</v>
      </c>
      <c r="DK184" s="3070">
        <v>0</v>
      </c>
      <c r="DL184" s="3070">
        <v>0</v>
      </c>
      <c r="DM184" s="3070">
        <v>25491817.620000001</v>
      </c>
      <c r="DN184" s="3070">
        <v>2764253109</v>
      </c>
      <c r="DP184" s="3070">
        <v>2764253109</v>
      </c>
    </row>
    <row r="185" spans="1:120">
      <c r="A185" s="3070">
        <v>184</v>
      </c>
      <c r="B185" s="3070" t="s">
        <v>3224</v>
      </c>
      <c r="C185" s="3070">
        <v>12</v>
      </c>
      <c r="E185" s="3070">
        <v>402</v>
      </c>
      <c r="F185" s="3070" t="s">
        <v>4816</v>
      </c>
      <c r="G185" s="3070" t="s">
        <v>4817</v>
      </c>
      <c r="H185" s="3070">
        <v>1231086</v>
      </c>
      <c r="I185" s="3070">
        <v>1231086</v>
      </c>
      <c r="J185" s="3070">
        <v>101.47</v>
      </c>
      <c r="K185" s="3070">
        <v>75.45</v>
      </c>
      <c r="L185" s="3070">
        <v>0</v>
      </c>
      <c r="M185" s="3070">
        <v>0</v>
      </c>
      <c r="N185" s="3070">
        <v>15044.44</v>
      </c>
      <c r="O185" s="3070">
        <v>1526559</v>
      </c>
      <c r="P185" s="3070">
        <v>12132.51</v>
      </c>
      <c r="Q185" s="3070">
        <v>1231086</v>
      </c>
      <c r="R185" s="3070" t="s">
        <v>3227</v>
      </c>
      <c r="S185" s="3070" t="s">
        <v>4818</v>
      </c>
      <c r="T185" s="3070" t="s">
        <v>3246</v>
      </c>
      <c r="U185" s="3070" t="s">
        <v>3259</v>
      </c>
      <c r="V185" s="3070" t="s">
        <v>3230</v>
      </c>
      <c r="Y185" s="3070">
        <v>371086</v>
      </c>
      <c r="Z185" s="3070">
        <v>371086</v>
      </c>
      <c r="AA185" s="3070">
        <v>731086</v>
      </c>
      <c r="AB185" s="3070">
        <v>0</v>
      </c>
      <c r="AC185" s="3070">
        <v>500000</v>
      </c>
      <c r="AD185" s="3070">
        <v>500000</v>
      </c>
      <c r="AE185" s="3070">
        <v>0</v>
      </c>
      <c r="AI185" s="3070" t="s">
        <v>3227</v>
      </c>
      <c r="AJ185" s="3070">
        <v>0</v>
      </c>
      <c r="AK185" s="3070">
        <v>0</v>
      </c>
      <c r="AL185" s="3070">
        <v>0</v>
      </c>
      <c r="AM185" s="3070">
        <v>12132.51</v>
      </c>
      <c r="AN185" s="3070">
        <v>1231086</v>
      </c>
      <c r="AP185" s="3070">
        <v>1231086</v>
      </c>
      <c r="AQ185" s="3072">
        <v>45230</v>
      </c>
      <c r="AT185" s="3073">
        <v>45770</v>
      </c>
      <c r="AV185" s="3070" t="s">
        <v>4819</v>
      </c>
      <c r="AW185" s="3070" t="s">
        <v>4820</v>
      </c>
      <c r="AX185" s="3070" t="s">
        <v>4821</v>
      </c>
      <c r="AY185" s="3070" t="s">
        <v>3632</v>
      </c>
      <c r="BC185" s="3070" t="s">
        <v>3284</v>
      </c>
      <c r="BD185" s="3070" t="s">
        <v>3077</v>
      </c>
      <c r="BI185" s="3070" t="s">
        <v>3235</v>
      </c>
      <c r="BJ185" s="3070" t="s">
        <v>3338</v>
      </c>
      <c r="BL185" s="3070" t="s">
        <v>4822</v>
      </c>
      <c r="BM185" s="3070" t="s">
        <v>4439</v>
      </c>
      <c r="BN185" s="3070">
        <v>402</v>
      </c>
      <c r="BO185" s="3070" t="s">
        <v>3253</v>
      </c>
      <c r="BR185" s="3070">
        <v>120</v>
      </c>
      <c r="BS185" s="3070" t="s">
        <v>3238</v>
      </c>
      <c r="BZ185" s="3073">
        <v>44142.756249999999</v>
      </c>
      <c r="CA185" s="3070">
        <v>12</v>
      </c>
      <c r="CD185" s="3070" t="s">
        <v>3239</v>
      </c>
      <c r="CF185" s="3070" t="s">
        <v>3091</v>
      </c>
      <c r="CH185" s="3070" t="s">
        <v>3240</v>
      </c>
      <c r="CI185" s="3070">
        <v>0</v>
      </c>
      <c r="CK185" s="3070" t="s">
        <v>3632</v>
      </c>
      <c r="CL185" s="3070" t="s">
        <v>3632</v>
      </c>
      <c r="CM185" s="3070">
        <v>1129436.7</v>
      </c>
      <c r="CV185" s="3070" t="s">
        <v>3246</v>
      </c>
      <c r="CW185" s="3070" t="s">
        <v>4823</v>
      </c>
      <c r="CZ185" s="3070">
        <v>213894.57</v>
      </c>
      <c r="DA185" s="3070">
        <v>159426.93</v>
      </c>
      <c r="DB185" s="3070">
        <v>0</v>
      </c>
      <c r="DC185" s="3070">
        <v>0</v>
      </c>
      <c r="DD185" s="3070">
        <v>3290547602</v>
      </c>
      <c r="DE185" s="3070">
        <v>2764253109</v>
      </c>
      <c r="DF185" s="3070">
        <v>1464966739</v>
      </c>
      <c r="DG185" s="3070">
        <v>14938370</v>
      </c>
      <c r="DH185" s="3070">
        <v>1284348000</v>
      </c>
      <c r="DI185" s="3070">
        <v>1278128000</v>
      </c>
      <c r="DJ185" s="3070">
        <v>6220000</v>
      </c>
      <c r="DK185" s="3070">
        <v>0</v>
      </c>
      <c r="DL185" s="3070">
        <v>0</v>
      </c>
      <c r="DM185" s="3070">
        <v>25491817.620000001</v>
      </c>
      <c r="DN185" s="3070">
        <v>2764253109</v>
      </c>
      <c r="DP185" s="3070">
        <v>2764253109</v>
      </c>
    </row>
    <row r="186" spans="1:120">
      <c r="A186" s="3070">
        <v>185</v>
      </c>
      <c r="B186" s="3070" t="s">
        <v>3224</v>
      </c>
      <c r="C186" s="3070">
        <v>12</v>
      </c>
      <c r="E186" s="3070">
        <v>403</v>
      </c>
      <c r="F186" s="3070" t="s">
        <v>4824</v>
      </c>
      <c r="G186" s="3070" t="s">
        <v>4825</v>
      </c>
      <c r="H186" s="3070">
        <v>1218775</v>
      </c>
      <c r="I186" s="3070">
        <v>1218775</v>
      </c>
      <c r="J186" s="3070">
        <v>101.47</v>
      </c>
      <c r="K186" s="3070">
        <v>75.45</v>
      </c>
      <c r="L186" s="3070">
        <v>0</v>
      </c>
      <c r="M186" s="3070">
        <v>0</v>
      </c>
      <c r="N186" s="3070">
        <v>15044.44</v>
      </c>
      <c r="O186" s="3070">
        <v>1526559</v>
      </c>
      <c r="P186" s="3070">
        <v>12011.19</v>
      </c>
      <c r="Q186" s="3070">
        <v>1218775</v>
      </c>
      <c r="R186" s="3070" t="s">
        <v>3227</v>
      </c>
      <c r="S186" s="3070" t="s">
        <v>4826</v>
      </c>
      <c r="T186" s="3070" t="s">
        <v>3229</v>
      </c>
      <c r="V186" s="3070" t="s">
        <v>3230</v>
      </c>
      <c r="Y186" s="3070">
        <v>365633</v>
      </c>
      <c r="Z186" s="3070">
        <v>365633</v>
      </c>
      <c r="AA186" s="3070">
        <v>1218775</v>
      </c>
      <c r="AB186" s="3070">
        <v>0</v>
      </c>
      <c r="AC186" s="3070">
        <v>0</v>
      </c>
      <c r="AD186" s="3070">
        <v>0</v>
      </c>
      <c r="AE186" s="3070">
        <v>0</v>
      </c>
      <c r="AI186" s="3070" t="s">
        <v>3227</v>
      </c>
      <c r="AJ186" s="3070">
        <v>0</v>
      </c>
      <c r="AK186" s="3070">
        <v>0</v>
      </c>
      <c r="AL186" s="3070">
        <v>0</v>
      </c>
      <c r="AM186" s="3070">
        <v>12011.19</v>
      </c>
      <c r="AN186" s="3070">
        <v>1218775</v>
      </c>
      <c r="AP186" s="3070">
        <v>1218775</v>
      </c>
      <c r="AQ186" s="3072">
        <v>45230</v>
      </c>
      <c r="AT186" s="3073">
        <v>45770</v>
      </c>
      <c r="AV186" s="3070" t="s">
        <v>4827</v>
      </c>
      <c r="AW186" s="3070" t="s">
        <v>4828</v>
      </c>
      <c r="AX186" s="3070" t="s">
        <v>4829</v>
      </c>
      <c r="AY186" s="3070" t="s">
        <v>3233</v>
      </c>
      <c r="BC186" s="3070" t="s">
        <v>3347</v>
      </c>
      <c r="BD186" s="3070" t="s">
        <v>3077</v>
      </c>
      <c r="BI186" s="3070" t="s">
        <v>3235</v>
      </c>
      <c r="BJ186" s="3070" t="s">
        <v>3338</v>
      </c>
      <c r="BL186" s="3070" t="s">
        <v>4830</v>
      </c>
      <c r="BM186" s="3070" t="s">
        <v>4439</v>
      </c>
      <c r="BN186" s="3070">
        <v>403</v>
      </c>
      <c r="BR186" s="3070">
        <v>270</v>
      </c>
      <c r="BS186" s="3070" t="s">
        <v>3238</v>
      </c>
      <c r="BZ186" s="3073">
        <v>44142.756944444445</v>
      </c>
      <c r="CA186" s="3070">
        <v>12</v>
      </c>
      <c r="CD186" s="3070" t="s">
        <v>3239</v>
      </c>
      <c r="CF186" s="3070" t="s">
        <v>3091</v>
      </c>
      <c r="CH186" s="3070" t="s">
        <v>3240</v>
      </c>
      <c r="CI186" s="3070">
        <v>0</v>
      </c>
      <c r="CK186" s="3070" t="s">
        <v>3233</v>
      </c>
      <c r="CL186" s="3070" t="s">
        <v>3233</v>
      </c>
      <c r="CM186" s="3070">
        <v>1118142.2</v>
      </c>
      <c r="CV186" s="3070" t="s">
        <v>3229</v>
      </c>
      <c r="CW186" s="3070" t="s">
        <v>4831</v>
      </c>
      <c r="CZ186" s="3070">
        <v>213894.57</v>
      </c>
      <c r="DA186" s="3070">
        <v>159426.93</v>
      </c>
      <c r="DB186" s="3070">
        <v>0</v>
      </c>
      <c r="DC186" s="3070">
        <v>0</v>
      </c>
      <c r="DD186" s="3070">
        <v>3290547602</v>
      </c>
      <c r="DE186" s="3070">
        <v>2764253109</v>
      </c>
      <c r="DF186" s="3070">
        <v>1464966739</v>
      </c>
      <c r="DG186" s="3070">
        <v>14938370</v>
      </c>
      <c r="DH186" s="3070">
        <v>1284348000</v>
      </c>
      <c r="DI186" s="3070">
        <v>1278128000</v>
      </c>
      <c r="DJ186" s="3070">
        <v>6220000</v>
      </c>
      <c r="DK186" s="3070">
        <v>0</v>
      </c>
      <c r="DL186" s="3070">
        <v>0</v>
      </c>
      <c r="DM186" s="3070">
        <v>25491817.620000001</v>
      </c>
      <c r="DN186" s="3070">
        <v>2764253109</v>
      </c>
      <c r="DP186" s="3070">
        <v>2764253109</v>
      </c>
    </row>
    <row r="187" spans="1:120">
      <c r="A187" s="3070">
        <v>186</v>
      </c>
      <c r="B187" s="3070" t="s">
        <v>3224</v>
      </c>
      <c r="C187" s="3070">
        <v>12</v>
      </c>
      <c r="E187" s="3070">
        <v>404</v>
      </c>
      <c r="F187" s="3070" t="s">
        <v>4832</v>
      </c>
      <c r="G187" s="3070" t="s">
        <v>4833</v>
      </c>
      <c r="H187" s="3070">
        <v>1594709</v>
      </c>
      <c r="I187" s="3070">
        <v>1594709</v>
      </c>
      <c r="J187" s="3070">
        <v>121.61</v>
      </c>
      <c r="K187" s="3070">
        <v>90.43</v>
      </c>
      <c r="L187" s="3070">
        <v>0</v>
      </c>
      <c r="M187" s="3070">
        <v>0</v>
      </c>
      <c r="N187" s="3070">
        <v>14844.44</v>
      </c>
      <c r="O187" s="3070">
        <v>1805232</v>
      </c>
      <c r="P187" s="3070">
        <v>13113.3</v>
      </c>
      <c r="Q187" s="3070">
        <v>1594709</v>
      </c>
      <c r="R187" s="3070" t="s">
        <v>3227</v>
      </c>
      <c r="S187" s="3070" t="s">
        <v>4834</v>
      </c>
      <c r="T187" s="3070" t="s">
        <v>3246</v>
      </c>
      <c r="U187" s="3070" t="s">
        <v>3381</v>
      </c>
      <c r="V187" s="3070" t="s">
        <v>3230</v>
      </c>
      <c r="Y187" s="3070">
        <v>794709</v>
      </c>
      <c r="Z187" s="3070">
        <v>794709</v>
      </c>
      <c r="AA187" s="3070">
        <v>794709</v>
      </c>
      <c r="AB187" s="3070">
        <v>0</v>
      </c>
      <c r="AC187" s="3070">
        <v>800000</v>
      </c>
      <c r="AD187" s="3070">
        <v>800000</v>
      </c>
      <c r="AE187" s="3070">
        <v>0</v>
      </c>
      <c r="AI187" s="3070" t="s">
        <v>3227</v>
      </c>
      <c r="AJ187" s="3070">
        <v>0</v>
      </c>
      <c r="AK187" s="3070">
        <v>0</v>
      </c>
      <c r="AL187" s="3070">
        <v>0</v>
      </c>
      <c r="AM187" s="3070">
        <v>13113.3</v>
      </c>
      <c r="AN187" s="3070">
        <v>1594709</v>
      </c>
      <c r="AP187" s="3070">
        <v>1594709</v>
      </c>
      <c r="AQ187" s="3072">
        <v>45230</v>
      </c>
      <c r="AT187" s="3073">
        <v>45770</v>
      </c>
      <c r="AV187" s="3074">
        <v>3.21E+17</v>
      </c>
      <c r="AW187" s="3070" t="s">
        <v>4835</v>
      </c>
      <c r="AX187" s="3070" t="s">
        <v>4836</v>
      </c>
      <c r="AY187" s="3070" t="s">
        <v>3587</v>
      </c>
      <c r="BC187" s="3070" t="s">
        <v>4175</v>
      </c>
      <c r="BD187" s="3070" t="s">
        <v>3075</v>
      </c>
      <c r="BI187" s="3070" t="s">
        <v>3235</v>
      </c>
      <c r="BJ187" s="3070" t="s">
        <v>3296</v>
      </c>
      <c r="BL187" s="3070" t="s">
        <v>4837</v>
      </c>
      <c r="BM187" s="3070" t="s">
        <v>4439</v>
      </c>
      <c r="BN187" s="3070">
        <v>404</v>
      </c>
      <c r="BO187" s="3070" t="s">
        <v>3253</v>
      </c>
      <c r="BR187" s="3070">
        <v>0</v>
      </c>
      <c r="BS187" s="3070" t="s">
        <v>3238</v>
      </c>
      <c r="BZ187" s="3073">
        <v>44246.484027777777</v>
      </c>
      <c r="CA187" s="3070">
        <v>12</v>
      </c>
      <c r="CD187" s="3070" t="s">
        <v>3239</v>
      </c>
      <c r="CF187" s="3070" t="s">
        <v>3091</v>
      </c>
      <c r="CH187" s="3070" t="s">
        <v>3240</v>
      </c>
      <c r="CI187" s="3070">
        <v>0</v>
      </c>
      <c r="CK187" s="3070" t="s">
        <v>3587</v>
      </c>
      <c r="CL187" s="3070" t="s">
        <v>3587</v>
      </c>
      <c r="CM187" s="3070">
        <v>1463035.78</v>
      </c>
      <c r="CV187" s="3070" t="s">
        <v>3246</v>
      </c>
      <c r="CW187" s="3070" t="s">
        <v>4838</v>
      </c>
      <c r="CZ187" s="3070">
        <v>213894.57</v>
      </c>
      <c r="DA187" s="3070">
        <v>159426.93</v>
      </c>
      <c r="DB187" s="3070">
        <v>0</v>
      </c>
      <c r="DC187" s="3070">
        <v>0</v>
      </c>
      <c r="DD187" s="3070">
        <v>3290547602</v>
      </c>
      <c r="DE187" s="3070">
        <v>2764253109</v>
      </c>
      <c r="DF187" s="3070">
        <v>1464966739</v>
      </c>
      <c r="DG187" s="3070">
        <v>14938370</v>
      </c>
      <c r="DH187" s="3070">
        <v>1284348000</v>
      </c>
      <c r="DI187" s="3070">
        <v>1278128000</v>
      </c>
      <c r="DJ187" s="3070">
        <v>6220000</v>
      </c>
      <c r="DK187" s="3070">
        <v>0</v>
      </c>
      <c r="DL187" s="3070">
        <v>0</v>
      </c>
      <c r="DM187" s="3070">
        <v>25491817.620000001</v>
      </c>
      <c r="DN187" s="3070">
        <v>2764253109</v>
      </c>
      <c r="DP187" s="3070">
        <v>2764253109</v>
      </c>
    </row>
    <row r="188" spans="1:120">
      <c r="A188" s="3070">
        <v>187</v>
      </c>
      <c r="B188" s="3070" t="s">
        <v>3224</v>
      </c>
      <c r="C188" s="3070">
        <v>12</v>
      </c>
      <c r="E188" s="3070">
        <v>501</v>
      </c>
      <c r="F188" s="3070" t="s">
        <v>4839</v>
      </c>
      <c r="G188" s="3070" t="s">
        <v>4840</v>
      </c>
      <c r="H188" s="3070">
        <v>1549889</v>
      </c>
      <c r="I188" s="3070">
        <v>1549889</v>
      </c>
      <c r="J188" s="3070">
        <v>121.61</v>
      </c>
      <c r="K188" s="3070">
        <v>90.43</v>
      </c>
      <c r="L188" s="3070">
        <v>0</v>
      </c>
      <c r="M188" s="3070">
        <v>0</v>
      </c>
      <c r="N188" s="3070">
        <v>15094.44</v>
      </c>
      <c r="O188" s="3070">
        <v>1835635</v>
      </c>
      <c r="P188" s="3070">
        <v>12744.75</v>
      </c>
      <c r="Q188" s="3070">
        <v>1549889</v>
      </c>
      <c r="R188" s="3070" t="s">
        <v>3227</v>
      </c>
      <c r="S188" s="3070" t="s">
        <v>4841</v>
      </c>
      <c r="T188" s="3070" t="s">
        <v>3246</v>
      </c>
      <c r="U188" s="3070" t="s">
        <v>3247</v>
      </c>
      <c r="V188" s="3070" t="s">
        <v>3230</v>
      </c>
      <c r="Y188" s="3070">
        <v>469889</v>
      </c>
      <c r="Z188" s="3070">
        <v>154989</v>
      </c>
      <c r="AA188" s="3070">
        <v>469889</v>
      </c>
      <c r="AB188" s="3070">
        <v>0</v>
      </c>
      <c r="AC188" s="3070">
        <v>1080000</v>
      </c>
      <c r="AD188" s="3070">
        <v>1080000</v>
      </c>
      <c r="AE188" s="3070">
        <v>0</v>
      </c>
      <c r="AI188" s="3070" t="s">
        <v>3227</v>
      </c>
      <c r="AJ188" s="3070">
        <v>0</v>
      </c>
      <c r="AK188" s="3070">
        <v>0</v>
      </c>
      <c r="AL188" s="3070">
        <v>0</v>
      </c>
      <c r="AM188" s="3070">
        <v>12744.75</v>
      </c>
      <c r="AN188" s="3070">
        <v>1549889</v>
      </c>
      <c r="AP188" s="3070">
        <v>1549889</v>
      </c>
      <c r="AQ188" s="3072">
        <v>45230</v>
      </c>
      <c r="AT188" s="3073">
        <v>45770</v>
      </c>
      <c r="AV188" s="3070" t="s">
        <v>4842</v>
      </c>
      <c r="AW188" s="3070" t="s">
        <v>4843</v>
      </c>
      <c r="AX188" s="3070" t="s">
        <v>4844</v>
      </c>
      <c r="AY188" s="3070" t="s">
        <v>4618</v>
      </c>
      <c r="BC188" s="3070" t="s">
        <v>4845</v>
      </c>
      <c r="BD188" s="3070" t="s">
        <v>3075</v>
      </c>
      <c r="BI188" s="3070" t="s">
        <v>3235</v>
      </c>
      <c r="BL188" s="3070" t="s">
        <v>4846</v>
      </c>
      <c r="BM188" s="3070" t="s">
        <v>4439</v>
      </c>
      <c r="BN188" s="3070">
        <v>501</v>
      </c>
      <c r="BO188" s="3070" t="s">
        <v>3253</v>
      </c>
      <c r="BR188" s="3070">
        <v>0</v>
      </c>
      <c r="BS188" s="3070" t="s">
        <v>3238</v>
      </c>
      <c r="BV188" s="3070" t="s">
        <v>4847</v>
      </c>
      <c r="BZ188" s="3073">
        <v>44167.794444444444</v>
      </c>
      <c r="CA188" s="3070">
        <v>12</v>
      </c>
      <c r="CD188" s="3070" t="s">
        <v>3239</v>
      </c>
      <c r="CF188" s="3070" t="s">
        <v>3091</v>
      </c>
      <c r="CH188" s="3070" t="s">
        <v>3240</v>
      </c>
      <c r="CI188" s="3070">
        <v>0</v>
      </c>
      <c r="CK188" s="3070" t="s">
        <v>4618</v>
      </c>
      <c r="CL188" s="3070" t="s">
        <v>4618</v>
      </c>
      <c r="CM188" s="3070">
        <v>1421916.51</v>
      </c>
      <c r="CV188" s="3070" t="s">
        <v>3246</v>
      </c>
      <c r="CW188" s="3070" t="s">
        <v>4848</v>
      </c>
      <c r="CX188" s="3070" t="s">
        <v>3510</v>
      </c>
      <c r="CZ188" s="3070">
        <v>213894.57</v>
      </c>
      <c r="DA188" s="3070">
        <v>159426.93</v>
      </c>
      <c r="DB188" s="3070">
        <v>0</v>
      </c>
      <c r="DC188" s="3070">
        <v>0</v>
      </c>
      <c r="DD188" s="3070">
        <v>3290547602</v>
      </c>
      <c r="DE188" s="3070">
        <v>2764253109</v>
      </c>
      <c r="DF188" s="3070">
        <v>1464966739</v>
      </c>
      <c r="DG188" s="3070">
        <v>14938370</v>
      </c>
      <c r="DH188" s="3070">
        <v>1284348000</v>
      </c>
      <c r="DI188" s="3070">
        <v>1278128000</v>
      </c>
      <c r="DJ188" s="3070">
        <v>6220000</v>
      </c>
      <c r="DK188" s="3070">
        <v>0</v>
      </c>
      <c r="DL188" s="3070">
        <v>0</v>
      </c>
      <c r="DM188" s="3070">
        <v>25491817.620000001</v>
      </c>
      <c r="DN188" s="3070">
        <v>2764253109</v>
      </c>
      <c r="DP188" s="3070">
        <v>2764253109</v>
      </c>
    </row>
    <row r="189" spans="1:120">
      <c r="A189" s="3070">
        <v>188</v>
      </c>
      <c r="B189" s="3070" t="s">
        <v>3224</v>
      </c>
      <c r="C189" s="3070">
        <v>12</v>
      </c>
      <c r="E189" s="3070">
        <v>502</v>
      </c>
      <c r="F189" s="3070" t="s">
        <v>4849</v>
      </c>
      <c r="G189" s="3070" t="s">
        <v>4850</v>
      </c>
      <c r="H189" s="3070">
        <v>1245554</v>
      </c>
      <c r="I189" s="3070">
        <v>1245554</v>
      </c>
      <c r="J189" s="3070">
        <v>101.47</v>
      </c>
      <c r="K189" s="3070">
        <v>75.45</v>
      </c>
      <c r="L189" s="3070">
        <v>0</v>
      </c>
      <c r="M189" s="3070">
        <v>0</v>
      </c>
      <c r="N189" s="3070">
        <v>15194.44</v>
      </c>
      <c r="O189" s="3070">
        <v>1541780</v>
      </c>
      <c r="P189" s="3070">
        <v>12275.1</v>
      </c>
      <c r="Q189" s="3070">
        <v>1245554</v>
      </c>
      <c r="R189" s="3070" t="s">
        <v>3227</v>
      </c>
      <c r="S189" s="3070" t="s">
        <v>4851</v>
      </c>
      <c r="T189" s="3070" t="s">
        <v>3246</v>
      </c>
      <c r="U189" s="3070" t="s">
        <v>3259</v>
      </c>
      <c r="V189" s="3070" t="s">
        <v>3230</v>
      </c>
      <c r="Y189" s="3070">
        <v>375554</v>
      </c>
      <c r="Z189" s="3070">
        <v>375554</v>
      </c>
      <c r="AA189" s="3070">
        <v>375554</v>
      </c>
      <c r="AB189" s="3070">
        <v>0</v>
      </c>
      <c r="AC189" s="3070">
        <v>870000</v>
      </c>
      <c r="AD189" s="3070">
        <v>870000</v>
      </c>
      <c r="AE189" s="3070">
        <v>0</v>
      </c>
      <c r="AI189" s="3070" t="s">
        <v>3227</v>
      </c>
      <c r="AJ189" s="3070">
        <v>0</v>
      </c>
      <c r="AK189" s="3070">
        <v>0</v>
      </c>
      <c r="AL189" s="3070">
        <v>0</v>
      </c>
      <c r="AM189" s="3070">
        <v>12275.1</v>
      </c>
      <c r="AN189" s="3070">
        <v>1245554</v>
      </c>
      <c r="AP189" s="3070">
        <v>1245554</v>
      </c>
      <c r="AQ189" s="3072">
        <v>45230</v>
      </c>
      <c r="AT189" s="3073">
        <v>45770</v>
      </c>
      <c r="AV189" s="3070" t="s">
        <v>4852</v>
      </c>
      <c r="AW189" s="3070" t="s">
        <v>4853</v>
      </c>
      <c r="AX189" s="3070" t="s">
        <v>4854</v>
      </c>
      <c r="AY189" s="3070" t="s">
        <v>3262</v>
      </c>
      <c r="BC189" s="3070" t="s">
        <v>3284</v>
      </c>
      <c r="BD189" s="3070" t="s">
        <v>3077</v>
      </c>
      <c r="BI189" s="3070" t="s">
        <v>3235</v>
      </c>
      <c r="BJ189" s="3070" t="s">
        <v>3296</v>
      </c>
      <c r="BL189" s="3070" t="s">
        <v>4855</v>
      </c>
      <c r="BM189" s="3070" t="s">
        <v>4439</v>
      </c>
      <c r="BN189" s="3070">
        <v>502</v>
      </c>
      <c r="BO189" s="3070" t="s">
        <v>3253</v>
      </c>
      <c r="BR189" s="3070">
        <v>540</v>
      </c>
      <c r="BS189" s="3070" t="s">
        <v>3238</v>
      </c>
      <c r="BZ189" s="3073">
        <v>44142.757638888892</v>
      </c>
      <c r="CA189" s="3070">
        <v>12</v>
      </c>
      <c r="CD189" s="3070" t="s">
        <v>3239</v>
      </c>
      <c r="CF189" s="3070" t="s">
        <v>3091</v>
      </c>
      <c r="CH189" s="3070" t="s">
        <v>3240</v>
      </c>
      <c r="CI189" s="3070">
        <v>0</v>
      </c>
      <c r="CK189" s="3070" t="s">
        <v>3262</v>
      </c>
      <c r="CL189" s="3070" t="s">
        <v>3262</v>
      </c>
      <c r="CM189" s="3070">
        <v>1142710.0900000001</v>
      </c>
      <c r="CV189" s="3070" t="s">
        <v>3246</v>
      </c>
      <c r="CW189" s="3070" t="s">
        <v>4856</v>
      </c>
      <c r="CX189" s="3070" t="s">
        <v>3267</v>
      </c>
      <c r="CZ189" s="3070">
        <v>213894.57</v>
      </c>
      <c r="DA189" s="3070">
        <v>159426.93</v>
      </c>
      <c r="DB189" s="3070">
        <v>0</v>
      </c>
      <c r="DC189" s="3070">
        <v>0</v>
      </c>
      <c r="DD189" s="3070">
        <v>3290547602</v>
      </c>
      <c r="DE189" s="3070">
        <v>2764253109</v>
      </c>
      <c r="DF189" s="3070">
        <v>1464966739</v>
      </c>
      <c r="DG189" s="3070">
        <v>14938370</v>
      </c>
      <c r="DH189" s="3070">
        <v>1284348000</v>
      </c>
      <c r="DI189" s="3070">
        <v>1278128000</v>
      </c>
      <c r="DJ189" s="3070">
        <v>6220000</v>
      </c>
      <c r="DK189" s="3070">
        <v>0</v>
      </c>
      <c r="DL189" s="3070">
        <v>0</v>
      </c>
      <c r="DM189" s="3070">
        <v>25491817.620000001</v>
      </c>
      <c r="DN189" s="3070">
        <v>2764253109</v>
      </c>
      <c r="DP189" s="3070">
        <v>2764253109</v>
      </c>
    </row>
    <row r="190" spans="1:120">
      <c r="A190" s="3070">
        <v>189</v>
      </c>
      <c r="B190" s="3070" t="s">
        <v>3224</v>
      </c>
      <c r="C190" s="3070">
        <v>12</v>
      </c>
      <c r="E190" s="3070">
        <v>503</v>
      </c>
      <c r="F190" s="3070" t="s">
        <v>4857</v>
      </c>
      <c r="G190" s="3070" t="s">
        <v>4858</v>
      </c>
      <c r="H190" s="3070">
        <v>1245554</v>
      </c>
      <c r="I190" s="3070">
        <v>1245554</v>
      </c>
      <c r="J190" s="3070">
        <v>101.47</v>
      </c>
      <c r="K190" s="3070">
        <v>75.45</v>
      </c>
      <c r="L190" s="3070">
        <v>0</v>
      </c>
      <c r="M190" s="3070">
        <v>0</v>
      </c>
      <c r="N190" s="3070">
        <v>15194.44</v>
      </c>
      <c r="O190" s="3070">
        <v>1541780</v>
      </c>
      <c r="P190" s="3070">
        <v>12275.1</v>
      </c>
      <c r="Q190" s="3070">
        <v>1245554</v>
      </c>
      <c r="R190" s="3070" t="s">
        <v>3227</v>
      </c>
      <c r="S190" s="3070" t="s">
        <v>4859</v>
      </c>
      <c r="T190" s="3070" t="s">
        <v>3258</v>
      </c>
      <c r="U190" s="3070" t="s">
        <v>3279</v>
      </c>
      <c r="V190" s="3070" t="s">
        <v>3230</v>
      </c>
      <c r="Y190" s="3070">
        <v>375554</v>
      </c>
      <c r="Z190" s="3070">
        <v>375554</v>
      </c>
      <c r="AA190" s="3070">
        <v>375554</v>
      </c>
      <c r="AB190" s="3070">
        <v>0</v>
      </c>
      <c r="AC190" s="3070">
        <v>870000</v>
      </c>
      <c r="AD190" s="3070">
        <v>870000</v>
      </c>
      <c r="AE190" s="3070">
        <v>0</v>
      </c>
      <c r="AI190" s="3070" t="s">
        <v>3227</v>
      </c>
      <c r="AJ190" s="3070">
        <v>0</v>
      </c>
      <c r="AK190" s="3070">
        <v>0</v>
      </c>
      <c r="AL190" s="3070">
        <v>0</v>
      </c>
      <c r="AM190" s="3070">
        <v>12275.1</v>
      </c>
      <c r="AN190" s="3070">
        <v>1245554</v>
      </c>
      <c r="AP190" s="3070">
        <v>1245554</v>
      </c>
      <c r="AQ190" s="3072">
        <v>45230</v>
      </c>
      <c r="AT190" s="3073">
        <v>45770</v>
      </c>
      <c r="AV190" s="3070" t="s">
        <v>4860</v>
      </c>
      <c r="AW190" s="3070" t="s">
        <v>4861</v>
      </c>
      <c r="AX190" s="3070" t="s">
        <v>4862</v>
      </c>
      <c r="AY190" s="3070" t="s">
        <v>3497</v>
      </c>
      <c r="BC190" s="3070" t="s">
        <v>3263</v>
      </c>
      <c r="BD190" s="3070" t="s">
        <v>3077</v>
      </c>
      <c r="BI190" s="3070" t="s">
        <v>3235</v>
      </c>
      <c r="BJ190" s="3070" t="s">
        <v>3296</v>
      </c>
      <c r="BL190" s="3070" t="s">
        <v>4863</v>
      </c>
      <c r="BM190" s="3070" t="s">
        <v>4439</v>
      </c>
      <c r="BN190" s="3070">
        <v>503</v>
      </c>
      <c r="BO190" s="3070" t="s">
        <v>3253</v>
      </c>
      <c r="BP190" s="3070" t="s">
        <v>3253</v>
      </c>
      <c r="BR190" s="3070">
        <v>482</v>
      </c>
      <c r="BS190" s="3070" t="s">
        <v>3238</v>
      </c>
      <c r="BZ190" s="3073">
        <v>44142.629861111112</v>
      </c>
      <c r="CA190" s="3070">
        <v>12</v>
      </c>
      <c r="CD190" s="3070" t="s">
        <v>3239</v>
      </c>
      <c r="CF190" s="3070" t="s">
        <v>3091</v>
      </c>
      <c r="CH190" s="3070" t="s">
        <v>3240</v>
      </c>
      <c r="CI190" s="3070">
        <v>0</v>
      </c>
      <c r="CJ190" s="3070" t="s">
        <v>3259</v>
      </c>
      <c r="CK190" s="3070" t="s">
        <v>3497</v>
      </c>
      <c r="CL190" s="3070" t="s">
        <v>3497</v>
      </c>
      <c r="CM190" s="3070">
        <v>1142710.0900000001</v>
      </c>
      <c r="CV190" s="3070" t="s">
        <v>3258</v>
      </c>
      <c r="CW190" s="3070" t="s">
        <v>4864</v>
      </c>
      <c r="CX190" s="3070" t="s">
        <v>3242</v>
      </c>
      <c r="CZ190" s="3070">
        <v>213894.57</v>
      </c>
      <c r="DA190" s="3070">
        <v>159426.93</v>
      </c>
      <c r="DB190" s="3070">
        <v>0</v>
      </c>
      <c r="DC190" s="3070">
        <v>0</v>
      </c>
      <c r="DD190" s="3070">
        <v>3290547602</v>
      </c>
      <c r="DE190" s="3070">
        <v>2764253109</v>
      </c>
      <c r="DF190" s="3070">
        <v>1464966739</v>
      </c>
      <c r="DG190" s="3070">
        <v>14938370</v>
      </c>
      <c r="DH190" s="3070">
        <v>1284348000</v>
      </c>
      <c r="DI190" s="3070">
        <v>1278128000</v>
      </c>
      <c r="DJ190" s="3070">
        <v>6220000</v>
      </c>
      <c r="DK190" s="3070">
        <v>0</v>
      </c>
      <c r="DL190" s="3070">
        <v>0</v>
      </c>
      <c r="DM190" s="3070">
        <v>25491817.620000001</v>
      </c>
      <c r="DN190" s="3070">
        <v>2764253109</v>
      </c>
      <c r="DP190" s="3070">
        <v>2764253109</v>
      </c>
    </row>
    <row r="191" spans="1:120">
      <c r="A191" s="3070">
        <v>190</v>
      </c>
      <c r="B191" s="3070" t="s">
        <v>3224</v>
      </c>
      <c r="C191" s="3070">
        <v>12</v>
      </c>
      <c r="E191" s="3070">
        <v>504</v>
      </c>
      <c r="F191" s="3070" t="s">
        <v>4865</v>
      </c>
      <c r="G191" s="3070" t="s">
        <v>4866</v>
      </c>
      <c r="H191" s="3070">
        <v>1467716</v>
      </c>
      <c r="I191" s="3070">
        <v>1467716</v>
      </c>
      <c r="J191" s="3070">
        <v>121.61</v>
      </c>
      <c r="K191" s="3070">
        <v>90.43</v>
      </c>
      <c r="L191" s="3070">
        <v>0</v>
      </c>
      <c r="M191" s="3070">
        <v>0</v>
      </c>
      <c r="N191" s="3070">
        <v>14994.44</v>
      </c>
      <c r="O191" s="3070">
        <v>1823474</v>
      </c>
      <c r="P191" s="3070">
        <v>12069.04</v>
      </c>
      <c r="Q191" s="3070">
        <v>1467716</v>
      </c>
      <c r="R191" s="3070" t="s">
        <v>3227</v>
      </c>
      <c r="S191" s="3070" t="s">
        <v>3353</v>
      </c>
      <c r="T191" s="3070" t="s">
        <v>3494</v>
      </c>
      <c r="V191" s="3070" t="s">
        <v>3230</v>
      </c>
      <c r="Y191" s="3070">
        <v>146772</v>
      </c>
      <c r="Z191" s="3070">
        <v>146772</v>
      </c>
      <c r="AA191" s="3070">
        <v>1467716</v>
      </c>
      <c r="AB191" s="3070">
        <v>0</v>
      </c>
      <c r="AC191" s="3070">
        <v>0</v>
      </c>
      <c r="AD191" s="3070">
        <v>0</v>
      </c>
      <c r="AE191" s="3070">
        <v>0</v>
      </c>
      <c r="AI191" s="3070" t="s">
        <v>3227</v>
      </c>
      <c r="AJ191" s="3070">
        <v>0</v>
      </c>
      <c r="AK191" s="3070">
        <v>0</v>
      </c>
      <c r="AL191" s="3070">
        <v>0</v>
      </c>
      <c r="AM191" s="3070">
        <v>12069.04</v>
      </c>
      <c r="AN191" s="3070">
        <v>1467716</v>
      </c>
      <c r="AP191" s="3070">
        <v>1467716</v>
      </c>
      <c r="AQ191" s="3072">
        <v>45230</v>
      </c>
      <c r="AT191" s="3073">
        <v>45770</v>
      </c>
      <c r="AV191" s="3074">
        <v>3.21E+17</v>
      </c>
      <c r="AW191" s="3070" t="s">
        <v>4867</v>
      </c>
      <c r="AX191" s="3070" t="s">
        <v>4868</v>
      </c>
      <c r="AY191" s="3070" t="s">
        <v>3883</v>
      </c>
      <c r="BA191" s="3070" t="s">
        <v>3883</v>
      </c>
      <c r="BC191" s="3070" t="s">
        <v>4869</v>
      </c>
      <c r="BD191" s="3070" t="s">
        <v>3075</v>
      </c>
      <c r="BI191" s="3070" t="s">
        <v>3295</v>
      </c>
      <c r="BL191" s="3070" t="s">
        <v>4870</v>
      </c>
      <c r="BM191" s="3070" t="s">
        <v>4439</v>
      </c>
      <c r="BN191" s="3070">
        <v>504</v>
      </c>
      <c r="BR191" s="3070">
        <v>25</v>
      </c>
      <c r="BS191" s="3070" t="s">
        <v>3238</v>
      </c>
      <c r="BU191" s="3070" t="s">
        <v>3883</v>
      </c>
      <c r="BZ191" s="3073">
        <v>44218.672222222223</v>
      </c>
      <c r="CA191" s="3070">
        <v>12</v>
      </c>
      <c r="CD191" s="3070" t="s">
        <v>3239</v>
      </c>
      <c r="CF191" s="3070" t="s">
        <v>3091</v>
      </c>
      <c r="CH191" s="3070" t="s">
        <v>3240</v>
      </c>
      <c r="CI191" s="3070">
        <v>0</v>
      </c>
      <c r="CK191" s="3070" t="s">
        <v>3883</v>
      </c>
      <c r="CL191" s="3070" t="s">
        <v>4303</v>
      </c>
      <c r="CM191" s="3070">
        <v>1346528.44</v>
      </c>
      <c r="CV191" s="3070" t="s">
        <v>3494</v>
      </c>
      <c r="CW191" s="3070" t="s">
        <v>4871</v>
      </c>
      <c r="CZ191" s="3070">
        <v>213894.57</v>
      </c>
      <c r="DA191" s="3070">
        <v>159426.93</v>
      </c>
      <c r="DB191" s="3070">
        <v>0</v>
      </c>
      <c r="DC191" s="3070">
        <v>0</v>
      </c>
      <c r="DD191" s="3070">
        <v>3290547602</v>
      </c>
      <c r="DE191" s="3070">
        <v>2764253109</v>
      </c>
      <c r="DF191" s="3070">
        <v>1464966739</v>
      </c>
      <c r="DG191" s="3070">
        <v>14938370</v>
      </c>
      <c r="DH191" s="3070">
        <v>1284348000</v>
      </c>
      <c r="DI191" s="3070">
        <v>1278128000</v>
      </c>
      <c r="DJ191" s="3070">
        <v>6220000</v>
      </c>
      <c r="DK191" s="3070">
        <v>0</v>
      </c>
      <c r="DL191" s="3070">
        <v>0</v>
      </c>
      <c r="DM191" s="3070">
        <v>25491817.620000001</v>
      </c>
      <c r="DN191" s="3070">
        <v>2764253109</v>
      </c>
      <c r="DP191" s="3070">
        <v>2764253109</v>
      </c>
    </row>
    <row r="192" spans="1:120">
      <c r="A192" s="3070">
        <v>191</v>
      </c>
      <c r="B192" s="3070" t="s">
        <v>3224</v>
      </c>
      <c r="C192" s="3070">
        <v>12</v>
      </c>
      <c r="E192" s="3070">
        <v>601</v>
      </c>
      <c r="F192" s="3070" t="s">
        <v>4872</v>
      </c>
      <c r="G192" s="3070" t="s">
        <v>4873</v>
      </c>
      <c r="H192" s="3070">
        <v>1457254</v>
      </c>
      <c r="I192" s="3070">
        <v>1457254</v>
      </c>
      <c r="J192" s="3070">
        <v>121.61</v>
      </c>
      <c r="K192" s="3070">
        <v>90.43</v>
      </c>
      <c r="L192" s="3070">
        <v>0</v>
      </c>
      <c r="M192" s="3070">
        <v>0</v>
      </c>
      <c r="N192" s="3070">
        <v>15144.44</v>
      </c>
      <c r="O192" s="3070">
        <v>1841715</v>
      </c>
      <c r="P192" s="3070">
        <v>11983.01</v>
      </c>
      <c r="Q192" s="3070">
        <v>1457254</v>
      </c>
      <c r="R192" s="3070" t="s">
        <v>3227</v>
      </c>
      <c r="S192" s="3070" t="s">
        <v>4874</v>
      </c>
      <c r="T192" s="3070" t="s">
        <v>3246</v>
      </c>
      <c r="U192" s="3070" t="s">
        <v>3259</v>
      </c>
      <c r="V192" s="3070" t="s">
        <v>3230</v>
      </c>
      <c r="Y192" s="3070">
        <v>807254</v>
      </c>
      <c r="Z192" s="3070">
        <v>807254</v>
      </c>
      <c r="AA192" s="3070">
        <v>807254</v>
      </c>
      <c r="AB192" s="3070">
        <v>0</v>
      </c>
      <c r="AC192" s="3070">
        <v>650000</v>
      </c>
      <c r="AD192" s="3070">
        <v>650000</v>
      </c>
      <c r="AE192" s="3070">
        <v>0</v>
      </c>
      <c r="AI192" s="3070" t="s">
        <v>3227</v>
      </c>
      <c r="AJ192" s="3070">
        <v>0</v>
      </c>
      <c r="AK192" s="3070">
        <v>0</v>
      </c>
      <c r="AL192" s="3070">
        <v>0</v>
      </c>
      <c r="AM192" s="3070">
        <v>11983.01</v>
      </c>
      <c r="AN192" s="3070">
        <v>1457254</v>
      </c>
      <c r="AP192" s="3070">
        <v>1457254</v>
      </c>
      <c r="AQ192" s="3072">
        <v>45230</v>
      </c>
      <c r="AT192" s="3073">
        <v>45770</v>
      </c>
      <c r="AV192" s="3070" t="s">
        <v>4875</v>
      </c>
      <c r="AW192" s="3070" t="s">
        <v>4876</v>
      </c>
      <c r="AX192" s="3070" t="s">
        <v>4877</v>
      </c>
      <c r="AY192" s="3070" t="s">
        <v>3497</v>
      </c>
      <c r="BC192" s="3070" t="s">
        <v>3507</v>
      </c>
      <c r="BD192" s="3070" t="s">
        <v>3075</v>
      </c>
      <c r="BI192" s="3070" t="s">
        <v>3235</v>
      </c>
      <c r="BL192" s="3070" t="s">
        <v>4878</v>
      </c>
      <c r="BM192" s="3070" t="s">
        <v>4439</v>
      </c>
      <c r="BN192" s="3070">
        <v>601</v>
      </c>
      <c r="BO192" s="3070" t="s">
        <v>3253</v>
      </c>
      <c r="BR192" s="3070">
        <v>833</v>
      </c>
      <c r="BS192" s="3070" t="s">
        <v>3238</v>
      </c>
      <c r="BZ192" s="3073">
        <v>44142.64166666667</v>
      </c>
      <c r="CA192" s="3070">
        <v>12</v>
      </c>
      <c r="CD192" s="3070" t="s">
        <v>3239</v>
      </c>
      <c r="CF192" s="3070" t="s">
        <v>3091</v>
      </c>
      <c r="CH192" s="3070" t="s">
        <v>3240</v>
      </c>
      <c r="CI192" s="3070">
        <v>0</v>
      </c>
      <c r="CK192" s="3070" t="s">
        <v>3497</v>
      </c>
      <c r="CL192" s="3070" t="s">
        <v>3497</v>
      </c>
      <c r="CM192" s="3070">
        <v>1336930.28</v>
      </c>
      <c r="CV192" s="3070" t="s">
        <v>3246</v>
      </c>
      <c r="CW192" s="3070" t="s">
        <v>4879</v>
      </c>
      <c r="CX192" s="3070" t="s">
        <v>3510</v>
      </c>
      <c r="CZ192" s="3070">
        <v>213894.57</v>
      </c>
      <c r="DA192" s="3070">
        <v>159426.93</v>
      </c>
      <c r="DB192" s="3070">
        <v>0</v>
      </c>
      <c r="DC192" s="3070">
        <v>0</v>
      </c>
      <c r="DD192" s="3070">
        <v>3290547602</v>
      </c>
      <c r="DE192" s="3070">
        <v>2764253109</v>
      </c>
      <c r="DF192" s="3070">
        <v>1464966739</v>
      </c>
      <c r="DG192" s="3070">
        <v>14938370</v>
      </c>
      <c r="DH192" s="3070">
        <v>1284348000</v>
      </c>
      <c r="DI192" s="3070">
        <v>1278128000</v>
      </c>
      <c r="DJ192" s="3070">
        <v>6220000</v>
      </c>
      <c r="DK192" s="3070">
        <v>0</v>
      </c>
      <c r="DL192" s="3070">
        <v>0</v>
      </c>
      <c r="DM192" s="3070">
        <v>25491817.620000001</v>
      </c>
      <c r="DN192" s="3070">
        <v>2764253109</v>
      </c>
      <c r="DP192" s="3070">
        <v>2764253109</v>
      </c>
    </row>
    <row r="193" spans="1:120">
      <c r="A193" s="3070">
        <v>192</v>
      </c>
      <c r="B193" s="3070" t="s">
        <v>3224</v>
      </c>
      <c r="C193" s="3070">
        <v>12</v>
      </c>
      <c r="E193" s="3070">
        <v>602</v>
      </c>
      <c r="F193" s="3070" t="s">
        <v>4880</v>
      </c>
      <c r="G193" s="3070" t="s">
        <v>4881</v>
      </c>
      <c r="H193" s="3070">
        <v>1250377</v>
      </c>
      <c r="I193" s="3070">
        <v>1250377</v>
      </c>
      <c r="J193" s="3070">
        <v>101.47</v>
      </c>
      <c r="K193" s="3070">
        <v>75.45</v>
      </c>
      <c r="L193" s="3070">
        <v>0</v>
      </c>
      <c r="M193" s="3070">
        <v>0</v>
      </c>
      <c r="N193" s="3070">
        <v>15244.44</v>
      </c>
      <c r="O193" s="3070">
        <v>1546853</v>
      </c>
      <c r="P193" s="3070">
        <v>12322.63</v>
      </c>
      <c r="Q193" s="3070">
        <v>1250377</v>
      </c>
      <c r="R193" s="3070" t="s">
        <v>3227</v>
      </c>
      <c r="S193" s="3070" t="s">
        <v>4882</v>
      </c>
      <c r="T193" s="3070" t="s">
        <v>3246</v>
      </c>
      <c r="U193" s="3070" t="s">
        <v>3381</v>
      </c>
      <c r="V193" s="3070" t="s">
        <v>3230</v>
      </c>
      <c r="Y193" s="3070">
        <v>470377</v>
      </c>
      <c r="Z193" s="3070">
        <v>470377</v>
      </c>
      <c r="AA193" s="3070">
        <v>470377</v>
      </c>
      <c r="AB193" s="3070">
        <v>0</v>
      </c>
      <c r="AC193" s="3070">
        <v>780000</v>
      </c>
      <c r="AD193" s="3070">
        <v>780000</v>
      </c>
      <c r="AE193" s="3070">
        <v>0</v>
      </c>
      <c r="AI193" s="3070" t="s">
        <v>3227</v>
      </c>
      <c r="AJ193" s="3070">
        <v>0</v>
      </c>
      <c r="AK193" s="3070">
        <v>0</v>
      </c>
      <c r="AL193" s="3070">
        <v>0</v>
      </c>
      <c r="AM193" s="3070">
        <v>12322.63</v>
      </c>
      <c r="AN193" s="3070">
        <v>1250377</v>
      </c>
      <c r="AP193" s="3070">
        <v>1250377</v>
      </c>
      <c r="AQ193" s="3072">
        <v>45230</v>
      </c>
      <c r="AT193" s="3073">
        <v>45770</v>
      </c>
      <c r="AV193" s="3070" t="s">
        <v>4883</v>
      </c>
      <c r="AW193" s="3070" t="s">
        <v>4884</v>
      </c>
      <c r="AX193" s="3070" t="s">
        <v>4885</v>
      </c>
      <c r="AY193" s="3070" t="s">
        <v>3656</v>
      </c>
      <c r="BC193" s="3070" t="s">
        <v>3284</v>
      </c>
      <c r="BD193" s="3070" t="s">
        <v>3077</v>
      </c>
      <c r="BI193" s="3070" t="s">
        <v>3235</v>
      </c>
      <c r="BL193" s="3070" t="s">
        <v>4886</v>
      </c>
      <c r="BM193" s="3070" t="s">
        <v>4439</v>
      </c>
      <c r="BN193" s="3070">
        <v>602</v>
      </c>
      <c r="BO193" s="3070" t="s">
        <v>3253</v>
      </c>
      <c r="BR193" s="3070">
        <v>339</v>
      </c>
      <c r="BS193" s="3070" t="s">
        <v>3238</v>
      </c>
      <c r="BZ193" s="3073">
        <v>44142.630555555559</v>
      </c>
      <c r="CA193" s="3070">
        <v>12</v>
      </c>
      <c r="CD193" s="3070" t="s">
        <v>3239</v>
      </c>
      <c r="CF193" s="3070" t="s">
        <v>3091</v>
      </c>
      <c r="CH193" s="3070" t="s">
        <v>3240</v>
      </c>
      <c r="CI193" s="3070">
        <v>0</v>
      </c>
      <c r="CK193" s="3070" t="s">
        <v>3656</v>
      </c>
      <c r="CL193" s="3070" t="s">
        <v>3656</v>
      </c>
      <c r="CM193" s="3070">
        <v>1147134.8600000001</v>
      </c>
      <c r="CV193" s="3070" t="s">
        <v>3246</v>
      </c>
      <c r="CW193" s="3070" t="s">
        <v>4887</v>
      </c>
      <c r="CX193" s="3070" t="s">
        <v>3242</v>
      </c>
      <c r="CZ193" s="3070">
        <v>213894.57</v>
      </c>
      <c r="DA193" s="3070">
        <v>159426.93</v>
      </c>
      <c r="DB193" s="3070">
        <v>0</v>
      </c>
      <c r="DC193" s="3070">
        <v>0</v>
      </c>
      <c r="DD193" s="3070">
        <v>3290547602</v>
      </c>
      <c r="DE193" s="3070">
        <v>2764253109</v>
      </c>
      <c r="DF193" s="3070">
        <v>1464966739</v>
      </c>
      <c r="DG193" s="3070">
        <v>14938370</v>
      </c>
      <c r="DH193" s="3070">
        <v>1284348000</v>
      </c>
      <c r="DI193" s="3070">
        <v>1278128000</v>
      </c>
      <c r="DJ193" s="3070">
        <v>6220000</v>
      </c>
      <c r="DK193" s="3070">
        <v>0</v>
      </c>
      <c r="DL193" s="3070">
        <v>0</v>
      </c>
      <c r="DM193" s="3070">
        <v>25491817.620000001</v>
      </c>
      <c r="DN193" s="3070">
        <v>2764253109</v>
      </c>
      <c r="DP193" s="3070">
        <v>2764253109</v>
      </c>
    </row>
    <row r="194" spans="1:120">
      <c r="A194" s="3070">
        <v>193</v>
      </c>
      <c r="B194" s="3070" t="s">
        <v>3224</v>
      </c>
      <c r="C194" s="3070">
        <v>12</v>
      </c>
      <c r="E194" s="3070">
        <v>603</v>
      </c>
      <c r="F194" s="3070" t="s">
        <v>4888</v>
      </c>
      <c r="G194" s="3070" t="s">
        <v>4889</v>
      </c>
      <c r="H194" s="3070">
        <v>1250377</v>
      </c>
      <c r="I194" s="3070">
        <v>1250377</v>
      </c>
      <c r="J194" s="3070">
        <v>101.47</v>
      </c>
      <c r="K194" s="3070">
        <v>75.45</v>
      </c>
      <c r="L194" s="3070">
        <v>0</v>
      </c>
      <c r="M194" s="3070">
        <v>0</v>
      </c>
      <c r="N194" s="3070">
        <v>15244.44</v>
      </c>
      <c r="O194" s="3070">
        <v>1546853</v>
      </c>
      <c r="P194" s="3070">
        <v>12322.63</v>
      </c>
      <c r="Q194" s="3070">
        <v>1250377</v>
      </c>
      <c r="R194" s="3070" t="s">
        <v>3227</v>
      </c>
      <c r="S194" s="3070" t="s">
        <v>4890</v>
      </c>
      <c r="T194" s="3070" t="s">
        <v>3246</v>
      </c>
      <c r="U194" s="3070" t="s">
        <v>3259</v>
      </c>
      <c r="V194" s="3070" t="s">
        <v>3230</v>
      </c>
      <c r="Y194" s="3070">
        <v>380377</v>
      </c>
      <c r="Z194" s="3070">
        <v>380377</v>
      </c>
      <c r="AA194" s="3070">
        <v>380377</v>
      </c>
      <c r="AB194" s="3070">
        <v>0</v>
      </c>
      <c r="AC194" s="3070">
        <v>870000</v>
      </c>
      <c r="AD194" s="3070">
        <v>870000</v>
      </c>
      <c r="AE194" s="3070">
        <v>0</v>
      </c>
      <c r="AI194" s="3070" t="s">
        <v>3227</v>
      </c>
      <c r="AJ194" s="3070">
        <v>0</v>
      </c>
      <c r="AK194" s="3070">
        <v>0</v>
      </c>
      <c r="AL194" s="3070">
        <v>0</v>
      </c>
      <c r="AM194" s="3070">
        <v>12322.63</v>
      </c>
      <c r="AN194" s="3070">
        <v>1250377</v>
      </c>
      <c r="AP194" s="3070">
        <v>1250377</v>
      </c>
      <c r="AQ194" s="3072">
        <v>45230</v>
      </c>
      <c r="AT194" s="3073">
        <v>45770</v>
      </c>
      <c r="AV194" s="3070" t="s">
        <v>4891</v>
      </c>
      <c r="AW194" s="3070" t="s">
        <v>4892</v>
      </c>
      <c r="AX194" s="3070" t="s">
        <v>4893</v>
      </c>
      <c r="AY194" s="3070" t="s">
        <v>3337</v>
      </c>
      <c r="BC194" s="3070" t="s">
        <v>3284</v>
      </c>
      <c r="BD194" s="3070" t="s">
        <v>3077</v>
      </c>
      <c r="BI194" s="3070" t="s">
        <v>3235</v>
      </c>
      <c r="BJ194" s="3070" t="s">
        <v>3296</v>
      </c>
      <c r="BL194" s="3070" t="s">
        <v>4894</v>
      </c>
      <c r="BM194" s="3070" t="s">
        <v>4439</v>
      </c>
      <c r="BN194" s="3070">
        <v>603</v>
      </c>
      <c r="BO194" s="3070" t="s">
        <v>3253</v>
      </c>
      <c r="BR194" s="3070">
        <v>44</v>
      </c>
      <c r="BS194" s="3070" t="s">
        <v>3238</v>
      </c>
      <c r="BZ194" s="3073">
        <v>44142.758333333331</v>
      </c>
      <c r="CA194" s="3070">
        <v>12</v>
      </c>
      <c r="CD194" s="3070" t="s">
        <v>3239</v>
      </c>
      <c r="CF194" s="3070" t="s">
        <v>3091</v>
      </c>
      <c r="CH194" s="3070" t="s">
        <v>3240</v>
      </c>
      <c r="CI194" s="3070">
        <v>0</v>
      </c>
      <c r="CK194" s="3070" t="s">
        <v>3337</v>
      </c>
      <c r="CL194" s="3070" t="s">
        <v>3337</v>
      </c>
      <c r="CM194" s="3070">
        <v>1147134.8600000001</v>
      </c>
      <c r="CV194" s="3070" t="s">
        <v>3246</v>
      </c>
      <c r="CW194" s="3070" t="s">
        <v>4895</v>
      </c>
      <c r="CZ194" s="3070">
        <v>213894.57</v>
      </c>
      <c r="DA194" s="3070">
        <v>159426.93</v>
      </c>
      <c r="DB194" s="3070">
        <v>0</v>
      </c>
      <c r="DC194" s="3070">
        <v>0</v>
      </c>
      <c r="DD194" s="3070">
        <v>3290547602</v>
      </c>
      <c r="DE194" s="3070">
        <v>2764253109</v>
      </c>
      <c r="DF194" s="3070">
        <v>1464966739</v>
      </c>
      <c r="DG194" s="3070">
        <v>14938370</v>
      </c>
      <c r="DH194" s="3070">
        <v>1284348000</v>
      </c>
      <c r="DI194" s="3070">
        <v>1278128000</v>
      </c>
      <c r="DJ194" s="3070">
        <v>6220000</v>
      </c>
      <c r="DK194" s="3070">
        <v>0</v>
      </c>
      <c r="DL194" s="3070">
        <v>0</v>
      </c>
      <c r="DM194" s="3070">
        <v>25491817.620000001</v>
      </c>
      <c r="DN194" s="3070">
        <v>2764253109</v>
      </c>
      <c r="DP194" s="3070">
        <v>2764253109</v>
      </c>
    </row>
    <row r="195" spans="1:120">
      <c r="A195" s="3070">
        <v>194</v>
      </c>
      <c r="B195" s="3070" t="s">
        <v>3224</v>
      </c>
      <c r="C195" s="3070">
        <v>12</v>
      </c>
      <c r="E195" s="3070">
        <v>604</v>
      </c>
      <c r="F195" s="3070" t="s">
        <v>4896</v>
      </c>
      <c r="G195" s="3070" t="s">
        <v>4897</v>
      </c>
      <c r="H195" s="3070">
        <v>1523188</v>
      </c>
      <c r="I195" s="3070">
        <v>1523188</v>
      </c>
      <c r="J195" s="3070">
        <v>121.61</v>
      </c>
      <c r="K195" s="3070">
        <v>90.43</v>
      </c>
      <c r="L195" s="3070">
        <v>0</v>
      </c>
      <c r="M195" s="3070">
        <v>0</v>
      </c>
      <c r="N195" s="3070">
        <v>15044.44</v>
      </c>
      <c r="O195" s="3070">
        <v>1829554</v>
      </c>
      <c r="P195" s="3070">
        <v>12525.19</v>
      </c>
      <c r="Q195" s="3070">
        <v>1523188</v>
      </c>
      <c r="R195" s="3070" t="s">
        <v>3227</v>
      </c>
      <c r="S195" s="3070" t="s">
        <v>4898</v>
      </c>
      <c r="T195" s="3070" t="s">
        <v>3476</v>
      </c>
      <c r="U195" s="3070" t="s">
        <v>3247</v>
      </c>
      <c r="V195" s="3070" t="s">
        <v>3230</v>
      </c>
      <c r="Y195" s="3070">
        <v>182783</v>
      </c>
      <c r="Z195" s="3070">
        <v>182783</v>
      </c>
      <c r="AA195" s="3070">
        <v>463188</v>
      </c>
      <c r="AB195" s="3070">
        <v>0</v>
      </c>
      <c r="AC195" s="3070">
        <v>1060000</v>
      </c>
      <c r="AD195" s="3070">
        <v>1060000</v>
      </c>
      <c r="AE195" s="3070">
        <v>0</v>
      </c>
      <c r="AI195" s="3070" t="s">
        <v>3227</v>
      </c>
      <c r="AJ195" s="3070">
        <v>0</v>
      </c>
      <c r="AK195" s="3070">
        <v>0</v>
      </c>
      <c r="AL195" s="3070">
        <v>0</v>
      </c>
      <c r="AM195" s="3070">
        <v>12525.19</v>
      </c>
      <c r="AN195" s="3070">
        <v>1523188</v>
      </c>
      <c r="AP195" s="3070">
        <v>1523188</v>
      </c>
      <c r="AQ195" s="3072">
        <v>45230</v>
      </c>
      <c r="AT195" s="3073">
        <v>45770</v>
      </c>
      <c r="AV195" s="3070" t="s">
        <v>4899</v>
      </c>
      <c r="AW195" s="3070" t="s">
        <v>4900</v>
      </c>
      <c r="AX195" s="3070" t="s">
        <v>4901</v>
      </c>
      <c r="AY195" s="3070" t="s">
        <v>4706</v>
      </c>
      <c r="BA195" s="3070" t="s">
        <v>4902</v>
      </c>
      <c r="BC195" s="3070" t="s">
        <v>4903</v>
      </c>
      <c r="BD195" s="3070" t="s">
        <v>3075</v>
      </c>
      <c r="BI195" s="3070" t="s">
        <v>3235</v>
      </c>
      <c r="BL195" s="3070" t="s">
        <v>4904</v>
      </c>
      <c r="BM195" s="3070" t="s">
        <v>4439</v>
      </c>
      <c r="BN195" s="3070">
        <v>604</v>
      </c>
      <c r="BO195" s="3070" t="s">
        <v>3253</v>
      </c>
      <c r="BR195" s="3070">
        <v>16</v>
      </c>
      <c r="BS195" s="3070" t="s">
        <v>3238</v>
      </c>
      <c r="BU195" s="3070" t="s">
        <v>4902</v>
      </c>
      <c r="BZ195" s="3073">
        <v>44224.586111111108</v>
      </c>
      <c r="CA195" s="3070">
        <v>12</v>
      </c>
      <c r="CD195" s="3070" t="s">
        <v>3239</v>
      </c>
      <c r="CF195" s="3070" t="s">
        <v>3091</v>
      </c>
      <c r="CH195" s="3070" t="s">
        <v>3240</v>
      </c>
      <c r="CI195" s="3070">
        <v>0</v>
      </c>
      <c r="CK195" s="3070" t="s">
        <v>4706</v>
      </c>
      <c r="CL195" s="3070" t="s">
        <v>4902</v>
      </c>
      <c r="CM195" s="3070">
        <v>1397420.18</v>
      </c>
      <c r="CV195" s="3070" t="s">
        <v>3482</v>
      </c>
      <c r="CW195" s="3070" t="s">
        <v>4905</v>
      </c>
      <c r="CZ195" s="3070">
        <v>213894.57</v>
      </c>
      <c r="DA195" s="3070">
        <v>159426.93</v>
      </c>
      <c r="DB195" s="3070">
        <v>0</v>
      </c>
      <c r="DC195" s="3070">
        <v>0</v>
      </c>
      <c r="DD195" s="3070">
        <v>3290547602</v>
      </c>
      <c r="DE195" s="3070">
        <v>2764253109</v>
      </c>
      <c r="DF195" s="3070">
        <v>1464966739</v>
      </c>
      <c r="DG195" s="3070">
        <v>14938370</v>
      </c>
      <c r="DH195" s="3070">
        <v>1284348000</v>
      </c>
      <c r="DI195" s="3070">
        <v>1278128000</v>
      </c>
      <c r="DJ195" s="3070">
        <v>6220000</v>
      </c>
      <c r="DK195" s="3070">
        <v>0</v>
      </c>
      <c r="DL195" s="3070">
        <v>0</v>
      </c>
      <c r="DM195" s="3070">
        <v>25491817.620000001</v>
      </c>
      <c r="DN195" s="3070">
        <v>2764253109</v>
      </c>
      <c r="DP195" s="3070">
        <v>2764253109</v>
      </c>
    </row>
    <row r="196" spans="1:120">
      <c r="A196" s="3070">
        <v>195</v>
      </c>
      <c r="B196" s="3070" t="s">
        <v>3224</v>
      </c>
      <c r="C196" s="3070">
        <v>12</v>
      </c>
      <c r="E196" s="3070">
        <v>701</v>
      </c>
      <c r="F196" s="3070" t="s">
        <v>4906</v>
      </c>
      <c r="G196" s="3070" t="s">
        <v>4907</v>
      </c>
      <c r="H196" s="3070">
        <v>1492775</v>
      </c>
      <c r="I196" s="3070">
        <v>1492775</v>
      </c>
      <c r="J196" s="3070">
        <v>121.61</v>
      </c>
      <c r="K196" s="3070">
        <v>90.43</v>
      </c>
      <c r="L196" s="3070">
        <v>0</v>
      </c>
      <c r="M196" s="3070">
        <v>0</v>
      </c>
      <c r="N196" s="3070">
        <v>15194.44</v>
      </c>
      <c r="O196" s="3070">
        <v>1847796</v>
      </c>
      <c r="P196" s="3070">
        <v>12275.1</v>
      </c>
      <c r="Q196" s="3070">
        <v>1492775</v>
      </c>
      <c r="R196" s="3070" t="s">
        <v>3227</v>
      </c>
      <c r="S196" s="3070" t="s">
        <v>4908</v>
      </c>
      <c r="T196" s="3070" t="s">
        <v>3246</v>
      </c>
      <c r="U196" s="3070" t="s">
        <v>3279</v>
      </c>
      <c r="V196" s="3070" t="s">
        <v>3230</v>
      </c>
      <c r="Y196" s="3070">
        <v>652775</v>
      </c>
      <c r="Z196" s="3070">
        <v>652775</v>
      </c>
      <c r="AA196" s="3070">
        <v>652775</v>
      </c>
      <c r="AB196" s="3070">
        <v>0</v>
      </c>
      <c r="AC196" s="3070">
        <v>840000</v>
      </c>
      <c r="AD196" s="3070">
        <v>840000</v>
      </c>
      <c r="AE196" s="3070">
        <v>0</v>
      </c>
      <c r="AI196" s="3070" t="s">
        <v>3227</v>
      </c>
      <c r="AJ196" s="3070">
        <v>0</v>
      </c>
      <c r="AK196" s="3070">
        <v>0</v>
      </c>
      <c r="AL196" s="3070">
        <v>0</v>
      </c>
      <c r="AM196" s="3070">
        <v>12275.1</v>
      </c>
      <c r="AN196" s="3070">
        <v>1492775</v>
      </c>
      <c r="AP196" s="3070">
        <v>1492775</v>
      </c>
      <c r="AQ196" s="3072">
        <v>45230</v>
      </c>
      <c r="AT196" s="3073">
        <v>45770</v>
      </c>
      <c r="AV196" s="3070" t="s">
        <v>4909</v>
      </c>
      <c r="AW196" s="3070" t="s">
        <v>4910</v>
      </c>
      <c r="AX196" s="3070" t="s">
        <v>4911</v>
      </c>
      <c r="AY196" s="3070" t="s">
        <v>3497</v>
      </c>
      <c r="BC196" s="3070" t="s">
        <v>3284</v>
      </c>
      <c r="BD196" s="3070" t="s">
        <v>3075</v>
      </c>
      <c r="BI196" s="3070" t="s">
        <v>3235</v>
      </c>
      <c r="BL196" s="3070" t="s">
        <v>4912</v>
      </c>
      <c r="BM196" s="3070" t="s">
        <v>4439</v>
      </c>
      <c r="BN196" s="3070">
        <v>701</v>
      </c>
      <c r="BO196" s="3070" t="s">
        <v>3253</v>
      </c>
      <c r="BR196" s="3070">
        <v>138</v>
      </c>
      <c r="BS196" s="3070" t="s">
        <v>3238</v>
      </c>
      <c r="BZ196" s="3073">
        <v>44142.759027777778</v>
      </c>
      <c r="CA196" s="3070">
        <v>12</v>
      </c>
      <c r="CD196" s="3070" t="s">
        <v>3239</v>
      </c>
      <c r="CF196" s="3070" t="s">
        <v>3091</v>
      </c>
      <c r="CH196" s="3070" t="s">
        <v>3240</v>
      </c>
      <c r="CI196" s="3070">
        <v>0</v>
      </c>
      <c r="CK196" s="3070" t="s">
        <v>3497</v>
      </c>
      <c r="CL196" s="3070" t="s">
        <v>3497</v>
      </c>
      <c r="CM196" s="3070">
        <v>1369518.35</v>
      </c>
      <c r="CV196" s="3070" t="s">
        <v>3246</v>
      </c>
      <c r="CW196" s="3070" t="s">
        <v>4913</v>
      </c>
      <c r="CX196" s="3070" t="s">
        <v>3510</v>
      </c>
      <c r="CZ196" s="3070">
        <v>213894.57</v>
      </c>
      <c r="DA196" s="3070">
        <v>159426.93</v>
      </c>
      <c r="DB196" s="3070">
        <v>0</v>
      </c>
      <c r="DC196" s="3070">
        <v>0</v>
      </c>
      <c r="DD196" s="3070">
        <v>3290547602</v>
      </c>
      <c r="DE196" s="3070">
        <v>2764253109</v>
      </c>
      <c r="DF196" s="3070">
        <v>1464966739</v>
      </c>
      <c r="DG196" s="3070">
        <v>14938370</v>
      </c>
      <c r="DH196" s="3070">
        <v>1284348000</v>
      </c>
      <c r="DI196" s="3070">
        <v>1278128000</v>
      </c>
      <c r="DJ196" s="3070">
        <v>6220000</v>
      </c>
      <c r="DK196" s="3070">
        <v>0</v>
      </c>
      <c r="DL196" s="3070">
        <v>0</v>
      </c>
      <c r="DM196" s="3070">
        <v>25491817.620000001</v>
      </c>
      <c r="DN196" s="3070">
        <v>2764253109</v>
      </c>
      <c r="DP196" s="3070">
        <v>2764253109</v>
      </c>
    </row>
    <row r="197" spans="1:120">
      <c r="A197" s="3070">
        <v>196</v>
      </c>
      <c r="B197" s="3070" t="s">
        <v>3224</v>
      </c>
      <c r="C197" s="3070">
        <v>12</v>
      </c>
      <c r="E197" s="3070">
        <v>702</v>
      </c>
      <c r="F197" s="3070" t="s">
        <v>4914</v>
      </c>
      <c r="G197" s="3070" t="s">
        <v>4915</v>
      </c>
      <c r="H197" s="3070">
        <v>1255200</v>
      </c>
      <c r="I197" s="3070">
        <v>1255200</v>
      </c>
      <c r="J197" s="3070">
        <v>101.47</v>
      </c>
      <c r="K197" s="3070">
        <v>75.45</v>
      </c>
      <c r="L197" s="3070">
        <v>0</v>
      </c>
      <c r="M197" s="3070">
        <v>0</v>
      </c>
      <c r="N197" s="3070">
        <v>15294.44</v>
      </c>
      <c r="O197" s="3070">
        <v>1551927</v>
      </c>
      <c r="P197" s="3070">
        <v>12370.16</v>
      </c>
      <c r="Q197" s="3070">
        <v>1255200</v>
      </c>
      <c r="R197" s="3070" t="s">
        <v>3227</v>
      </c>
      <c r="S197" s="3070" t="s">
        <v>4916</v>
      </c>
      <c r="T197" s="3070" t="s">
        <v>3246</v>
      </c>
      <c r="U197" s="3070" t="s">
        <v>3279</v>
      </c>
      <c r="V197" s="3070" t="s">
        <v>3230</v>
      </c>
      <c r="Y197" s="3070">
        <v>385200</v>
      </c>
      <c r="Z197" s="3070">
        <v>385200</v>
      </c>
      <c r="AA197" s="3070">
        <v>385200</v>
      </c>
      <c r="AB197" s="3070">
        <v>0</v>
      </c>
      <c r="AC197" s="3070">
        <v>870000</v>
      </c>
      <c r="AD197" s="3070">
        <v>870000</v>
      </c>
      <c r="AE197" s="3070">
        <v>0</v>
      </c>
      <c r="AI197" s="3070" t="s">
        <v>3227</v>
      </c>
      <c r="AJ197" s="3070">
        <v>0</v>
      </c>
      <c r="AK197" s="3070">
        <v>0</v>
      </c>
      <c r="AL197" s="3070">
        <v>0</v>
      </c>
      <c r="AM197" s="3070">
        <v>12370.16</v>
      </c>
      <c r="AN197" s="3070">
        <v>1255200</v>
      </c>
      <c r="AP197" s="3070">
        <v>1255200</v>
      </c>
      <c r="AQ197" s="3072">
        <v>45230</v>
      </c>
      <c r="AT197" s="3073">
        <v>45770</v>
      </c>
      <c r="AV197" s="3070" t="s">
        <v>4917</v>
      </c>
      <c r="AW197" s="3070" t="s">
        <v>4918</v>
      </c>
      <c r="AX197" s="3070" t="s">
        <v>4919</v>
      </c>
      <c r="AY197" s="3070" t="s">
        <v>3699</v>
      </c>
      <c r="BC197" s="3070" t="s">
        <v>3284</v>
      </c>
      <c r="BD197" s="3070" t="s">
        <v>3077</v>
      </c>
      <c r="BI197" s="3070" t="s">
        <v>3235</v>
      </c>
      <c r="BL197" s="3070" t="s">
        <v>4920</v>
      </c>
      <c r="BM197" s="3070" t="s">
        <v>4439</v>
      </c>
      <c r="BN197" s="3070">
        <v>702</v>
      </c>
      <c r="BO197" s="3070" t="s">
        <v>3253</v>
      </c>
      <c r="BR197" s="3070">
        <v>795</v>
      </c>
      <c r="BS197" s="3070" t="s">
        <v>3238</v>
      </c>
      <c r="BZ197" s="3073">
        <v>44142.622916666667</v>
      </c>
      <c r="CA197" s="3070">
        <v>12</v>
      </c>
      <c r="CD197" s="3070" t="s">
        <v>3239</v>
      </c>
      <c r="CF197" s="3070" t="s">
        <v>3091</v>
      </c>
      <c r="CH197" s="3070" t="s">
        <v>3240</v>
      </c>
      <c r="CI197" s="3070">
        <v>0</v>
      </c>
      <c r="CK197" s="3070" t="s">
        <v>3699</v>
      </c>
      <c r="CL197" s="3070" t="s">
        <v>3699</v>
      </c>
      <c r="CM197" s="3070">
        <v>1151559.6299999999</v>
      </c>
      <c r="CV197" s="3070" t="s">
        <v>3246</v>
      </c>
      <c r="CW197" s="3070" t="s">
        <v>4921</v>
      </c>
      <c r="CZ197" s="3070">
        <v>213894.57</v>
      </c>
      <c r="DA197" s="3070">
        <v>159426.93</v>
      </c>
      <c r="DB197" s="3070">
        <v>0</v>
      </c>
      <c r="DC197" s="3070">
        <v>0</v>
      </c>
      <c r="DD197" s="3070">
        <v>3290547602</v>
      </c>
      <c r="DE197" s="3070">
        <v>2764253109</v>
      </c>
      <c r="DF197" s="3070">
        <v>1464966739</v>
      </c>
      <c r="DG197" s="3070">
        <v>14938370</v>
      </c>
      <c r="DH197" s="3070">
        <v>1284348000</v>
      </c>
      <c r="DI197" s="3070">
        <v>1278128000</v>
      </c>
      <c r="DJ197" s="3070">
        <v>6220000</v>
      </c>
      <c r="DK197" s="3070">
        <v>0</v>
      </c>
      <c r="DL197" s="3070">
        <v>0</v>
      </c>
      <c r="DM197" s="3070">
        <v>25491817.620000001</v>
      </c>
      <c r="DN197" s="3070">
        <v>2764253109</v>
      </c>
      <c r="DP197" s="3070">
        <v>2764253109</v>
      </c>
    </row>
    <row r="198" spans="1:120">
      <c r="A198" s="3070">
        <v>197</v>
      </c>
      <c r="B198" s="3070" t="s">
        <v>3224</v>
      </c>
      <c r="C198" s="3070">
        <v>12</v>
      </c>
      <c r="E198" s="3070">
        <v>703</v>
      </c>
      <c r="F198" s="3070" t="s">
        <v>4922</v>
      </c>
      <c r="G198" s="3070" t="s">
        <v>4923</v>
      </c>
      <c r="H198" s="3070">
        <v>1255200</v>
      </c>
      <c r="I198" s="3070">
        <v>1255200</v>
      </c>
      <c r="J198" s="3070">
        <v>101.47</v>
      </c>
      <c r="K198" s="3070">
        <v>75.45</v>
      </c>
      <c r="L198" s="3070">
        <v>0</v>
      </c>
      <c r="M198" s="3070">
        <v>0</v>
      </c>
      <c r="N198" s="3070">
        <v>15294.44</v>
      </c>
      <c r="O198" s="3070">
        <v>1551927</v>
      </c>
      <c r="P198" s="3070">
        <v>12370.16</v>
      </c>
      <c r="Q198" s="3070">
        <v>1255200</v>
      </c>
      <c r="R198" s="3070" t="s">
        <v>3227</v>
      </c>
      <c r="S198" s="3070" t="s">
        <v>4924</v>
      </c>
      <c r="T198" s="3070" t="s">
        <v>3258</v>
      </c>
      <c r="U198" s="3070" t="s">
        <v>3259</v>
      </c>
      <c r="V198" s="3070" t="s">
        <v>3230</v>
      </c>
      <c r="Y198" s="3070">
        <v>385200</v>
      </c>
      <c r="Z198" s="3070">
        <v>385200</v>
      </c>
      <c r="AA198" s="3070">
        <v>385200</v>
      </c>
      <c r="AB198" s="3070">
        <v>0</v>
      </c>
      <c r="AC198" s="3070">
        <v>870000</v>
      </c>
      <c r="AD198" s="3070">
        <v>870000</v>
      </c>
      <c r="AE198" s="3070">
        <v>0</v>
      </c>
      <c r="AI198" s="3070" t="s">
        <v>3227</v>
      </c>
      <c r="AJ198" s="3070">
        <v>0</v>
      </c>
      <c r="AK198" s="3070">
        <v>0</v>
      </c>
      <c r="AL198" s="3070">
        <v>0</v>
      </c>
      <c r="AM198" s="3070">
        <v>12370.16</v>
      </c>
      <c r="AN198" s="3070">
        <v>1255200</v>
      </c>
      <c r="AP198" s="3070">
        <v>1255200</v>
      </c>
      <c r="AQ198" s="3072">
        <v>45230</v>
      </c>
      <c r="AT198" s="3073">
        <v>45770</v>
      </c>
      <c r="AV198" s="3070" t="s">
        <v>4925</v>
      </c>
      <c r="AW198" s="3070" t="s">
        <v>4926</v>
      </c>
      <c r="AX198" s="3070" t="s">
        <v>4927</v>
      </c>
      <c r="AY198" s="3070" t="s">
        <v>3429</v>
      </c>
      <c r="BC198" s="3070" t="s">
        <v>3263</v>
      </c>
      <c r="BD198" s="3070" t="s">
        <v>3077</v>
      </c>
      <c r="BI198" s="3070" t="s">
        <v>3235</v>
      </c>
      <c r="BJ198" s="3070" t="s">
        <v>3328</v>
      </c>
      <c r="BL198" s="3070" t="s">
        <v>4928</v>
      </c>
      <c r="BM198" s="3070" t="s">
        <v>4439</v>
      </c>
      <c r="BN198" s="3070">
        <v>703</v>
      </c>
      <c r="BO198" s="3070" t="s">
        <v>3253</v>
      </c>
      <c r="BP198" s="3070" t="s">
        <v>3253</v>
      </c>
      <c r="BR198" s="3070">
        <v>234</v>
      </c>
      <c r="BS198" s="3070" t="s">
        <v>3238</v>
      </c>
      <c r="BZ198" s="3073">
        <v>44142.761805555558</v>
      </c>
      <c r="CA198" s="3070">
        <v>12</v>
      </c>
      <c r="CD198" s="3070" t="s">
        <v>3239</v>
      </c>
      <c r="CF198" s="3070" t="s">
        <v>3091</v>
      </c>
      <c r="CH198" s="3070" t="s">
        <v>3240</v>
      </c>
      <c r="CI198" s="3070">
        <v>0</v>
      </c>
      <c r="CJ198" s="3070" t="s">
        <v>3259</v>
      </c>
      <c r="CK198" s="3070" t="s">
        <v>3429</v>
      </c>
      <c r="CL198" s="3070" t="s">
        <v>3429</v>
      </c>
      <c r="CM198" s="3070">
        <v>1151559.6299999999</v>
      </c>
      <c r="CV198" s="3070" t="s">
        <v>3258</v>
      </c>
      <c r="CW198" s="3070" t="s">
        <v>4929</v>
      </c>
      <c r="CX198" s="3070" t="s">
        <v>3311</v>
      </c>
      <c r="CZ198" s="3070">
        <v>213894.57</v>
      </c>
      <c r="DA198" s="3070">
        <v>159426.93</v>
      </c>
      <c r="DB198" s="3070">
        <v>0</v>
      </c>
      <c r="DC198" s="3070">
        <v>0</v>
      </c>
      <c r="DD198" s="3070">
        <v>3290547602</v>
      </c>
      <c r="DE198" s="3070">
        <v>2764253109</v>
      </c>
      <c r="DF198" s="3070">
        <v>1464966739</v>
      </c>
      <c r="DG198" s="3070">
        <v>14938370</v>
      </c>
      <c r="DH198" s="3070">
        <v>1284348000</v>
      </c>
      <c r="DI198" s="3070">
        <v>1278128000</v>
      </c>
      <c r="DJ198" s="3070">
        <v>6220000</v>
      </c>
      <c r="DK198" s="3070">
        <v>0</v>
      </c>
      <c r="DL198" s="3070">
        <v>0</v>
      </c>
      <c r="DM198" s="3070">
        <v>25491817.620000001</v>
      </c>
      <c r="DN198" s="3070">
        <v>2764253109</v>
      </c>
      <c r="DP198" s="3070">
        <v>2764253109</v>
      </c>
    </row>
    <row r="199" spans="1:120">
      <c r="A199" s="3070">
        <v>198</v>
      </c>
      <c r="B199" s="3070" t="s">
        <v>3224</v>
      </c>
      <c r="C199" s="3070">
        <v>12</v>
      </c>
      <c r="E199" s="3070">
        <v>704</v>
      </c>
      <c r="F199" s="3070" t="s">
        <v>4930</v>
      </c>
      <c r="G199" s="3070" t="s">
        <v>4931</v>
      </c>
      <c r="H199" s="3070">
        <v>1494697</v>
      </c>
      <c r="I199" s="3070">
        <v>1494697</v>
      </c>
      <c r="J199" s="3070">
        <v>121.61</v>
      </c>
      <c r="K199" s="3070">
        <v>90.43</v>
      </c>
      <c r="L199" s="3070">
        <v>0</v>
      </c>
      <c r="M199" s="3070">
        <v>0</v>
      </c>
      <c r="N199" s="3070">
        <v>15094.44</v>
      </c>
      <c r="O199" s="3070">
        <v>1835635</v>
      </c>
      <c r="P199" s="3070">
        <v>12290.91</v>
      </c>
      <c r="Q199" s="3070">
        <v>1494697</v>
      </c>
      <c r="R199" s="3070" t="s">
        <v>3227</v>
      </c>
      <c r="S199" s="3070" t="s">
        <v>4932</v>
      </c>
      <c r="T199" s="3070" t="s">
        <v>3494</v>
      </c>
      <c r="V199" s="3070" t="s">
        <v>3230</v>
      </c>
      <c r="Y199" s="3070">
        <v>149470</v>
      </c>
      <c r="Z199" s="3070">
        <v>149470</v>
      </c>
      <c r="AA199" s="3070">
        <v>1494697</v>
      </c>
      <c r="AB199" s="3070">
        <v>0</v>
      </c>
      <c r="AC199" s="3070">
        <v>0</v>
      </c>
      <c r="AD199" s="3070">
        <v>0</v>
      </c>
      <c r="AE199" s="3070">
        <v>0</v>
      </c>
      <c r="AI199" s="3070" t="s">
        <v>3227</v>
      </c>
      <c r="AJ199" s="3070">
        <v>0</v>
      </c>
      <c r="AK199" s="3070">
        <v>0</v>
      </c>
      <c r="AL199" s="3070">
        <v>0</v>
      </c>
      <c r="AM199" s="3070">
        <v>12290.91</v>
      </c>
      <c r="AN199" s="3070">
        <v>1494697</v>
      </c>
      <c r="AP199" s="3070">
        <v>1494697</v>
      </c>
      <c r="AQ199" s="3072">
        <v>45230</v>
      </c>
      <c r="AT199" s="3073">
        <v>45770</v>
      </c>
      <c r="AV199" s="3074">
        <v>3.41E+17</v>
      </c>
      <c r="AW199" s="3070" t="s">
        <v>4933</v>
      </c>
      <c r="AX199" s="3070" t="s">
        <v>4934</v>
      </c>
      <c r="AY199" s="3070" t="s">
        <v>4706</v>
      </c>
      <c r="BA199" s="3070" t="s">
        <v>4706</v>
      </c>
      <c r="BC199" s="3070" t="s">
        <v>4935</v>
      </c>
      <c r="BD199" s="3070" t="s">
        <v>3075</v>
      </c>
      <c r="BI199" s="3070" t="s">
        <v>3235</v>
      </c>
      <c r="BL199" s="3070" t="s">
        <v>4936</v>
      </c>
      <c r="BM199" s="3070" t="s">
        <v>4439</v>
      </c>
      <c r="BN199" s="3070">
        <v>704</v>
      </c>
      <c r="BR199" s="3070">
        <v>21</v>
      </c>
      <c r="BS199" s="3070" t="s">
        <v>3238</v>
      </c>
      <c r="BU199" s="3070" t="s">
        <v>4706</v>
      </c>
      <c r="BZ199" s="3073">
        <v>44215.820138888892</v>
      </c>
      <c r="CA199" s="3070">
        <v>12</v>
      </c>
      <c r="CD199" s="3070" t="s">
        <v>3239</v>
      </c>
      <c r="CF199" s="3070" t="s">
        <v>3091</v>
      </c>
      <c r="CH199" s="3070" t="s">
        <v>3240</v>
      </c>
      <c r="CI199" s="3070">
        <v>0</v>
      </c>
      <c r="CK199" s="3070" t="s">
        <v>4706</v>
      </c>
      <c r="CL199" s="3070" t="s">
        <v>4902</v>
      </c>
      <c r="CM199" s="3070">
        <v>1371281.65</v>
      </c>
      <c r="CV199" s="3070" t="s">
        <v>3494</v>
      </c>
      <c r="CW199" s="3070" t="s">
        <v>4937</v>
      </c>
      <c r="CX199" s="3070" t="s">
        <v>3267</v>
      </c>
      <c r="CZ199" s="3070">
        <v>213894.57</v>
      </c>
      <c r="DA199" s="3070">
        <v>159426.93</v>
      </c>
      <c r="DB199" s="3070">
        <v>0</v>
      </c>
      <c r="DC199" s="3070">
        <v>0</v>
      </c>
      <c r="DD199" s="3070">
        <v>3290547602</v>
      </c>
      <c r="DE199" s="3070">
        <v>2764253109</v>
      </c>
      <c r="DF199" s="3070">
        <v>1464966739</v>
      </c>
      <c r="DG199" s="3070">
        <v>14938370</v>
      </c>
      <c r="DH199" s="3070">
        <v>1284348000</v>
      </c>
      <c r="DI199" s="3070">
        <v>1278128000</v>
      </c>
      <c r="DJ199" s="3070">
        <v>6220000</v>
      </c>
      <c r="DK199" s="3070">
        <v>0</v>
      </c>
      <c r="DL199" s="3070">
        <v>0</v>
      </c>
      <c r="DM199" s="3070">
        <v>25491817.620000001</v>
      </c>
      <c r="DN199" s="3070">
        <v>2764253109</v>
      </c>
      <c r="DP199" s="3070">
        <v>2764253109</v>
      </c>
    </row>
    <row r="200" spans="1:120">
      <c r="A200" s="3070">
        <v>199</v>
      </c>
      <c r="B200" s="3070" t="s">
        <v>3224</v>
      </c>
      <c r="C200" s="3070">
        <v>12</v>
      </c>
      <c r="E200" s="3070">
        <v>801</v>
      </c>
      <c r="F200" s="3070" t="s">
        <v>4938</v>
      </c>
      <c r="G200" s="3070" t="s">
        <v>4939</v>
      </c>
      <c r="H200" s="3070">
        <v>1544931</v>
      </c>
      <c r="I200" s="3070">
        <v>1544931</v>
      </c>
      <c r="J200" s="3070">
        <v>121.61</v>
      </c>
      <c r="K200" s="3070">
        <v>90.43</v>
      </c>
      <c r="L200" s="3070">
        <v>0</v>
      </c>
      <c r="M200" s="3070">
        <v>0</v>
      </c>
      <c r="N200" s="3070">
        <v>15244.44</v>
      </c>
      <c r="O200" s="3070">
        <v>1853876</v>
      </c>
      <c r="P200" s="3070">
        <v>12703.98</v>
      </c>
      <c r="Q200" s="3070">
        <v>1544931</v>
      </c>
      <c r="R200" s="3070" t="s">
        <v>3227</v>
      </c>
      <c r="S200" s="3070" t="s">
        <v>4940</v>
      </c>
      <c r="T200" s="3070" t="s">
        <v>3494</v>
      </c>
      <c r="V200" s="3070" t="s">
        <v>3230</v>
      </c>
      <c r="Y200" s="3070">
        <v>154493</v>
      </c>
      <c r="Z200" s="3070">
        <v>154493</v>
      </c>
      <c r="AA200" s="3070">
        <v>1544931</v>
      </c>
      <c r="AB200" s="3070">
        <v>0</v>
      </c>
      <c r="AC200" s="3070">
        <v>0</v>
      </c>
      <c r="AD200" s="3070">
        <v>0</v>
      </c>
      <c r="AE200" s="3070">
        <v>0</v>
      </c>
      <c r="AI200" s="3070" t="s">
        <v>3227</v>
      </c>
      <c r="AJ200" s="3070">
        <v>0</v>
      </c>
      <c r="AK200" s="3070">
        <v>0</v>
      </c>
      <c r="AL200" s="3070">
        <v>0</v>
      </c>
      <c r="AM200" s="3070">
        <v>12703.98</v>
      </c>
      <c r="AN200" s="3070">
        <v>1544931</v>
      </c>
      <c r="AP200" s="3070">
        <v>1544931</v>
      </c>
      <c r="AQ200" s="3072">
        <v>45230</v>
      </c>
      <c r="AT200" s="3073">
        <v>45770</v>
      </c>
      <c r="AV200" s="3074">
        <v>3.21E+17</v>
      </c>
      <c r="AW200" s="3070" t="s">
        <v>4941</v>
      </c>
      <c r="AX200" s="3070" t="s">
        <v>4942</v>
      </c>
      <c r="AY200" s="3070" t="s">
        <v>3981</v>
      </c>
      <c r="BA200" s="3070" t="s">
        <v>3981</v>
      </c>
      <c r="BC200" s="3070" t="s">
        <v>4943</v>
      </c>
      <c r="BD200" s="3070" t="s">
        <v>3075</v>
      </c>
      <c r="BI200" s="3070" t="s">
        <v>3235</v>
      </c>
      <c r="BL200" s="3070" t="s">
        <v>4944</v>
      </c>
      <c r="BM200" s="3070" t="s">
        <v>4439</v>
      </c>
      <c r="BN200" s="3070">
        <v>801</v>
      </c>
      <c r="BR200" s="3070">
        <v>16</v>
      </c>
      <c r="BS200" s="3070" t="s">
        <v>3238</v>
      </c>
      <c r="BU200" s="3070" t="s">
        <v>3981</v>
      </c>
      <c r="BZ200" s="3073">
        <v>44201.70416666667</v>
      </c>
      <c r="CA200" s="3070">
        <v>12</v>
      </c>
      <c r="CD200" s="3070" t="s">
        <v>3239</v>
      </c>
      <c r="CF200" s="3070" t="s">
        <v>3091</v>
      </c>
      <c r="CH200" s="3070" t="s">
        <v>3240</v>
      </c>
      <c r="CI200" s="3070">
        <v>0</v>
      </c>
      <c r="CK200" s="3070" t="s">
        <v>3986</v>
      </c>
      <c r="CL200" s="3070" t="s">
        <v>3986</v>
      </c>
      <c r="CM200" s="3070">
        <v>1417367.89</v>
      </c>
      <c r="CV200" s="3070" t="s">
        <v>3494</v>
      </c>
      <c r="CW200" s="3070" t="s">
        <v>4945</v>
      </c>
      <c r="CZ200" s="3070">
        <v>213894.57</v>
      </c>
      <c r="DA200" s="3070">
        <v>159426.93</v>
      </c>
      <c r="DB200" s="3070">
        <v>0</v>
      </c>
      <c r="DC200" s="3070">
        <v>0</v>
      </c>
      <c r="DD200" s="3070">
        <v>3290547602</v>
      </c>
      <c r="DE200" s="3070">
        <v>2764253109</v>
      </c>
      <c r="DF200" s="3070">
        <v>1464966739</v>
      </c>
      <c r="DG200" s="3070">
        <v>14938370</v>
      </c>
      <c r="DH200" s="3070">
        <v>1284348000</v>
      </c>
      <c r="DI200" s="3070">
        <v>1278128000</v>
      </c>
      <c r="DJ200" s="3070">
        <v>6220000</v>
      </c>
      <c r="DK200" s="3070">
        <v>0</v>
      </c>
      <c r="DL200" s="3070">
        <v>0</v>
      </c>
      <c r="DM200" s="3070">
        <v>25491817.620000001</v>
      </c>
      <c r="DN200" s="3070">
        <v>2764253109</v>
      </c>
      <c r="DP200" s="3070">
        <v>2764253109</v>
      </c>
    </row>
    <row r="201" spans="1:120">
      <c r="A201" s="3070">
        <v>200</v>
      </c>
      <c r="B201" s="3070" t="s">
        <v>3224</v>
      </c>
      <c r="C201" s="3070">
        <v>12</v>
      </c>
      <c r="E201" s="3070">
        <v>802</v>
      </c>
      <c r="F201" s="3070" t="s">
        <v>4946</v>
      </c>
      <c r="G201" s="3070" t="s">
        <v>4947</v>
      </c>
      <c r="H201" s="3070">
        <v>1260023</v>
      </c>
      <c r="I201" s="3070">
        <v>1260023</v>
      </c>
      <c r="J201" s="3070">
        <v>101.47</v>
      </c>
      <c r="K201" s="3070">
        <v>75.45</v>
      </c>
      <c r="L201" s="3070">
        <v>0</v>
      </c>
      <c r="M201" s="3070">
        <v>0</v>
      </c>
      <c r="N201" s="3070">
        <v>15344.44</v>
      </c>
      <c r="O201" s="3070">
        <v>1557000</v>
      </c>
      <c r="P201" s="3070">
        <v>12417.69</v>
      </c>
      <c r="Q201" s="3070">
        <v>1260023</v>
      </c>
      <c r="R201" s="3070" t="s">
        <v>3227</v>
      </c>
      <c r="S201" s="3070" t="s">
        <v>4948</v>
      </c>
      <c r="T201" s="3070" t="s">
        <v>3246</v>
      </c>
      <c r="U201" s="3070" t="s">
        <v>3279</v>
      </c>
      <c r="V201" s="3070" t="s">
        <v>3230</v>
      </c>
      <c r="Y201" s="3070">
        <v>760023</v>
      </c>
      <c r="Z201" s="3070">
        <v>760023</v>
      </c>
      <c r="AA201" s="3070">
        <v>760023</v>
      </c>
      <c r="AB201" s="3070">
        <v>0</v>
      </c>
      <c r="AC201" s="3070">
        <v>500000</v>
      </c>
      <c r="AD201" s="3070">
        <v>500000</v>
      </c>
      <c r="AE201" s="3070">
        <v>0</v>
      </c>
      <c r="AI201" s="3070" t="s">
        <v>3227</v>
      </c>
      <c r="AJ201" s="3070">
        <v>0</v>
      </c>
      <c r="AK201" s="3070">
        <v>0</v>
      </c>
      <c r="AL201" s="3070">
        <v>0</v>
      </c>
      <c r="AM201" s="3070">
        <v>12417.69</v>
      </c>
      <c r="AN201" s="3070">
        <v>1260023</v>
      </c>
      <c r="AP201" s="3070">
        <v>1260023</v>
      </c>
      <c r="AQ201" s="3072">
        <v>45230</v>
      </c>
      <c r="AT201" s="3073">
        <v>45770</v>
      </c>
      <c r="AV201" s="3074">
        <v>3.21E+17</v>
      </c>
      <c r="AW201" s="3070" t="s">
        <v>4949</v>
      </c>
      <c r="AX201" s="3070" t="s">
        <v>4950</v>
      </c>
      <c r="AY201" s="3070" t="s">
        <v>3760</v>
      </c>
      <c r="BC201" s="3070" t="s">
        <v>3284</v>
      </c>
      <c r="BD201" s="3070" t="s">
        <v>3077</v>
      </c>
      <c r="BI201" s="3070" t="s">
        <v>3235</v>
      </c>
      <c r="BJ201" s="3070" t="s">
        <v>3338</v>
      </c>
      <c r="BL201" s="3070" t="s">
        <v>4951</v>
      </c>
      <c r="BM201" s="3070" t="s">
        <v>4439</v>
      </c>
      <c r="BN201" s="3070">
        <v>802</v>
      </c>
      <c r="BO201" s="3070" t="s">
        <v>3253</v>
      </c>
      <c r="BR201" s="3070">
        <v>422</v>
      </c>
      <c r="BS201" s="3070" t="s">
        <v>3238</v>
      </c>
      <c r="BZ201" s="3073">
        <v>44142.627083333333</v>
      </c>
      <c r="CA201" s="3070">
        <v>12</v>
      </c>
      <c r="CD201" s="3070" t="s">
        <v>3239</v>
      </c>
      <c r="CF201" s="3070" t="s">
        <v>3091</v>
      </c>
      <c r="CH201" s="3070" t="s">
        <v>3240</v>
      </c>
      <c r="CI201" s="3070">
        <v>0</v>
      </c>
      <c r="CK201" s="3070" t="s">
        <v>3760</v>
      </c>
      <c r="CL201" s="3070" t="s">
        <v>3760</v>
      </c>
      <c r="CM201" s="3070">
        <v>1155984.3999999999</v>
      </c>
      <c r="CV201" s="3070" t="s">
        <v>3246</v>
      </c>
      <c r="CW201" s="3070" t="s">
        <v>4952</v>
      </c>
      <c r="CZ201" s="3070">
        <v>213894.57</v>
      </c>
      <c r="DA201" s="3070">
        <v>159426.93</v>
      </c>
      <c r="DB201" s="3070">
        <v>0</v>
      </c>
      <c r="DC201" s="3070">
        <v>0</v>
      </c>
      <c r="DD201" s="3070">
        <v>3290547602</v>
      </c>
      <c r="DE201" s="3070">
        <v>2764253109</v>
      </c>
      <c r="DF201" s="3070">
        <v>1464966739</v>
      </c>
      <c r="DG201" s="3070">
        <v>14938370</v>
      </c>
      <c r="DH201" s="3070">
        <v>1284348000</v>
      </c>
      <c r="DI201" s="3070">
        <v>1278128000</v>
      </c>
      <c r="DJ201" s="3070">
        <v>6220000</v>
      </c>
      <c r="DK201" s="3070">
        <v>0</v>
      </c>
      <c r="DL201" s="3070">
        <v>0</v>
      </c>
      <c r="DM201" s="3070">
        <v>25491817.620000001</v>
      </c>
      <c r="DN201" s="3070">
        <v>2764253109</v>
      </c>
      <c r="DP201" s="3070">
        <v>2764253109</v>
      </c>
    </row>
    <row r="202" spans="1:120">
      <c r="A202" s="3070">
        <v>201</v>
      </c>
      <c r="B202" s="3070" t="s">
        <v>3224</v>
      </c>
      <c r="C202" s="3070">
        <v>12</v>
      </c>
      <c r="E202" s="3070">
        <v>803</v>
      </c>
      <c r="F202" s="3070" t="s">
        <v>4953</v>
      </c>
      <c r="G202" s="3070" t="s">
        <v>4954</v>
      </c>
      <c r="H202" s="3070">
        <v>1260023</v>
      </c>
      <c r="I202" s="3070">
        <v>1260023</v>
      </c>
      <c r="J202" s="3070">
        <v>101.47</v>
      </c>
      <c r="K202" s="3070">
        <v>75.45</v>
      </c>
      <c r="L202" s="3070">
        <v>0</v>
      </c>
      <c r="M202" s="3070">
        <v>0</v>
      </c>
      <c r="N202" s="3070">
        <v>15344.44</v>
      </c>
      <c r="O202" s="3070">
        <v>1557000</v>
      </c>
      <c r="P202" s="3070">
        <v>12417.69</v>
      </c>
      <c r="Q202" s="3070">
        <v>1260023</v>
      </c>
      <c r="R202" s="3070" t="s">
        <v>3227</v>
      </c>
      <c r="S202" s="3070" t="s">
        <v>4955</v>
      </c>
      <c r="T202" s="3070" t="s">
        <v>3246</v>
      </c>
      <c r="U202" s="3070" t="s">
        <v>3539</v>
      </c>
      <c r="V202" s="3070" t="s">
        <v>3230</v>
      </c>
      <c r="Y202" s="3070">
        <v>810023</v>
      </c>
      <c r="Z202" s="3070">
        <v>810023</v>
      </c>
      <c r="AA202" s="3070">
        <v>810023</v>
      </c>
      <c r="AB202" s="3070">
        <v>0</v>
      </c>
      <c r="AC202" s="3070">
        <v>450000</v>
      </c>
      <c r="AD202" s="3070">
        <v>450000</v>
      </c>
      <c r="AE202" s="3070">
        <v>0</v>
      </c>
      <c r="AI202" s="3070" t="s">
        <v>3227</v>
      </c>
      <c r="AJ202" s="3070">
        <v>0</v>
      </c>
      <c r="AK202" s="3070">
        <v>0</v>
      </c>
      <c r="AL202" s="3070">
        <v>0</v>
      </c>
      <c r="AM202" s="3070">
        <v>12417.69</v>
      </c>
      <c r="AN202" s="3070">
        <v>1260023</v>
      </c>
      <c r="AP202" s="3070">
        <v>1260023</v>
      </c>
      <c r="AQ202" s="3072">
        <v>45230</v>
      </c>
      <c r="AT202" s="3073">
        <v>45770</v>
      </c>
      <c r="AV202" s="3070" t="s">
        <v>4956</v>
      </c>
      <c r="AW202" s="3070" t="s">
        <v>4957</v>
      </c>
      <c r="AX202" s="3070" t="s">
        <v>4958</v>
      </c>
      <c r="AY202" s="3070" t="s">
        <v>3419</v>
      </c>
      <c r="BC202" s="3070" t="s">
        <v>3251</v>
      </c>
      <c r="BD202" s="3070" t="s">
        <v>3077</v>
      </c>
      <c r="BI202" s="3070" t="s">
        <v>3235</v>
      </c>
      <c r="BJ202" s="3070" t="s">
        <v>3338</v>
      </c>
      <c r="BL202" s="3070" t="s">
        <v>4959</v>
      </c>
      <c r="BM202" s="3070" t="s">
        <v>4439</v>
      </c>
      <c r="BN202" s="3070">
        <v>803</v>
      </c>
      <c r="BO202" s="3070" t="s">
        <v>3253</v>
      </c>
      <c r="BR202" s="3070">
        <v>3</v>
      </c>
      <c r="BS202" s="3070" t="s">
        <v>3238</v>
      </c>
      <c r="BZ202" s="3073">
        <v>44142.634722222225</v>
      </c>
      <c r="CA202" s="3070">
        <v>12</v>
      </c>
      <c r="CD202" s="3070" t="s">
        <v>3239</v>
      </c>
      <c r="CF202" s="3070" t="s">
        <v>3091</v>
      </c>
      <c r="CH202" s="3070" t="s">
        <v>3240</v>
      </c>
      <c r="CI202" s="3070">
        <v>0</v>
      </c>
      <c r="CK202" s="3070" t="s">
        <v>3419</v>
      </c>
      <c r="CL202" s="3070" t="s">
        <v>3419</v>
      </c>
      <c r="CM202" s="3070">
        <v>1155984.3999999999</v>
      </c>
      <c r="CV202" s="3070" t="s">
        <v>3246</v>
      </c>
      <c r="CW202" s="3070" t="s">
        <v>4960</v>
      </c>
      <c r="CZ202" s="3070">
        <v>213894.57</v>
      </c>
      <c r="DA202" s="3070">
        <v>159426.93</v>
      </c>
      <c r="DB202" s="3070">
        <v>0</v>
      </c>
      <c r="DC202" s="3070">
        <v>0</v>
      </c>
      <c r="DD202" s="3070">
        <v>3290547602</v>
      </c>
      <c r="DE202" s="3070">
        <v>2764253109</v>
      </c>
      <c r="DF202" s="3070">
        <v>1464966739</v>
      </c>
      <c r="DG202" s="3070">
        <v>14938370</v>
      </c>
      <c r="DH202" s="3070">
        <v>1284348000</v>
      </c>
      <c r="DI202" s="3070">
        <v>1278128000</v>
      </c>
      <c r="DJ202" s="3070">
        <v>6220000</v>
      </c>
      <c r="DK202" s="3070">
        <v>0</v>
      </c>
      <c r="DL202" s="3070">
        <v>0</v>
      </c>
      <c r="DM202" s="3070">
        <v>25491817.620000001</v>
      </c>
      <c r="DN202" s="3070">
        <v>2764253109</v>
      </c>
      <c r="DP202" s="3070">
        <v>2764253109</v>
      </c>
    </row>
    <row r="203" spans="1:120">
      <c r="A203" s="3070">
        <v>202</v>
      </c>
      <c r="B203" s="3070" t="s">
        <v>3224</v>
      </c>
      <c r="C203" s="3070">
        <v>12</v>
      </c>
      <c r="E203" s="3070">
        <v>804</v>
      </c>
      <c r="F203" s="3070" t="s">
        <v>4961</v>
      </c>
      <c r="G203" s="3070" t="s">
        <v>4962</v>
      </c>
      <c r="H203" s="3070">
        <v>1486994</v>
      </c>
      <c r="I203" s="3070">
        <v>1486994</v>
      </c>
      <c r="J203" s="3070">
        <v>121.61</v>
      </c>
      <c r="K203" s="3070">
        <v>90.43</v>
      </c>
      <c r="L203" s="3070">
        <v>0</v>
      </c>
      <c r="M203" s="3070">
        <v>0</v>
      </c>
      <c r="N203" s="3070">
        <v>15144.44</v>
      </c>
      <c r="O203" s="3070">
        <v>1841715</v>
      </c>
      <c r="P203" s="3070">
        <v>12227.56</v>
      </c>
      <c r="Q203" s="3070">
        <v>1486994</v>
      </c>
      <c r="R203" s="3070" t="s">
        <v>3227</v>
      </c>
      <c r="S203" s="3070" t="s">
        <v>4963</v>
      </c>
      <c r="T203" s="3070" t="s">
        <v>3246</v>
      </c>
      <c r="U203" s="3070" t="s">
        <v>3467</v>
      </c>
      <c r="V203" s="3070" t="s">
        <v>3230</v>
      </c>
      <c r="Y203" s="3070">
        <v>446994</v>
      </c>
      <c r="Z203" s="3070">
        <v>446994</v>
      </c>
      <c r="AA203" s="3070">
        <v>446994</v>
      </c>
      <c r="AB203" s="3070">
        <v>0</v>
      </c>
      <c r="AC203" s="3070">
        <v>1040000</v>
      </c>
      <c r="AD203" s="3070">
        <v>1040000</v>
      </c>
      <c r="AE203" s="3070">
        <v>0</v>
      </c>
      <c r="AI203" s="3070" t="s">
        <v>3227</v>
      </c>
      <c r="AJ203" s="3070">
        <v>0</v>
      </c>
      <c r="AK203" s="3070">
        <v>0</v>
      </c>
      <c r="AL203" s="3070">
        <v>0</v>
      </c>
      <c r="AM203" s="3070">
        <v>12227.56</v>
      </c>
      <c r="AN203" s="3070">
        <v>1486994</v>
      </c>
      <c r="AP203" s="3070">
        <v>1486994</v>
      </c>
      <c r="AQ203" s="3072">
        <v>45230</v>
      </c>
      <c r="AT203" s="3073">
        <v>45770</v>
      </c>
      <c r="AV203" s="3070" t="s">
        <v>4964</v>
      </c>
      <c r="AW203" s="3070" t="s">
        <v>4965</v>
      </c>
      <c r="AX203" s="3070" t="s">
        <v>4966</v>
      </c>
      <c r="AY203" s="3070" t="s">
        <v>3273</v>
      </c>
      <c r="BC203" s="3070" t="s">
        <v>3284</v>
      </c>
      <c r="BD203" s="3070" t="s">
        <v>3075</v>
      </c>
      <c r="BI203" s="3070" t="s">
        <v>3235</v>
      </c>
      <c r="BJ203" s="3070" t="s">
        <v>3682</v>
      </c>
      <c r="BL203" s="3070" t="s">
        <v>4967</v>
      </c>
      <c r="BM203" s="3070" t="s">
        <v>4439</v>
      </c>
      <c r="BN203" s="3070">
        <v>804</v>
      </c>
      <c r="BO203" s="3070" t="s">
        <v>3253</v>
      </c>
      <c r="BR203" s="3070">
        <v>276</v>
      </c>
      <c r="BS203" s="3070" t="s">
        <v>3238</v>
      </c>
      <c r="BZ203" s="3073">
        <v>44142.761805555558</v>
      </c>
      <c r="CA203" s="3070">
        <v>12</v>
      </c>
      <c r="CD203" s="3070" t="s">
        <v>3239</v>
      </c>
      <c r="CF203" s="3070" t="s">
        <v>3091</v>
      </c>
      <c r="CH203" s="3070" t="s">
        <v>3240</v>
      </c>
      <c r="CI203" s="3070">
        <v>0</v>
      </c>
      <c r="CK203" s="3070" t="s">
        <v>3273</v>
      </c>
      <c r="CL203" s="3070" t="s">
        <v>3273</v>
      </c>
      <c r="CM203" s="3070">
        <v>1364214.68</v>
      </c>
      <c r="CV203" s="3070" t="s">
        <v>3246</v>
      </c>
      <c r="CW203" s="3070" t="s">
        <v>4968</v>
      </c>
      <c r="CX203" s="3070" t="s">
        <v>3311</v>
      </c>
      <c r="CZ203" s="3070">
        <v>213894.57</v>
      </c>
      <c r="DA203" s="3070">
        <v>159426.93</v>
      </c>
      <c r="DB203" s="3070">
        <v>0</v>
      </c>
      <c r="DC203" s="3070">
        <v>0</v>
      </c>
      <c r="DD203" s="3070">
        <v>3290547602</v>
      </c>
      <c r="DE203" s="3070">
        <v>2764253109</v>
      </c>
      <c r="DF203" s="3070">
        <v>1464966739</v>
      </c>
      <c r="DG203" s="3070">
        <v>14938370</v>
      </c>
      <c r="DH203" s="3070">
        <v>1284348000</v>
      </c>
      <c r="DI203" s="3070">
        <v>1278128000</v>
      </c>
      <c r="DJ203" s="3070">
        <v>6220000</v>
      </c>
      <c r="DK203" s="3070">
        <v>0</v>
      </c>
      <c r="DL203" s="3070">
        <v>0</v>
      </c>
      <c r="DM203" s="3070">
        <v>25491817.620000001</v>
      </c>
      <c r="DN203" s="3070">
        <v>2764253109</v>
      </c>
      <c r="DP203" s="3070">
        <v>2764253109</v>
      </c>
    </row>
    <row r="204" spans="1:120">
      <c r="A204" s="3070">
        <v>203</v>
      </c>
      <c r="B204" s="3070" t="s">
        <v>3224</v>
      </c>
      <c r="C204" s="3070">
        <v>12</v>
      </c>
      <c r="E204" s="3070">
        <v>901</v>
      </c>
      <c r="F204" s="3070" t="s">
        <v>4969</v>
      </c>
      <c r="G204" s="3070" t="s">
        <v>4970</v>
      </c>
      <c r="H204" s="3070">
        <v>1504335</v>
      </c>
      <c r="I204" s="3070">
        <v>1504335</v>
      </c>
      <c r="J204" s="3070">
        <v>121.61</v>
      </c>
      <c r="K204" s="3070">
        <v>90.43</v>
      </c>
      <c r="L204" s="3070">
        <v>0</v>
      </c>
      <c r="M204" s="3070">
        <v>0</v>
      </c>
      <c r="N204" s="3070">
        <v>15294.44</v>
      </c>
      <c r="O204" s="3070">
        <v>1859957</v>
      </c>
      <c r="P204" s="3070">
        <v>12370.16</v>
      </c>
      <c r="Q204" s="3070">
        <v>1504335</v>
      </c>
      <c r="R204" s="3070" t="s">
        <v>3227</v>
      </c>
      <c r="S204" s="3070" t="s">
        <v>4971</v>
      </c>
      <c r="T204" s="3070" t="s">
        <v>3258</v>
      </c>
      <c r="U204" s="3070" t="s">
        <v>3259</v>
      </c>
      <c r="V204" s="3070" t="s">
        <v>3230</v>
      </c>
      <c r="Y204" s="3070">
        <v>454335</v>
      </c>
      <c r="Z204" s="3070">
        <v>454335</v>
      </c>
      <c r="AA204" s="3070">
        <v>454335</v>
      </c>
      <c r="AB204" s="3070">
        <v>0</v>
      </c>
      <c r="AC204" s="3070">
        <v>1050000</v>
      </c>
      <c r="AD204" s="3070">
        <v>1050000</v>
      </c>
      <c r="AE204" s="3070">
        <v>0</v>
      </c>
      <c r="AI204" s="3070" t="s">
        <v>3227</v>
      </c>
      <c r="AJ204" s="3070">
        <v>0</v>
      </c>
      <c r="AK204" s="3070">
        <v>0</v>
      </c>
      <c r="AL204" s="3070">
        <v>0</v>
      </c>
      <c r="AM204" s="3070">
        <v>12370.16</v>
      </c>
      <c r="AN204" s="3070">
        <v>1504335</v>
      </c>
      <c r="AP204" s="3070">
        <v>1504335</v>
      </c>
      <c r="AQ204" s="3072">
        <v>45230</v>
      </c>
      <c r="AT204" s="3073">
        <v>45770</v>
      </c>
      <c r="AV204" s="3074">
        <v>3.21E+17</v>
      </c>
      <c r="AW204" s="3070" t="s">
        <v>4972</v>
      </c>
      <c r="AX204" s="3070" t="s">
        <v>4973</v>
      </c>
      <c r="AY204" s="3070" t="s">
        <v>3497</v>
      </c>
      <c r="BC204" s="3070" t="s">
        <v>3263</v>
      </c>
      <c r="BD204" s="3070" t="s">
        <v>3075</v>
      </c>
      <c r="BI204" s="3070" t="s">
        <v>3235</v>
      </c>
      <c r="BL204" s="3070" t="s">
        <v>4974</v>
      </c>
      <c r="BM204" s="3070" t="s">
        <v>4439</v>
      </c>
      <c r="BN204" s="3070">
        <v>901</v>
      </c>
      <c r="BO204" s="3070" t="s">
        <v>3253</v>
      </c>
      <c r="BP204" s="3070" t="s">
        <v>3253</v>
      </c>
      <c r="BR204" s="3070">
        <v>297</v>
      </c>
      <c r="BS204" s="3070" t="s">
        <v>3238</v>
      </c>
      <c r="BZ204" s="3073">
        <v>44142.655555555553</v>
      </c>
      <c r="CA204" s="3070">
        <v>12</v>
      </c>
      <c r="CD204" s="3070" t="s">
        <v>3239</v>
      </c>
      <c r="CF204" s="3070" t="s">
        <v>3091</v>
      </c>
      <c r="CH204" s="3070" t="s">
        <v>3240</v>
      </c>
      <c r="CI204" s="3070">
        <v>0</v>
      </c>
      <c r="CJ204" s="3070" t="s">
        <v>3259</v>
      </c>
      <c r="CK204" s="3070" t="s">
        <v>3497</v>
      </c>
      <c r="CL204" s="3070" t="s">
        <v>3497</v>
      </c>
      <c r="CM204" s="3070">
        <v>1380123.85</v>
      </c>
      <c r="CV204" s="3070" t="s">
        <v>3258</v>
      </c>
      <c r="CW204" s="3070" t="s">
        <v>4975</v>
      </c>
      <c r="CX204" s="3070" t="s">
        <v>3267</v>
      </c>
      <c r="CZ204" s="3070">
        <v>213894.57</v>
      </c>
      <c r="DA204" s="3070">
        <v>159426.93</v>
      </c>
      <c r="DB204" s="3070">
        <v>0</v>
      </c>
      <c r="DC204" s="3070">
        <v>0</v>
      </c>
      <c r="DD204" s="3070">
        <v>3290547602</v>
      </c>
      <c r="DE204" s="3070">
        <v>2764253109</v>
      </c>
      <c r="DF204" s="3070">
        <v>1464966739</v>
      </c>
      <c r="DG204" s="3070">
        <v>14938370</v>
      </c>
      <c r="DH204" s="3070">
        <v>1284348000</v>
      </c>
      <c r="DI204" s="3070">
        <v>1278128000</v>
      </c>
      <c r="DJ204" s="3070">
        <v>6220000</v>
      </c>
      <c r="DK204" s="3070">
        <v>0</v>
      </c>
      <c r="DL204" s="3070">
        <v>0</v>
      </c>
      <c r="DM204" s="3070">
        <v>25491817.620000001</v>
      </c>
      <c r="DN204" s="3070">
        <v>2764253109</v>
      </c>
      <c r="DP204" s="3070">
        <v>2764253109</v>
      </c>
    </row>
    <row r="205" spans="1:120">
      <c r="A205" s="3070">
        <v>204</v>
      </c>
      <c r="B205" s="3070" t="s">
        <v>3224</v>
      </c>
      <c r="C205" s="3070">
        <v>12</v>
      </c>
      <c r="E205" s="3070">
        <v>902</v>
      </c>
      <c r="F205" s="3070" t="s">
        <v>4976</v>
      </c>
      <c r="G205" s="3070" t="s">
        <v>4977</v>
      </c>
      <c r="H205" s="3070">
        <v>1264846</v>
      </c>
      <c r="I205" s="3070">
        <v>1264846</v>
      </c>
      <c r="J205" s="3070">
        <v>101.47</v>
      </c>
      <c r="K205" s="3070">
        <v>75.45</v>
      </c>
      <c r="L205" s="3070">
        <v>0</v>
      </c>
      <c r="M205" s="3070">
        <v>0</v>
      </c>
      <c r="N205" s="3070">
        <v>15394.44</v>
      </c>
      <c r="O205" s="3070">
        <v>1562074</v>
      </c>
      <c r="P205" s="3070">
        <v>12465.22</v>
      </c>
      <c r="Q205" s="3070">
        <v>1264846</v>
      </c>
      <c r="R205" s="3070" t="s">
        <v>3227</v>
      </c>
      <c r="S205" s="3070" t="s">
        <v>4978</v>
      </c>
      <c r="T205" s="3070" t="s">
        <v>3246</v>
      </c>
      <c r="U205" s="3070" t="s">
        <v>3381</v>
      </c>
      <c r="V205" s="3070" t="s">
        <v>3230</v>
      </c>
      <c r="Y205" s="3070">
        <v>524846</v>
      </c>
      <c r="Z205" s="3070">
        <v>524846</v>
      </c>
      <c r="AA205" s="3070">
        <v>524846</v>
      </c>
      <c r="AB205" s="3070">
        <v>0</v>
      </c>
      <c r="AC205" s="3070">
        <v>740000</v>
      </c>
      <c r="AD205" s="3070">
        <v>740000</v>
      </c>
      <c r="AE205" s="3070">
        <v>0</v>
      </c>
      <c r="AI205" s="3070" t="s">
        <v>3227</v>
      </c>
      <c r="AJ205" s="3070">
        <v>0</v>
      </c>
      <c r="AK205" s="3070">
        <v>0</v>
      </c>
      <c r="AL205" s="3070">
        <v>0</v>
      </c>
      <c r="AM205" s="3070">
        <v>12465.22</v>
      </c>
      <c r="AN205" s="3070">
        <v>1264846</v>
      </c>
      <c r="AP205" s="3070">
        <v>1264846</v>
      </c>
      <c r="AQ205" s="3072">
        <v>45230</v>
      </c>
      <c r="AT205" s="3073">
        <v>45770</v>
      </c>
      <c r="AV205" s="3074">
        <v>3.21E+17</v>
      </c>
      <c r="AW205" s="3070" t="s">
        <v>4979</v>
      </c>
      <c r="AX205" s="3070" t="s">
        <v>4980</v>
      </c>
      <c r="AY205" s="3070" t="s">
        <v>3337</v>
      </c>
      <c r="BC205" s="3070" t="s">
        <v>3284</v>
      </c>
      <c r="BD205" s="3070" t="s">
        <v>3077</v>
      </c>
      <c r="BI205" s="3070" t="s">
        <v>3235</v>
      </c>
      <c r="BJ205" s="3070" t="s">
        <v>3296</v>
      </c>
      <c r="BL205" s="3070" t="s">
        <v>4981</v>
      </c>
      <c r="BM205" s="3070" t="s">
        <v>4439</v>
      </c>
      <c r="BN205" s="3070">
        <v>902</v>
      </c>
      <c r="BO205" s="3070" t="s">
        <v>3253</v>
      </c>
      <c r="BR205" s="3070">
        <v>247</v>
      </c>
      <c r="BS205" s="3070" t="s">
        <v>3238</v>
      </c>
      <c r="BZ205" s="3073">
        <v>44142.652777777781</v>
      </c>
      <c r="CA205" s="3070">
        <v>12</v>
      </c>
      <c r="CD205" s="3070" t="s">
        <v>3239</v>
      </c>
      <c r="CF205" s="3070" t="s">
        <v>3091</v>
      </c>
      <c r="CH205" s="3070" t="s">
        <v>3240</v>
      </c>
      <c r="CI205" s="3070">
        <v>0</v>
      </c>
      <c r="CK205" s="3070" t="s">
        <v>3337</v>
      </c>
      <c r="CL205" s="3070" t="s">
        <v>3337</v>
      </c>
      <c r="CM205" s="3070">
        <v>1160409.17</v>
      </c>
      <c r="CV205" s="3070" t="s">
        <v>3246</v>
      </c>
      <c r="CW205" s="3070" t="s">
        <v>4982</v>
      </c>
      <c r="CZ205" s="3070">
        <v>213894.57</v>
      </c>
      <c r="DA205" s="3070">
        <v>159426.93</v>
      </c>
      <c r="DB205" s="3070">
        <v>0</v>
      </c>
      <c r="DC205" s="3070">
        <v>0</v>
      </c>
      <c r="DD205" s="3070">
        <v>3290547602</v>
      </c>
      <c r="DE205" s="3070">
        <v>2764253109</v>
      </c>
      <c r="DF205" s="3070">
        <v>1464966739</v>
      </c>
      <c r="DG205" s="3070">
        <v>14938370</v>
      </c>
      <c r="DH205" s="3070">
        <v>1284348000</v>
      </c>
      <c r="DI205" s="3070">
        <v>1278128000</v>
      </c>
      <c r="DJ205" s="3070">
        <v>6220000</v>
      </c>
      <c r="DK205" s="3070">
        <v>0</v>
      </c>
      <c r="DL205" s="3070">
        <v>0</v>
      </c>
      <c r="DM205" s="3070">
        <v>25491817.620000001</v>
      </c>
      <c r="DN205" s="3070">
        <v>2764253109</v>
      </c>
      <c r="DP205" s="3070">
        <v>2764253109</v>
      </c>
    </row>
    <row r="206" spans="1:120">
      <c r="A206" s="3070">
        <v>205</v>
      </c>
      <c r="B206" s="3070" t="s">
        <v>3224</v>
      </c>
      <c r="C206" s="3070">
        <v>12</v>
      </c>
      <c r="E206" s="3070">
        <v>903</v>
      </c>
      <c r="F206" s="3070" t="s">
        <v>4983</v>
      </c>
      <c r="G206" s="3070" t="s">
        <v>4984</v>
      </c>
      <c r="H206" s="3070">
        <v>1264846</v>
      </c>
      <c r="I206" s="3070">
        <v>1264846</v>
      </c>
      <c r="J206" s="3070">
        <v>101.47</v>
      </c>
      <c r="K206" s="3070">
        <v>75.45</v>
      </c>
      <c r="L206" s="3070">
        <v>0</v>
      </c>
      <c r="M206" s="3070">
        <v>0</v>
      </c>
      <c r="N206" s="3070">
        <v>15394.44</v>
      </c>
      <c r="O206" s="3070">
        <v>1562074</v>
      </c>
      <c r="P206" s="3070">
        <v>12465.22</v>
      </c>
      <c r="Q206" s="3070">
        <v>1264846</v>
      </c>
      <c r="R206" s="3070" t="s">
        <v>3227</v>
      </c>
      <c r="S206" s="3070" t="s">
        <v>4985</v>
      </c>
      <c r="T206" s="3070" t="s">
        <v>3425</v>
      </c>
      <c r="V206" s="3070" t="s">
        <v>3230</v>
      </c>
      <c r="Y206" s="3070">
        <v>964846</v>
      </c>
      <c r="Z206" s="3070">
        <v>964846</v>
      </c>
      <c r="AA206" s="3070">
        <v>964846</v>
      </c>
      <c r="AB206" s="3070">
        <v>0</v>
      </c>
      <c r="AC206" s="3070">
        <v>300000</v>
      </c>
      <c r="AD206" s="3070">
        <v>300000</v>
      </c>
      <c r="AE206" s="3070">
        <v>0</v>
      </c>
      <c r="AI206" s="3070" t="s">
        <v>3227</v>
      </c>
      <c r="AJ206" s="3070">
        <v>0</v>
      </c>
      <c r="AK206" s="3070">
        <v>0</v>
      </c>
      <c r="AL206" s="3070">
        <v>0</v>
      </c>
      <c r="AM206" s="3070">
        <v>12465.22</v>
      </c>
      <c r="AN206" s="3070">
        <v>1264846</v>
      </c>
      <c r="AP206" s="3070">
        <v>1264846</v>
      </c>
      <c r="AQ206" s="3072">
        <v>45230</v>
      </c>
      <c r="AT206" s="3073">
        <v>45770</v>
      </c>
      <c r="AV206" s="3070" t="s">
        <v>4986</v>
      </c>
      <c r="AW206" s="3070" t="s">
        <v>4987</v>
      </c>
      <c r="AX206" s="3070" t="s">
        <v>4988</v>
      </c>
      <c r="AY206" s="3070" t="s">
        <v>3699</v>
      </c>
      <c r="BC206" s="3070" t="s">
        <v>3461</v>
      </c>
      <c r="BD206" s="3070" t="s">
        <v>3077</v>
      </c>
      <c r="BI206" s="3070" t="s">
        <v>3235</v>
      </c>
      <c r="BJ206" s="3070" t="s">
        <v>3682</v>
      </c>
      <c r="BL206" s="3070" t="s">
        <v>4989</v>
      </c>
      <c r="BM206" s="3070" t="s">
        <v>4439</v>
      </c>
      <c r="BN206" s="3070">
        <v>903</v>
      </c>
      <c r="BP206" s="3070" t="s">
        <v>3253</v>
      </c>
      <c r="BR206" s="3070">
        <v>545</v>
      </c>
      <c r="BS206" s="3070" t="s">
        <v>3238</v>
      </c>
      <c r="BZ206" s="3073">
        <v>44144.550694444442</v>
      </c>
      <c r="CA206" s="3070">
        <v>12</v>
      </c>
      <c r="CD206" s="3070" t="s">
        <v>3239</v>
      </c>
      <c r="CF206" s="3070" t="s">
        <v>3091</v>
      </c>
      <c r="CH206" s="3070" t="s">
        <v>3240</v>
      </c>
      <c r="CI206" s="3070">
        <v>0</v>
      </c>
      <c r="CJ206" s="3070" t="s">
        <v>3259</v>
      </c>
      <c r="CK206" s="3070" t="s">
        <v>3699</v>
      </c>
      <c r="CL206" s="3070" t="s">
        <v>3699</v>
      </c>
      <c r="CM206" s="3070">
        <v>1160409.17</v>
      </c>
      <c r="CV206" s="3070" t="s">
        <v>3425</v>
      </c>
      <c r="CW206" s="3070" t="s">
        <v>4990</v>
      </c>
      <c r="CX206" s="3070" t="s">
        <v>3510</v>
      </c>
      <c r="CZ206" s="3070">
        <v>213894.57</v>
      </c>
      <c r="DA206" s="3070">
        <v>159426.93</v>
      </c>
      <c r="DB206" s="3070">
        <v>0</v>
      </c>
      <c r="DC206" s="3070">
        <v>0</v>
      </c>
      <c r="DD206" s="3070">
        <v>3290547602</v>
      </c>
      <c r="DE206" s="3070">
        <v>2764253109</v>
      </c>
      <c r="DF206" s="3070">
        <v>1464966739</v>
      </c>
      <c r="DG206" s="3070">
        <v>14938370</v>
      </c>
      <c r="DH206" s="3070">
        <v>1284348000</v>
      </c>
      <c r="DI206" s="3070">
        <v>1278128000</v>
      </c>
      <c r="DJ206" s="3070">
        <v>6220000</v>
      </c>
      <c r="DK206" s="3070">
        <v>0</v>
      </c>
      <c r="DL206" s="3070">
        <v>0</v>
      </c>
      <c r="DM206" s="3070">
        <v>25491817.620000001</v>
      </c>
      <c r="DN206" s="3070">
        <v>2764253109</v>
      </c>
      <c r="DP206" s="3070">
        <v>2764253109</v>
      </c>
    </row>
    <row r="207" spans="1:120">
      <c r="A207" s="3070">
        <v>206</v>
      </c>
      <c r="B207" s="3070" t="s">
        <v>3224</v>
      </c>
      <c r="C207" s="3070">
        <v>12</v>
      </c>
      <c r="E207" s="3070">
        <v>904</v>
      </c>
      <c r="F207" s="3070" t="s">
        <v>4991</v>
      </c>
      <c r="G207" s="3070" t="s">
        <v>4992</v>
      </c>
      <c r="H207" s="3070">
        <v>1507005</v>
      </c>
      <c r="I207" s="3070">
        <v>1507005</v>
      </c>
      <c r="J207" s="3070">
        <v>121.61</v>
      </c>
      <c r="K207" s="3070">
        <v>90.43</v>
      </c>
      <c r="L207" s="3070">
        <v>0</v>
      </c>
      <c r="M207" s="3070">
        <v>0</v>
      </c>
      <c r="N207" s="3070">
        <v>15194.44</v>
      </c>
      <c r="O207" s="3070">
        <v>1847796</v>
      </c>
      <c r="P207" s="3070">
        <v>12392.11</v>
      </c>
      <c r="Q207" s="3070">
        <v>1507005</v>
      </c>
      <c r="R207" s="3070" t="s">
        <v>3227</v>
      </c>
      <c r="S207" s="3070" t="s">
        <v>4993</v>
      </c>
      <c r="T207" s="3070" t="s">
        <v>3258</v>
      </c>
      <c r="U207" s="3070" t="s">
        <v>3259</v>
      </c>
      <c r="V207" s="3070" t="s">
        <v>3230</v>
      </c>
      <c r="Y207" s="3070">
        <v>577005</v>
      </c>
      <c r="Z207" s="3070">
        <v>577005</v>
      </c>
      <c r="AA207" s="3070">
        <v>577005</v>
      </c>
      <c r="AB207" s="3070">
        <v>0</v>
      </c>
      <c r="AC207" s="3070">
        <v>930000</v>
      </c>
      <c r="AD207" s="3070">
        <v>930000</v>
      </c>
      <c r="AE207" s="3070">
        <v>0</v>
      </c>
      <c r="AI207" s="3070" t="s">
        <v>3227</v>
      </c>
      <c r="AJ207" s="3070">
        <v>0</v>
      </c>
      <c r="AK207" s="3070">
        <v>0</v>
      </c>
      <c r="AL207" s="3070">
        <v>0</v>
      </c>
      <c r="AM207" s="3070">
        <v>12392.11</v>
      </c>
      <c r="AN207" s="3070">
        <v>1507005</v>
      </c>
      <c r="AP207" s="3070">
        <v>1507005</v>
      </c>
      <c r="AQ207" s="3072">
        <v>45230</v>
      </c>
      <c r="AT207" s="3073">
        <v>45770</v>
      </c>
      <c r="AV207" s="3074">
        <v>3.21E+17</v>
      </c>
      <c r="AW207" s="3070" t="s">
        <v>4994</v>
      </c>
      <c r="AX207" s="3070" t="s">
        <v>4995</v>
      </c>
      <c r="AY207" s="3070" t="s">
        <v>3587</v>
      </c>
      <c r="BA207" s="3070" t="s">
        <v>3587</v>
      </c>
      <c r="BC207" s="3070" t="s">
        <v>4996</v>
      </c>
      <c r="BD207" s="3070" t="s">
        <v>3075</v>
      </c>
      <c r="BI207" s="3070" t="s">
        <v>3235</v>
      </c>
      <c r="BL207" s="3070" t="s">
        <v>4997</v>
      </c>
      <c r="BM207" s="3070" t="s">
        <v>4439</v>
      </c>
      <c r="BN207" s="3070">
        <v>904</v>
      </c>
      <c r="BO207" s="3070" t="s">
        <v>3253</v>
      </c>
      <c r="BP207" s="3070" t="s">
        <v>3253</v>
      </c>
      <c r="BR207" s="3070">
        <v>19</v>
      </c>
      <c r="BS207" s="3070" t="s">
        <v>3238</v>
      </c>
      <c r="BU207" s="3070" t="s">
        <v>3587</v>
      </c>
      <c r="BZ207" s="3073">
        <v>44211.486111111109</v>
      </c>
      <c r="CA207" s="3070">
        <v>12</v>
      </c>
      <c r="CD207" s="3070" t="s">
        <v>3239</v>
      </c>
      <c r="CF207" s="3070" t="s">
        <v>3091</v>
      </c>
      <c r="CH207" s="3070" t="s">
        <v>3240</v>
      </c>
      <c r="CI207" s="3070">
        <v>0</v>
      </c>
      <c r="CJ207" s="3070" t="s">
        <v>3259</v>
      </c>
      <c r="CK207" s="3070" t="s">
        <v>3590</v>
      </c>
      <c r="CL207" s="3070" t="s">
        <v>3590</v>
      </c>
      <c r="CM207" s="3070">
        <v>1382573.39</v>
      </c>
      <c r="CV207" s="3070" t="s">
        <v>3258</v>
      </c>
      <c r="CW207" s="3070" t="s">
        <v>4998</v>
      </c>
      <c r="CZ207" s="3070">
        <v>213894.57</v>
      </c>
      <c r="DA207" s="3070">
        <v>159426.93</v>
      </c>
      <c r="DB207" s="3070">
        <v>0</v>
      </c>
      <c r="DC207" s="3070">
        <v>0</v>
      </c>
      <c r="DD207" s="3070">
        <v>3290547602</v>
      </c>
      <c r="DE207" s="3070">
        <v>2764253109</v>
      </c>
      <c r="DF207" s="3070">
        <v>1464966739</v>
      </c>
      <c r="DG207" s="3070">
        <v>14938370</v>
      </c>
      <c r="DH207" s="3070">
        <v>1284348000</v>
      </c>
      <c r="DI207" s="3070">
        <v>1278128000</v>
      </c>
      <c r="DJ207" s="3070">
        <v>6220000</v>
      </c>
      <c r="DK207" s="3070">
        <v>0</v>
      </c>
      <c r="DL207" s="3070">
        <v>0</v>
      </c>
      <c r="DM207" s="3070">
        <v>25491817.620000001</v>
      </c>
      <c r="DN207" s="3070">
        <v>2764253109</v>
      </c>
      <c r="DP207" s="3070">
        <v>2764253109</v>
      </c>
    </row>
    <row r="208" spans="1:120">
      <c r="A208" s="3070">
        <v>207</v>
      </c>
      <c r="B208" s="3070" t="s">
        <v>3224</v>
      </c>
      <c r="C208" s="3070">
        <v>2</v>
      </c>
      <c r="E208" s="3070">
        <v>1001</v>
      </c>
      <c r="F208" s="3070" t="s">
        <v>4999</v>
      </c>
      <c r="G208" s="3070" t="s">
        <v>5000</v>
      </c>
      <c r="H208" s="3070">
        <v>1517641</v>
      </c>
      <c r="I208" s="3070">
        <v>1517641</v>
      </c>
      <c r="J208" s="3070">
        <v>121.75</v>
      </c>
      <c r="K208" s="3070">
        <v>90.43</v>
      </c>
      <c r="L208" s="3070">
        <v>0</v>
      </c>
      <c r="M208" s="3070">
        <v>0</v>
      </c>
      <c r="N208" s="3070">
        <v>15394.44</v>
      </c>
      <c r="O208" s="3070">
        <v>1874273</v>
      </c>
      <c r="P208" s="3070">
        <v>12465.22</v>
      </c>
      <c r="Q208" s="3070">
        <v>1517641</v>
      </c>
      <c r="R208" s="3070" t="s">
        <v>3227</v>
      </c>
      <c r="S208" s="3070" t="s">
        <v>5001</v>
      </c>
      <c r="T208" s="3070" t="s">
        <v>3246</v>
      </c>
      <c r="U208" s="3070" t="s">
        <v>3467</v>
      </c>
      <c r="V208" s="3070" t="s">
        <v>3230</v>
      </c>
      <c r="Y208" s="3070">
        <v>457641</v>
      </c>
      <c r="Z208" s="3070">
        <v>151764</v>
      </c>
      <c r="AA208" s="3070">
        <v>457641</v>
      </c>
      <c r="AB208" s="3070">
        <v>0</v>
      </c>
      <c r="AC208" s="3070">
        <v>1060000</v>
      </c>
      <c r="AD208" s="3070">
        <v>1060000</v>
      </c>
      <c r="AE208" s="3070">
        <v>0</v>
      </c>
      <c r="AI208" s="3070" t="s">
        <v>3227</v>
      </c>
      <c r="AJ208" s="3070">
        <v>0</v>
      </c>
      <c r="AK208" s="3070">
        <v>0</v>
      </c>
      <c r="AL208" s="3070">
        <v>0</v>
      </c>
      <c r="AM208" s="3070">
        <v>12465.22</v>
      </c>
      <c r="AN208" s="3070">
        <v>1517641</v>
      </c>
      <c r="AP208" s="3070">
        <v>1517641</v>
      </c>
      <c r="AQ208" s="3072">
        <v>45230</v>
      </c>
      <c r="AT208" s="3073">
        <v>45770</v>
      </c>
      <c r="AV208" s="3070" t="s">
        <v>5002</v>
      </c>
      <c r="AW208" s="3070" t="s">
        <v>5003</v>
      </c>
      <c r="AX208" s="3070" t="s">
        <v>5004</v>
      </c>
      <c r="AY208" s="3070" t="s">
        <v>3294</v>
      </c>
      <c r="BC208" s="3070" t="s">
        <v>3284</v>
      </c>
      <c r="BD208" s="3070" t="s">
        <v>3075</v>
      </c>
      <c r="BI208" s="3070" t="s">
        <v>3235</v>
      </c>
      <c r="BL208" s="3070" t="s">
        <v>5005</v>
      </c>
      <c r="BM208" s="3075">
        <v>44228</v>
      </c>
      <c r="BN208" s="3070">
        <v>1</v>
      </c>
      <c r="BO208" s="3070" t="s">
        <v>3253</v>
      </c>
      <c r="BR208" s="3070">
        <v>186</v>
      </c>
      <c r="BS208" s="3070" t="s">
        <v>3238</v>
      </c>
      <c r="BZ208" s="3073">
        <v>44152.479861111111</v>
      </c>
      <c r="CA208" s="3070">
        <v>2</v>
      </c>
      <c r="CD208" s="3070" t="s">
        <v>3239</v>
      </c>
      <c r="CF208" s="3070" t="s">
        <v>3091</v>
      </c>
      <c r="CH208" s="3070" t="s">
        <v>3240</v>
      </c>
      <c r="CI208" s="3070">
        <v>0</v>
      </c>
      <c r="CK208" s="3070" t="s">
        <v>3294</v>
      </c>
      <c r="CL208" s="3070" t="s">
        <v>3294</v>
      </c>
      <c r="CM208" s="3070">
        <v>1392331.19</v>
      </c>
      <c r="CV208" s="3070" t="s">
        <v>3246</v>
      </c>
      <c r="CW208" s="3070" t="s">
        <v>5006</v>
      </c>
      <c r="CX208" s="3070" t="s">
        <v>3311</v>
      </c>
      <c r="CZ208" s="3070">
        <v>213894.57</v>
      </c>
      <c r="DA208" s="3070">
        <v>159426.93</v>
      </c>
      <c r="DB208" s="3070">
        <v>0</v>
      </c>
      <c r="DC208" s="3070">
        <v>0</v>
      </c>
      <c r="DD208" s="3070">
        <v>3290547602</v>
      </c>
      <c r="DE208" s="3070">
        <v>2764253109</v>
      </c>
      <c r="DF208" s="3070">
        <v>1464966739</v>
      </c>
      <c r="DG208" s="3070">
        <v>14938370</v>
      </c>
      <c r="DH208" s="3070">
        <v>1284348000</v>
      </c>
      <c r="DI208" s="3070">
        <v>1278128000</v>
      </c>
      <c r="DJ208" s="3070">
        <v>6220000</v>
      </c>
      <c r="DK208" s="3070">
        <v>0</v>
      </c>
      <c r="DL208" s="3070">
        <v>0</v>
      </c>
      <c r="DM208" s="3070">
        <v>25491817.620000001</v>
      </c>
      <c r="DN208" s="3070">
        <v>2764253109</v>
      </c>
      <c r="DP208" s="3070">
        <v>2764253109</v>
      </c>
    </row>
    <row r="209" spans="1:120">
      <c r="A209" s="3070">
        <v>208</v>
      </c>
      <c r="B209" s="3070" t="s">
        <v>3224</v>
      </c>
      <c r="C209" s="3070">
        <v>2</v>
      </c>
      <c r="E209" s="3070">
        <v>1002</v>
      </c>
      <c r="F209" s="3070" t="s">
        <v>5007</v>
      </c>
      <c r="G209" s="3070" t="s">
        <v>5008</v>
      </c>
      <c r="H209" s="3070">
        <v>1275873</v>
      </c>
      <c r="I209" s="3070">
        <v>1275873</v>
      </c>
      <c r="J209" s="3070">
        <v>101.58</v>
      </c>
      <c r="K209" s="3070">
        <v>75.45</v>
      </c>
      <c r="L209" s="3070">
        <v>0</v>
      </c>
      <c r="M209" s="3070">
        <v>0</v>
      </c>
      <c r="N209" s="3070">
        <v>15494.44</v>
      </c>
      <c r="O209" s="3070">
        <v>1573925</v>
      </c>
      <c r="P209" s="3070">
        <v>12560.28</v>
      </c>
      <c r="Q209" s="3070">
        <v>1275873</v>
      </c>
      <c r="R209" s="3070" t="s">
        <v>3227</v>
      </c>
      <c r="S209" s="3070" t="s">
        <v>5009</v>
      </c>
      <c r="T209" s="3070" t="s">
        <v>3494</v>
      </c>
      <c r="V209" s="3070" t="s">
        <v>3230</v>
      </c>
      <c r="Y209" s="3070">
        <v>127587</v>
      </c>
      <c r="Z209" s="3070">
        <v>127587</v>
      </c>
      <c r="AA209" s="3070">
        <v>1275873</v>
      </c>
      <c r="AB209" s="3070">
        <v>0</v>
      </c>
      <c r="AC209" s="3070">
        <v>0</v>
      </c>
      <c r="AD209" s="3070">
        <v>0</v>
      </c>
      <c r="AE209" s="3070">
        <v>0</v>
      </c>
      <c r="AI209" s="3070" t="s">
        <v>3227</v>
      </c>
      <c r="AJ209" s="3070">
        <v>0</v>
      </c>
      <c r="AK209" s="3070">
        <v>0</v>
      </c>
      <c r="AL209" s="3070">
        <v>0</v>
      </c>
      <c r="AM209" s="3070">
        <v>12560.28</v>
      </c>
      <c r="AN209" s="3070">
        <v>1275873</v>
      </c>
      <c r="AP209" s="3070">
        <v>1275873</v>
      </c>
      <c r="AQ209" s="3072">
        <v>45230</v>
      </c>
      <c r="AT209" s="3073">
        <v>45770</v>
      </c>
      <c r="AV209" s="3074">
        <v>3.21E+17</v>
      </c>
      <c r="AW209" s="3070" t="s">
        <v>5010</v>
      </c>
      <c r="AX209" s="3070" t="s">
        <v>5011</v>
      </c>
      <c r="AY209" s="3070" t="s">
        <v>3306</v>
      </c>
      <c r="BC209" s="3070" t="s">
        <v>5012</v>
      </c>
      <c r="BD209" s="3070" t="s">
        <v>3077</v>
      </c>
      <c r="BI209" s="3070" t="s">
        <v>3235</v>
      </c>
      <c r="BJ209" s="3070" t="s">
        <v>3236</v>
      </c>
      <c r="BL209" s="3070" t="s">
        <v>5013</v>
      </c>
      <c r="BM209" s="3075">
        <v>44228</v>
      </c>
      <c r="BN209" s="3070">
        <v>2</v>
      </c>
      <c r="BR209" s="3070">
        <v>0</v>
      </c>
      <c r="BS209" s="3070" t="s">
        <v>3238</v>
      </c>
      <c r="BZ209" s="3073">
        <v>44153.677083333336</v>
      </c>
      <c r="CA209" s="3070">
        <v>2</v>
      </c>
      <c r="CD209" s="3070" t="s">
        <v>3239</v>
      </c>
      <c r="CF209" s="3070" t="s">
        <v>3091</v>
      </c>
      <c r="CH209" s="3070" t="s">
        <v>3240</v>
      </c>
      <c r="CI209" s="3070">
        <v>0</v>
      </c>
      <c r="CK209" s="3070" t="s">
        <v>3306</v>
      </c>
      <c r="CL209" s="3070" t="s">
        <v>3306</v>
      </c>
      <c r="CM209" s="3070">
        <v>1170525.69</v>
      </c>
      <c r="CV209" s="3070" t="s">
        <v>3494</v>
      </c>
      <c r="CW209" s="3070" t="s">
        <v>5014</v>
      </c>
      <c r="CX209" s="3070" t="s">
        <v>3242</v>
      </c>
      <c r="CZ209" s="3070">
        <v>213894.57</v>
      </c>
      <c r="DA209" s="3070">
        <v>159426.93</v>
      </c>
      <c r="DB209" s="3070">
        <v>0</v>
      </c>
      <c r="DC209" s="3070">
        <v>0</v>
      </c>
      <c r="DD209" s="3070">
        <v>3290547602</v>
      </c>
      <c r="DE209" s="3070">
        <v>2764253109</v>
      </c>
      <c r="DF209" s="3070">
        <v>1464966739</v>
      </c>
      <c r="DG209" s="3070">
        <v>14938370</v>
      </c>
      <c r="DH209" s="3070">
        <v>1284348000</v>
      </c>
      <c r="DI209" s="3070">
        <v>1278128000</v>
      </c>
      <c r="DJ209" s="3070">
        <v>6220000</v>
      </c>
      <c r="DK209" s="3070">
        <v>0</v>
      </c>
      <c r="DL209" s="3070">
        <v>0</v>
      </c>
      <c r="DM209" s="3070">
        <v>25491817.620000001</v>
      </c>
      <c r="DN209" s="3070">
        <v>2764253109</v>
      </c>
      <c r="DP209" s="3070">
        <v>2764253109</v>
      </c>
    </row>
    <row r="210" spans="1:120">
      <c r="A210" s="3070">
        <v>209</v>
      </c>
      <c r="B210" s="3070" t="s">
        <v>3224</v>
      </c>
      <c r="C210" s="3070">
        <v>2</v>
      </c>
      <c r="E210" s="3070">
        <v>1003</v>
      </c>
      <c r="F210" s="3070" t="s">
        <v>5015</v>
      </c>
      <c r="G210" s="3070" t="s">
        <v>5016</v>
      </c>
      <c r="H210" s="3070">
        <v>1250356</v>
      </c>
      <c r="I210" s="3070">
        <v>1250356</v>
      </c>
      <c r="J210" s="3070">
        <v>101.58</v>
      </c>
      <c r="K210" s="3070">
        <v>75.45</v>
      </c>
      <c r="L210" s="3070">
        <v>0</v>
      </c>
      <c r="M210" s="3070">
        <v>0</v>
      </c>
      <c r="N210" s="3070">
        <v>15494.44</v>
      </c>
      <c r="O210" s="3070">
        <v>1573925</v>
      </c>
      <c r="P210" s="3070">
        <v>12309.08</v>
      </c>
      <c r="Q210" s="3070">
        <v>1250356</v>
      </c>
      <c r="R210" s="3070" t="s">
        <v>3227</v>
      </c>
      <c r="S210" s="3070" t="s">
        <v>5017</v>
      </c>
      <c r="T210" s="3070" t="s">
        <v>3246</v>
      </c>
      <c r="U210" s="3070" t="s">
        <v>3247</v>
      </c>
      <c r="V210" s="3070" t="s">
        <v>3230</v>
      </c>
      <c r="Y210" s="3070">
        <v>380356</v>
      </c>
      <c r="Z210" s="3070">
        <v>125036</v>
      </c>
      <c r="AA210" s="3070">
        <v>380356</v>
      </c>
      <c r="AB210" s="3070">
        <v>0</v>
      </c>
      <c r="AC210" s="3070">
        <v>870000</v>
      </c>
      <c r="AD210" s="3070">
        <v>870000</v>
      </c>
      <c r="AE210" s="3070">
        <v>0</v>
      </c>
      <c r="AI210" s="3070" t="s">
        <v>3227</v>
      </c>
      <c r="AJ210" s="3070">
        <v>0</v>
      </c>
      <c r="AK210" s="3070">
        <v>0</v>
      </c>
      <c r="AL210" s="3070">
        <v>0</v>
      </c>
      <c r="AM210" s="3070">
        <v>12309.08</v>
      </c>
      <c r="AN210" s="3070">
        <v>1250356</v>
      </c>
      <c r="AP210" s="3070">
        <v>1250356</v>
      </c>
      <c r="AQ210" s="3072">
        <v>45230</v>
      </c>
      <c r="AT210" s="3073">
        <v>45770</v>
      </c>
      <c r="AV210" s="3074">
        <v>3.21E+17</v>
      </c>
      <c r="AW210" s="3070" t="s">
        <v>5018</v>
      </c>
      <c r="AX210" s="3070" t="s">
        <v>5019</v>
      </c>
      <c r="AY210" s="3070" t="s">
        <v>3648</v>
      </c>
      <c r="BC210" s="3070" t="s">
        <v>3507</v>
      </c>
      <c r="BD210" s="3070" t="s">
        <v>3077</v>
      </c>
      <c r="BI210" s="3070" t="s">
        <v>3235</v>
      </c>
      <c r="BJ210" s="3070" t="s">
        <v>3328</v>
      </c>
      <c r="BL210" s="3070" t="s">
        <v>5020</v>
      </c>
      <c r="BM210" s="3075">
        <v>44228</v>
      </c>
      <c r="BN210" s="3070">
        <v>3</v>
      </c>
      <c r="BO210" s="3070" t="s">
        <v>3253</v>
      </c>
      <c r="BR210" s="3070">
        <v>0</v>
      </c>
      <c r="BS210" s="3070" t="s">
        <v>3238</v>
      </c>
      <c r="BZ210" s="3073">
        <v>44153.865277777775</v>
      </c>
      <c r="CA210" s="3070">
        <v>2</v>
      </c>
      <c r="CD210" s="3070" t="s">
        <v>3239</v>
      </c>
      <c r="CF210" s="3070" t="s">
        <v>3091</v>
      </c>
      <c r="CH210" s="3070" t="s">
        <v>3240</v>
      </c>
      <c r="CI210" s="3070">
        <v>0</v>
      </c>
      <c r="CK210" s="3070" t="s">
        <v>3648</v>
      </c>
      <c r="CL210" s="3070" t="s">
        <v>3648</v>
      </c>
      <c r="CM210" s="3070">
        <v>1147115.6000000001</v>
      </c>
      <c r="CV210" s="3070" t="s">
        <v>3246</v>
      </c>
      <c r="CW210" s="3070" t="s">
        <v>5021</v>
      </c>
      <c r="CX210" s="3070" t="s">
        <v>3242</v>
      </c>
      <c r="CZ210" s="3070">
        <v>213894.57</v>
      </c>
      <c r="DA210" s="3070">
        <v>159426.93</v>
      </c>
      <c r="DB210" s="3070">
        <v>0</v>
      </c>
      <c r="DC210" s="3070">
        <v>0</v>
      </c>
      <c r="DD210" s="3070">
        <v>3290547602</v>
      </c>
      <c r="DE210" s="3070">
        <v>2764253109</v>
      </c>
      <c r="DF210" s="3070">
        <v>1464966739</v>
      </c>
      <c r="DG210" s="3070">
        <v>14938370</v>
      </c>
      <c r="DH210" s="3070">
        <v>1284348000</v>
      </c>
      <c r="DI210" s="3070">
        <v>1278128000</v>
      </c>
      <c r="DJ210" s="3070">
        <v>6220000</v>
      </c>
      <c r="DK210" s="3070">
        <v>0</v>
      </c>
      <c r="DL210" s="3070">
        <v>0</v>
      </c>
      <c r="DM210" s="3070">
        <v>25491817.620000001</v>
      </c>
      <c r="DN210" s="3070">
        <v>2764253109</v>
      </c>
      <c r="DP210" s="3070">
        <v>2764253109</v>
      </c>
    </row>
    <row r="211" spans="1:120">
      <c r="A211" s="3070">
        <v>210</v>
      </c>
      <c r="B211" s="3070" t="s">
        <v>3224</v>
      </c>
      <c r="C211" s="3070">
        <v>2</v>
      </c>
      <c r="E211" s="3070">
        <v>1004</v>
      </c>
      <c r="F211" s="3070" t="s">
        <v>5022</v>
      </c>
      <c r="G211" s="3070" t="s">
        <v>5023</v>
      </c>
      <c r="H211" s="3070">
        <v>1535747</v>
      </c>
      <c r="I211" s="3070">
        <v>1535747</v>
      </c>
      <c r="J211" s="3070">
        <v>121.75</v>
      </c>
      <c r="K211" s="3070">
        <v>90.43</v>
      </c>
      <c r="L211" s="3070">
        <v>0</v>
      </c>
      <c r="M211" s="3070">
        <v>0</v>
      </c>
      <c r="N211" s="3070">
        <v>15444.44</v>
      </c>
      <c r="O211" s="3070">
        <v>1880361</v>
      </c>
      <c r="P211" s="3070">
        <v>12613.94</v>
      </c>
      <c r="Q211" s="3070">
        <v>1535747</v>
      </c>
      <c r="R211" s="3070" t="s">
        <v>3227</v>
      </c>
      <c r="S211" s="3070" t="s">
        <v>5024</v>
      </c>
      <c r="T211" s="3070" t="s">
        <v>3246</v>
      </c>
      <c r="U211" s="3070" t="s">
        <v>3279</v>
      </c>
      <c r="V211" s="3070" t="s">
        <v>3230</v>
      </c>
      <c r="Y211" s="3070">
        <v>915747</v>
      </c>
      <c r="Z211" s="3070">
        <v>915747</v>
      </c>
      <c r="AA211" s="3070">
        <v>915747</v>
      </c>
      <c r="AB211" s="3070">
        <v>0</v>
      </c>
      <c r="AC211" s="3070">
        <v>620000</v>
      </c>
      <c r="AD211" s="3070">
        <v>620000</v>
      </c>
      <c r="AE211" s="3070">
        <v>0</v>
      </c>
      <c r="AI211" s="3070" t="s">
        <v>3227</v>
      </c>
      <c r="AJ211" s="3070">
        <v>0</v>
      </c>
      <c r="AK211" s="3070">
        <v>0</v>
      </c>
      <c r="AL211" s="3070">
        <v>0</v>
      </c>
      <c r="AM211" s="3070">
        <v>12613.94</v>
      </c>
      <c r="AN211" s="3070">
        <v>1535747</v>
      </c>
      <c r="AP211" s="3070">
        <v>1535747</v>
      </c>
      <c r="AQ211" s="3072">
        <v>45230</v>
      </c>
      <c r="AT211" s="3073">
        <v>45770</v>
      </c>
      <c r="AV211" s="3074">
        <v>3.21E+17</v>
      </c>
      <c r="AW211" s="3070" t="s">
        <v>5025</v>
      </c>
      <c r="AX211" s="3070" t="s">
        <v>5026</v>
      </c>
      <c r="AY211" s="3070" t="s">
        <v>3892</v>
      </c>
      <c r="BA211" s="3070" t="s">
        <v>4527</v>
      </c>
      <c r="BC211" s="3070" t="s">
        <v>5027</v>
      </c>
      <c r="BD211" s="3070" t="s">
        <v>3075</v>
      </c>
      <c r="BI211" s="3070" t="s">
        <v>3235</v>
      </c>
      <c r="BL211" s="3070" t="s">
        <v>5028</v>
      </c>
      <c r="BM211" s="3075">
        <v>44228</v>
      </c>
      <c r="BN211" s="3070">
        <v>4</v>
      </c>
      <c r="BO211" s="3070" t="s">
        <v>3253</v>
      </c>
      <c r="BR211" s="3070">
        <v>22</v>
      </c>
      <c r="BS211" s="3070" t="s">
        <v>3238</v>
      </c>
      <c r="BU211" s="3070" t="s">
        <v>4527</v>
      </c>
      <c r="BZ211" s="3073">
        <v>44197.693055555559</v>
      </c>
      <c r="CA211" s="3070">
        <v>2</v>
      </c>
      <c r="CD211" s="3070" t="s">
        <v>3239</v>
      </c>
      <c r="CF211" s="3070" t="s">
        <v>3091</v>
      </c>
      <c r="CH211" s="3070" t="s">
        <v>3240</v>
      </c>
      <c r="CI211" s="3070">
        <v>0</v>
      </c>
      <c r="CK211" s="3070" t="s">
        <v>4056</v>
      </c>
      <c r="CL211" s="3070" t="s">
        <v>4056</v>
      </c>
      <c r="CM211" s="3070">
        <v>1408942.2</v>
      </c>
      <c r="CV211" s="3070" t="s">
        <v>3246</v>
      </c>
      <c r="CW211" s="3070" t="s">
        <v>5029</v>
      </c>
      <c r="CZ211" s="3070">
        <v>213894.57</v>
      </c>
      <c r="DA211" s="3070">
        <v>159426.93</v>
      </c>
      <c r="DB211" s="3070">
        <v>0</v>
      </c>
      <c r="DC211" s="3070">
        <v>0</v>
      </c>
      <c r="DD211" s="3070">
        <v>3290547602</v>
      </c>
      <c r="DE211" s="3070">
        <v>2764253109</v>
      </c>
      <c r="DF211" s="3070">
        <v>1464966739</v>
      </c>
      <c r="DG211" s="3070">
        <v>14938370</v>
      </c>
      <c r="DH211" s="3070">
        <v>1284348000</v>
      </c>
      <c r="DI211" s="3070">
        <v>1278128000</v>
      </c>
      <c r="DJ211" s="3070">
        <v>6220000</v>
      </c>
      <c r="DK211" s="3070">
        <v>0</v>
      </c>
      <c r="DL211" s="3070">
        <v>0</v>
      </c>
      <c r="DM211" s="3070">
        <v>25491817.620000001</v>
      </c>
      <c r="DN211" s="3070">
        <v>2764253109</v>
      </c>
      <c r="DP211" s="3070">
        <v>2764253109</v>
      </c>
    </row>
    <row r="212" spans="1:120">
      <c r="A212" s="3070">
        <v>211</v>
      </c>
      <c r="B212" s="3070" t="s">
        <v>3224</v>
      </c>
      <c r="C212" s="3070">
        <v>2</v>
      </c>
      <c r="E212" s="3070">
        <v>104</v>
      </c>
      <c r="F212" s="3070" t="s">
        <v>5030</v>
      </c>
      <c r="G212" s="3070" t="s">
        <v>5031</v>
      </c>
      <c r="H212" s="3070">
        <v>1113473</v>
      </c>
      <c r="I212" s="3070">
        <v>1113473</v>
      </c>
      <c r="J212" s="3070">
        <v>121.86</v>
      </c>
      <c r="K212" s="3070">
        <v>90.51</v>
      </c>
      <c r="L212" s="3070">
        <v>0</v>
      </c>
      <c r="M212" s="3070">
        <v>0</v>
      </c>
      <c r="N212" s="3070">
        <v>14894.44</v>
      </c>
      <c r="O212" s="3070">
        <v>1815036</v>
      </c>
      <c r="P212" s="3070">
        <v>9137.31</v>
      </c>
      <c r="Q212" s="3070">
        <v>1113473</v>
      </c>
      <c r="R212" s="3070" t="s">
        <v>3227</v>
      </c>
      <c r="S212" s="3070" t="s">
        <v>5032</v>
      </c>
      <c r="T212" s="3070" t="s">
        <v>3878</v>
      </c>
      <c r="U212" s="3070" t="s">
        <v>3279</v>
      </c>
      <c r="V212" s="3070" t="s">
        <v>3230</v>
      </c>
      <c r="Y212" s="3070">
        <v>613473</v>
      </c>
      <c r="Z212" s="3070">
        <v>613473</v>
      </c>
      <c r="AA212" s="3070">
        <v>613473</v>
      </c>
      <c r="AB212" s="3070">
        <v>0</v>
      </c>
      <c r="AC212" s="3070">
        <v>500000</v>
      </c>
      <c r="AD212" s="3070">
        <v>500000</v>
      </c>
      <c r="AE212" s="3070">
        <v>0</v>
      </c>
      <c r="AI212" s="3070" t="s">
        <v>3227</v>
      </c>
      <c r="AJ212" s="3070">
        <v>0</v>
      </c>
      <c r="AK212" s="3070">
        <v>0</v>
      </c>
      <c r="AL212" s="3070">
        <v>0</v>
      </c>
      <c r="AM212" s="3070">
        <v>9137.31</v>
      </c>
      <c r="AN212" s="3070">
        <v>1113473</v>
      </c>
      <c r="AP212" s="3070">
        <v>1113473</v>
      </c>
      <c r="AQ212" s="3072">
        <v>45230</v>
      </c>
      <c r="AT212" s="3073">
        <v>45770</v>
      </c>
      <c r="AV212" s="3074">
        <v>3.21E+17</v>
      </c>
      <c r="AW212" s="3070" t="s">
        <v>5033</v>
      </c>
      <c r="AX212" s="3070" t="s">
        <v>5034</v>
      </c>
      <c r="AY212" s="3070" t="s">
        <v>3587</v>
      </c>
      <c r="BC212" s="3070" t="s">
        <v>3881</v>
      </c>
      <c r="BD212" s="3070" t="s">
        <v>3075</v>
      </c>
      <c r="BI212" s="3070" t="s">
        <v>3235</v>
      </c>
      <c r="BJ212" s="3070" t="s">
        <v>3296</v>
      </c>
      <c r="BL212" s="3070" t="s">
        <v>5035</v>
      </c>
      <c r="BM212" s="3075">
        <v>44228</v>
      </c>
      <c r="BN212" s="3070">
        <v>4</v>
      </c>
      <c r="BO212" s="3070" t="s">
        <v>3253</v>
      </c>
      <c r="BR212" s="3070">
        <v>0</v>
      </c>
      <c r="BS212" s="3070" t="s">
        <v>3238</v>
      </c>
      <c r="BZ212" s="3073">
        <v>44272.40902777778</v>
      </c>
      <c r="CA212" s="3070">
        <v>2</v>
      </c>
      <c r="CD212" s="3070" t="s">
        <v>3239</v>
      </c>
      <c r="CF212" s="3070" t="s">
        <v>3091</v>
      </c>
      <c r="CH212" s="3070" t="s">
        <v>3240</v>
      </c>
      <c r="CI212" s="3070">
        <v>0</v>
      </c>
      <c r="CK212" s="3070" t="s">
        <v>4736</v>
      </c>
      <c r="CL212" s="3070" t="s">
        <v>4736</v>
      </c>
      <c r="CM212" s="3070">
        <v>1021534.86</v>
      </c>
      <c r="CV212" s="3070" t="s">
        <v>3246</v>
      </c>
      <c r="CW212" s="3070" t="s">
        <v>5036</v>
      </c>
      <c r="CX212" s="3070" t="s">
        <v>3311</v>
      </c>
      <c r="CZ212" s="3070">
        <v>213894.57</v>
      </c>
      <c r="DA212" s="3070">
        <v>159426.93</v>
      </c>
      <c r="DB212" s="3070">
        <v>0</v>
      </c>
      <c r="DC212" s="3070">
        <v>0</v>
      </c>
      <c r="DD212" s="3070">
        <v>3290547602</v>
      </c>
      <c r="DE212" s="3070">
        <v>2764253109</v>
      </c>
      <c r="DF212" s="3070">
        <v>1464966739</v>
      </c>
      <c r="DG212" s="3070">
        <v>14938370</v>
      </c>
      <c r="DH212" s="3070">
        <v>1284348000</v>
      </c>
      <c r="DI212" s="3070">
        <v>1278128000</v>
      </c>
      <c r="DJ212" s="3070">
        <v>6220000</v>
      </c>
      <c r="DK212" s="3070">
        <v>0</v>
      </c>
      <c r="DL212" s="3070">
        <v>0</v>
      </c>
      <c r="DM212" s="3070">
        <v>25491817.620000001</v>
      </c>
      <c r="DN212" s="3070">
        <v>2764253109</v>
      </c>
      <c r="DP212" s="3070">
        <v>2764253109</v>
      </c>
    </row>
    <row r="213" spans="1:120">
      <c r="A213" s="3070">
        <v>212</v>
      </c>
      <c r="B213" s="3070" t="s">
        <v>3224</v>
      </c>
      <c r="C213" s="3070">
        <v>2</v>
      </c>
      <c r="E213" s="3070">
        <v>1101</v>
      </c>
      <c r="F213" s="3070" t="s">
        <v>5037</v>
      </c>
      <c r="G213" s="3070" t="s">
        <v>5038</v>
      </c>
      <c r="H213" s="3070">
        <v>1523427</v>
      </c>
      <c r="I213" s="3070">
        <v>1523427</v>
      </c>
      <c r="J213" s="3070">
        <v>121.75</v>
      </c>
      <c r="K213" s="3070">
        <v>90.43</v>
      </c>
      <c r="L213" s="3070">
        <v>0</v>
      </c>
      <c r="M213" s="3070">
        <v>0</v>
      </c>
      <c r="N213" s="3070">
        <v>15444.44</v>
      </c>
      <c r="O213" s="3070">
        <v>1880361</v>
      </c>
      <c r="P213" s="3070">
        <v>12512.75</v>
      </c>
      <c r="Q213" s="3070">
        <v>1523427</v>
      </c>
      <c r="R213" s="3070" t="s">
        <v>3227</v>
      </c>
      <c r="S213" s="3070" t="s">
        <v>5039</v>
      </c>
      <c r="T213" s="3070" t="s">
        <v>3246</v>
      </c>
      <c r="U213" s="3070" t="s">
        <v>3279</v>
      </c>
      <c r="V213" s="3070" t="s">
        <v>3230</v>
      </c>
      <c r="Y213" s="3070">
        <v>723427</v>
      </c>
      <c r="Z213" s="3070">
        <v>723427</v>
      </c>
      <c r="AA213" s="3070">
        <v>723427</v>
      </c>
      <c r="AB213" s="3070">
        <v>0</v>
      </c>
      <c r="AC213" s="3070">
        <v>800000</v>
      </c>
      <c r="AD213" s="3070">
        <v>800000</v>
      </c>
      <c r="AE213" s="3070">
        <v>0</v>
      </c>
      <c r="AI213" s="3070" t="s">
        <v>3227</v>
      </c>
      <c r="AJ213" s="3070">
        <v>0</v>
      </c>
      <c r="AK213" s="3070">
        <v>0</v>
      </c>
      <c r="AL213" s="3070">
        <v>0</v>
      </c>
      <c r="AM213" s="3070">
        <v>12512.75</v>
      </c>
      <c r="AN213" s="3070">
        <v>1523427</v>
      </c>
      <c r="AP213" s="3070">
        <v>1523427</v>
      </c>
      <c r="AQ213" s="3072">
        <v>45230</v>
      </c>
      <c r="AT213" s="3073">
        <v>45770</v>
      </c>
      <c r="AV213" s="3070" t="s">
        <v>5040</v>
      </c>
      <c r="AW213" s="3070" t="s">
        <v>5041</v>
      </c>
      <c r="AX213" s="3070" t="s">
        <v>5042</v>
      </c>
      <c r="AY213" s="3070" t="s">
        <v>3497</v>
      </c>
      <c r="BC213" s="3070" t="s">
        <v>3284</v>
      </c>
      <c r="BD213" s="3070" t="s">
        <v>3075</v>
      </c>
      <c r="BI213" s="3070" t="s">
        <v>3235</v>
      </c>
      <c r="BJ213" s="3070" t="s">
        <v>3296</v>
      </c>
      <c r="BL213" s="3070" t="s">
        <v>5043</v>
      </c>
      <c r="BM213" s="3075">
        <v>44228</v>
      </c>
      <c r="BN213" s="3070">
        <v>101</v>
      </c>
      <c r="BO213" s="3070" t="s">
        <v>3253</v>
      </c>
      <c r="BR213" s="3070">
        <v>309</v>
      </c>
      <c r="BS213" s="3070" t="s">
        <v>3238</v>
      </c>
      <c r="BZ213" s="3073">
        <v>44143.763888888891</v>
      </c>
      <c r="CA213" s="3070">
        <v>2</v>
      </c>
      <c r="CD213" s="3070" t="s">
        <v>3239</v>
      </c>
      <c r="CF213" s="3070" t="s">
        <v>3091</v>
      </c>
      <c r="CH213" s="3070" t="s">
        <v>3240</v>
      </c>
      <c r="CI213" s="3070">
        <v>0</v>
      </c>
      <c r="CK213" s="3070" t="s">
        <v>3497</v>
      </c>
      <c r="CL213" s="3070" t="s">
        <v>3497</v>
      </c>
      <c r="CM213" s="3070">
        <v>1397639.45</v>
      </c>
      <c r="CV213" s="3070" t="s">
        <v>3246</v>
      </c>
      <c r="CW213" s="3070" t="s">
        <v>5044</v>
      </c>
      <c r="CX213" s="3070" t="s">
        <v>3510</v>
      </c>
      <c r="CZ213" s="3070">
        <v>213894.57</v>
      </c>
      <c r="DA213" s="3070">
        <v>159426.93</v>
      </c>
      <c r="DB213" s="3070">
        <v>0</v>
      </c>
      <c r="DC213" s="3070">
        <v>0</v>
      </c>
      <c r="DD213" s="3070">
        <v>3290547602</v>
      </c>
      <c r="DE213" s="3070">
        <v>2764253109</v>
      </c>
      <c r="DF213" s="3070">
        <v>1464966739</v>
      </c>
      <c r="DG213" s="3070">
        <v>14938370</v>
      </c>
      <c r="DH213" s="3070">
        <v>1284348000</v>
      </c>
      <c r="DI213" s="3070">
        <v>1278128000</v>
      </c>
      <c r="DJ213" s="3070">
        <v>6220000</v>
      </c>
      <c r="DK213" s="3070">
        <v>0</v>
      </c>
      <c r="DL213" s="3070">
        <v>0</v>
      </c>
      <c r="DM213" s="3070">
        <v>25491817.620000001</v>
      </c>
      <c r="DN213" s="3070">
        <v>2764253109</v>
      </c>
      <c r="DP213" s="3070">
        <v>2764253109</v>
      </c>
    </row>
    <row r="214" spans="1:120">
      <c r="A214" s="3070">
        <v>213</v>
      </c>
      <c r="B214" s="3070" t="s">
        <v>3224</v>
      </c>
      <c r="C214" s="3070">
        <v>2</v>
      </c>
      <c r="E214" s="3070">
        <v>1102</v>
      </c>
      <c r="F214" s="3070" t="s">
        <v>5045</v>
      </c>
      <c r="G214" s="3070" t="s">
        <v>5046</v>
      </c>
      <c r="H214" s="3070">
        <v>1320311</v>
      </c>
      <c r="I214" s="3070">
        <v>1320311</v>
      </c>
      <c r="J214" s="3070">
        <v>101.58</v>
      </c>
      <c r="K214" s="3070">
        <v>75.45</v>
      </c>
      <c r="L214" s="3070">
        <v>0</v>
      </c>
      <c r="M214" s="3070">
        <v>0</v>
      </c>
      <c r="N214" s="3070">
        <v>15544.44</v>
      </c>
      <c r="O214" s="3070">
        <v>1579004</v>
      </c>
      <c r="P214" s="3070">
        <v>12997.75</v>
      </c>
      <c r="Q214" s="3070">
        <v>1320311</v>
      </c>
      <c r="R214" s="3070" t="s">
        <v>3227</v>
      </c>
      <c r="S214" s="3070" t="s">
        <v>5047</v>
      </c>
      <c r="T214" s="3070" t="s">
        <v>3494</v>
      </c>
      <c r="V214" s="3070" t="s">
        <v>3230</v>
      </c>
      <c r="Y214" s="3070">
        <v>132031</v>
      </c>
      <c r="Z214" s="3070">
        <v>132031</v>
      </c>
      <c r="AA214" s="3070">
        <v>1320311</v>
      </c>
      <c r="AB214" s="3070">
        <v>0</v>
      </c>
      <c r="AC214" s="3070">
        <v>0</v>
      </c>
      <c r="AD214" s="3070">
        <v>0</v>
      </c>
      <c r="AE214" s="3070">
        <v>0</v>
      </c>
      <c r="AI214" s="3070" t="s">
        <v>3227</v>
      </c>
      <c r="AJ214" s="3070">
        <v>0</v>
      </c>
      <c r="AK214" s="3070">
        <v>0</v>
      </c>
      <c r="AL214" s="3070">
        <v>0</v>
      </c>
      <c r="AM214" s="3070">
        <v>12997.75</v>
      </c>
      <c r="AN214" s="3070">
        <v>1320311</v>
      </c>
      <c r="AP214" s="3070">
        <v>1320311</v>
      </c>
      <c r="AQ214" s="3072">
        <v>45230</v>
      </c>
      <c r="AT214" s="3073">
        <v>45770</v>
      </c>
      <c r="AV214" s="3074">
        <v>3.21E+17</v>
      </c>
      <c r="AW214" s="3070" t="s">
        <v>5048</v>
      </c>
      <c r="AX214" s="3070" t="s">
        <v>5049</v>
      </c>
      <c r="AY214" s="3070" t="s">
        <v>3306</v>
      </c>
      <c r="BC214" s="3070" t="s">
        <v>5050</v>
      </c>
      <c r="BD214" s="3070" t="s">
        <v>3077</v>
      </c>
      <c r="BI214" s="3070" t="s">
        <v>3235</v>
      </c>
      <c r="BL214" s="3070" t="s">
        <v>5051</v>
      </c>
      <c r="BM214" s="3075">
        <v>44228</v>
      </c>
      <c r="BN214" s="3070">
        <v>102</v>
      </c>
      <c r="BR214" s="3070">
        <v>0</v>
      </c>
      <c r="BS214" s="3070" t="s">
        <v>3238</v>
      </c>
      <c r="BZ214" s="3073">
        <v>44160.474305555559</v>
      </c>
      <c r="CA214" s="3070">
        <v>2</v>
      </c>
      <c r="CD214" s="3070" t="s">
        <v>3239</v>
      </c>
      <c r="CF214" s="3070" t="s">
        <v>3091</v>
      </c>
      <c r="CH214" s="3070" t="s">
        <v>3240</v>
      </c>
      <c r="CI214" s="3070">
        <v>0</v>
      </c>
      <c r="CK214" s="3070" t="s">
        <v>3306</v>
      </c>
      <c r="CL214" s="3070" t="s">
        <v>3306</v>
      </c>
      <c r="CM214" s="3070">
        <v>1211294.5</v>
      </c>
      <c r="CV214" s="3070" t="s">
        <v>3494</v>
      </c>
      <c r="CW214" s="3070" t="s">
        <v>5052</v>
      </c>
      <c r="CX214" s="3070" t="s">
        <v>3242</v>
      </c>
      <c r="CZ214" s="3070">
        <v>213894.57</v>
      </c>
      <c r="DA214" s="3070">
        <v>159426.93</v>
      </c>
      <c r="DB214" s="3070">
        <v>0</v>
      </c>
      <c r="DC214" s="3070">
        <v>0</v>
      </c>
      <c r="DD214" s="3070">
        <v>3290547602</v>
      </c>
      <c r="DE214" s="3070">
        <v>2764253109</v>
      </c>
      <c r="DF214" s="3070">
        <v>1464966739</v>
      </c>
      <c r="DG214" s="3070">
        <v>14938370</v>
      </c>
      <c r="DH214" s="3070">
        <v>1284348000</v>
      </c>
      <c r="DI214" s="3070">
        <v>1278128000</v>
      </c>
      <c r="DJ214" s="3070">
        <v>6220000</v>
      </c>
      <c r="DK214" s="3070">
        <v>0</v>
      </c>
      <c r="DL214" s="3070">
        <v>0</v>
      </c>
      <c r="DM214" s="3070">
        <v>25491817.620000001</v>
      </c>
      <c r="DN214" s="3070">
        <v>2764253109</v>
      </c>
      <c r="DP214" s="3070">
        <v>2764253109</v>
      </c>
    </row>
    <row r="215" spans="1:120">
      <c r="A215" s="3070">
        <v>214</v>
      </c>
      <c r="B215" s="3070" t="s">
        <v>3224</v>
      </c>
      <c r="C215" s="3070">
        <v>2</v>
      </c>
      <c r="E215" s="3070">
        <v>1103</v>
      </c>
      <c r="F215" s="3070" t="s">
        <v>5053</v>
      </c>
      <c r="G215" s="3070" t="s">
        <v>5054</v>
      </c>
      <c r="H215" s="3070">
        <v>1280702</v>
      </c>
      <c r="I215" s="3070">
        <v>1280702</v>
      </c>
      <c r="J215" s="3070">
        <v>101.58</v>
      </c>
      <c r="K215" s="3070">
        <v>75.45</v>
      </c>
      <c r="L215" s="3070">
        <v>0</v>
      </c>
      <c r="M215" s="3070">
        <v>0</v>
      </c>
      <c r="N215" s="3070">
        <v>15544.44</v>
      </c>
      <c r="O215" s="3070">
        <v>1579004</v>
      </c>
      <c r="P215" s="3070">
        <v>12607.82</v>
      </c>
      <c r="Q215" s="3070">
        <v>1280702</v>
      </c>
      <c r="R215" s="3070" t="s">
        <v>3227</v>
      </c>
      <c r="S215" s="3070" t="s">
        <v>5055</v>
      </c>
      <c r="T215" s="3070" t="s">
        <v>3246</v>
      </c>
      <c r="U215" s="3070" t="s">
        <v>3259</v>
      </c>
      <c r="V215" s="3070" t="s">
        <v>3230</v>
      </c>
      <c r="Y215" s="3070">
        <v>390702</v>
      </c>
      <c r="Z215" s="3070">
        <v>390702</v>
      </c>
      <c r="AA215" s="3070">
        <v>390702</v>
      </c>
      <c r="AB215" s="3070">
        <v>0</v>
      </c>
      <c r="AC215" s="3070">
        <v>890000</v>
      </c>
      <c r="AD215" s="3070">
        <v>890000</v>
      </c>
      <c r="AE215" s="3070">
        <v>0</v>
      </c>
      <c r="AI215" s="3070" t="s">
        <v>3227</v>
      </c>
      <c r="AJ215" s="3070">
        <v>0</v>
      </c>
      <c r="AK215" s="3070">
        <v>0</v>
      </c>
      <c r="AL215" s="3070">
        <v>0</v>
      </c>
      <c r="AM215" s="3070">
        <v>12607.82</v>
      </c>
      <c r="AN215" s="3070">
        <v>1280702</v>
      </c>
      <c r="AP215" s="3070">
        <v>1280702</v>
      </c>
      <c r="AQ215" s="3072">
        <v>45230</v>
      </c>
      <c r="AT215" s="3073">
        <v>45770</v>
      </c>
      <c r="AV215" s="3070" t="s">
        <v>5056</v>
      </c>
      <c r="AW215" s="3070" t="s">
        <v>5057</v>
      </c>
      <c r="AX215" s="3070" t="s">
        <v>5058</v>
      </c>
      <c r="AY215" s="3070" t="s">
        <v>3722</v>
      </c>
      <c r="BC215" s="3070" t="s">
        <v>3284</v>
      </c>
      <c r="BD215" s="3070" t="s">
        <v>3077</v>
      </c>
      <c r="BI215" s="3070" t="s">
        <v>3235</v>
      </c>
      <c r="BJ215" s="3070" t="s">
        <v>3338</v>
      </c>
      <c r="BL215" s="3070" t="s">
        <v>5059</v>
      </c>
      <c r="BM215" s="3075">
        <v>44228</v>
      </c>
      <c r="BN215" s="3070">
        <v>103</v>
      </c>
      <c r="BO215" s="3070" t="s">
        <v>3253</v>
      </c>
      <c r="BR215" s="3070">
        <v>71</v>
      </c>
      <c r="BS215" s="3070" t="s">
        <v>3238</v>
      </c>
      <c r="BZ215" s="3073">
        <v>44142.956250000003</v>
      </c>
      <c r="CA215" s="3070">
        <v>2</v>
      </c>
      <c r="CD215" s="3070" t="s">
        <v>3239</v>
      </c>
      <c r="CF215" s="3070" t="s">
        <v>3091</v>
      </c>
      <c r="CH215" s="3070" t="s">
        <v>3240</v>
      </c>
      <c r="CI215" s="3070">
        <v>0</v>
      </c>
      <c r="CK215" s="3070" t="s">
        <v>3722</v>
      </c>
      <c r="CL215" s="3070" t="s">
        <v>3722</v>
      </c>
      <c r="CM215" s="3070">
        <v>1174955.96</v>
      </c>
      <c r="CV215" s="3070" t="s">
        <v>3246</v>
      </c>
      <c r="CW215" s="3070" t="s">
        <v>5060</v>
      </c>
      <c r="CZ215" s="3070">
        <v>213894.57</v>
      </c>
      <c r="DA215" s="3070">
        <v>159426.93</v>
      </c>
      <c r="DB215" s="3070">
        <v>0</v>
      </c>
      <c r="DC215" s="3070">
        <v>0</v>
      </c>
      <c r="DD215" s="3070">
        <v>3290547602</v>
      </c>
      <c r="DE215" s="3070">
        <v>2764253109</v>
      </c>
      <c r="DF215" s="3070">
        <v>1464966739</v>
      </c>
      <c r="DG215" s="3070">
        <v>14938370</v>
      </c>
      <c r="DH215" s="3070">
        <v>1284348000</v>
      </c>
      <c r="DI215" s="3070">
        <v>1278128000</v>
      </c>
      <c r="DJ215" s="3070">
        <v>6220000</v>
      </c>
      <c r="DK215" s="3070">
        <v>0</v>
      </c>
      <c r="DL215" s="3070">
        <v>0</v>
      </c>
      <c r="DM215" s="3070">
        <v>25491817.620000001</v>
      </c>
      <c r="DN215" s="3070">
        <v>2764253109</v>
      </c>
      <c r="DP215" s="3070">
        <v>2764253109</v>
      </c>
    </row>
    <row r="216" spans="1:120">
      <c r="A216" s="3070">
        <v>215</v>
      </c>
      <c r="B216" s="3070" t="s">
        <v>3224</v>
      </c>
      <c r="C216" s="3070">
        <v>2</v>
      </c>
      <c r="E216" s="3070">
        <v>1104</v>
      </c>
      <c r="F216" s="3070" t="s">
        <v>5061</v>
      </c>
      <c r="G216" s="3070" t="s">
        <v>5062</v>
      </c>
      <c r="H216" s="3070">
        <v>1507528</v>
      </c>
      <c r="I216" s="3070">
        <v>1507528</v>
      </c>
      <c r="J216" s="3070">
        <v>121.75</v>
      </c>
      <c r="K216" s="3070">
        <v>90.43</v>
      </c>
      <c r="L216" s="3070">
        <v>0</v>
      </c>
      <c r="M216" s="3070">
        <v>0</v>
      </c>
      <c r="N216" s="3070">
        <v>15494.44</v>
      </c>
      <c r="O216" s="3070">
        <v>1886448</v>
      </c>
      <c r="P216" s="3070">
        <v>12382.16</v>
      </c>
      <c r="Q216" s="3070">
        <v>1507528</v>
      </c>
      <c r="R216" s="3070" t="s">
        <v>3227</v>
      </c>
      <c r="S216" s="3070" t="s">
        <v>5063</v>
      </c>
      <c r="T216" s="3070" t="s">
        <v>3246</v>
      </c>
      <c r="U216" s="3070" t="s">
        <v>3381</v>
      </c>
      <c r="V216" s="3070" t="s">
        <v>3230</v>
      </c>
      <c r="Y216" s="3070">
        <v>457528</v>
      </c>
      <c r="Z216" s="3070">
        <v>452258</v>
      </c>
      <c r="AA216" s="3070">
        <v>457528</v>
      </c>
      <c r="AB216" s="3070">
        <v>0</v>
      </c>
      <c r="AC216" s="3070">
        <v>1050000</v>
      </c>
      <c r="AD216" s="3070">
        <v>1050000</v>
      </c>
      <c r="AE216" s="3070">
        <v>0</v>
      </c>
      <c r="AI216" s="3070" t="s">
        <v>3227</v>
      </c>
      <c r="AJ216" s="3070">
        <v>0</v>
      </c>
      <c r="AK216" s="3070">
        <v>0</v>
      </c>
      <c r="AL216" s="3070">
        <v>0</v>
      </c>
      <c r="AM216" s="3070">
        <v>12382.16</v>
      </c>
      <c r="AN216" s="3070">
        <v>1507528</v>
      </c>
      <c r="AP216" s="3070">
        <v>1507528</v>
      </c>
      <c r="AQ216" s="3072">
        <v>45230</v>
      </c>
      <c r="AT216" s="3073">
        <v>45770</v>
      </c>
      <c r="AV216" s="3070" t="s">
        <v>5064</v>
      </c>
      <c r="AW216" s="3070" t="s">
        <v>5065</v>
      </c>
      <c r="AX216" s="3070" t="s">
        <v>5066</v>
      </c>
      <c r="AY216" s="3070" t="s">
        <v>4065</v>
      </c>
      <c r="BA216" s="3070" t="s">
        <v>4065</v>
      </c>
      <c r="BC216" s="3070" t="s">
        <v>5067</v>
      </c>
      <c r="BD216" s="3070" t="s">
        <v>3075</v>
      </c>
      <c r="BI216" s="3070" t="s">
        <v>3235</v>
      </c>
      <c r="BL216" s="3070" t="s">
        <v>5068</v>
      </c>
      <c r="BM216" s="3075">
        <v>44228</v>
      </c>
      <c r="BN216" s="3070">
        <v>104</v>
      </c>
      <c r="BO216" s="3070" t="s">
        <v>3253</v>
      </c>
      <c r="BR216" s="3070">
        <v>20</v>
      </c>
      <c r="BS216" s="3070" t="s">
        <v>3238</v>
      </c>
      <c r="BU216" s="3070" t="s">
        <v>4065</v>
      </c>
      <c r="BZ216" s="3073">
        <v>44197.612500000003</v>
      </c>
      <c r="CA216" s="3070">
        <v>2</v>
      </c>
      <c r="CD216" s="3070" t="s">
        <v>3239</v>
      </c>
      <c r="CF216" s="3070" t="s">
        <v>3091</v>
      </c>
      <c r="CH216" s="3070" t="s">
        <v>3240</v>
      </c>
      <c r="CI216" s="3070">
        <v>0</v>
      </c>
      <c r="CK216" s="3070" t="s">
        <v>4068</v>
      </c>
      <c r="CL216" s="3070" t="s">
        <v>4065</v>
      </c>
      <c r="CM216" s="3070">
        <v>1383053.21</v>
      </c>
      <c r="CV216" s="3070" t="s">
        <v>3246</v>
      </c>
      <c r="CW216" s="3070" t="s">
        <v>5069</v>
      </c>
      <c r="CZ216" s="3070">
        <v>213894.57</v>
      </c>
      <c r="DA216" s="3070">
        <v>159426.93</v>
      </c>
      <c r="DB216" s="3070">
        <v>0</v>
      </c>
      <c r="DC216" s="3070">
        <v>0</v>
      </c>
      <c r="DD216" s="3070">
        <v>3290547602</v>
      </c>
      <c r="DE216" s="3070">
        <v>2764253109</v>
      </c>
      <c r="DF216" s="3070">
        <v>1464966739</v>
      </c>
      <c r="DG216" s="3070">
        <v>14938370</v>
      </c>
      <c r="DH216" s="3070">
        <v>1284348000</v>
      </c>
      <c r="DI216" s="3070">
        <v>1278128000</v>
      </c>
      <c r="DJ216" s="3070">
        <v>6220000</v>
      </c>
      <c r="DK216" s="3070">
        <v>0</v>
      </c>
      <c r="DL216" s="3070">
        <v>0</v>
      </c>
      <c r="DM216" s="3070">
        <v>25491817.620000001</v>
      </c>
      <c r="DN216" s="3070">
        <v>2764253109</v>
      </c>
      <c r="DP216" s="3070">
        <v>2764253109</v>
      </c>
    </row>
    <row r="217" spans="1:120">
      <c r="A217" s="3070">
        <v>216</v>
      </c>
      <c r="B217" s="3070" t="s">
        <v>3224</v>
      </c>
      <c r="C217" s="3070">
        <v>2</v>
      </c>
      <c r="E217" s="3070">
        <v>1201</v>
      </c>
      <c r="F217" s="3070" t="s">
        <v>5070</v>
      </c>
      <c r="G217" s="3070" t="s">
        <v>5071</v>
      </c>
      <c r="H217" s="3070">
        <v>1529214</v>
      </c>
      <c r="I217" s="3070">
        <v>1529214</v>
      </c>
      <c r="J217" s="3070">
        <v>121.75</v>
      </c>
      <c r="K217" s="3070">
        <v>90.43</v>
      </c>
      <c r="L217" s="3070">
        <v>0</v>
      </c>
      <c r="M217" s="3070">
        <v>0</v>
      </c>
      <c r="N217" s="3070">
        <v>15494.44</v>
      </c>
      <c r="O217" s="3070">
        <v>1886448</v>
      </c>
      <c r="P217" s="3070">
        <v>12560.28</v>
      </c>
      <c r="Q217" s="3070">
        <v>1529214</v>
      </c>
      <c r="R217" s="3070" t="s">
        <v>3227</v>
      </c>
      <c r="S217" s="3070" t="s">
        <v>5072</v>
      </c>
      <c r="T217" s="3070" t="s">
        <v>3246</v>
      </c>
      <c r="U217" s="3070" t="s">
        <v>3247</v>
      </c>
      <c r="V217" s="3070" t="s">
        <v>3230</v>
      </c>
      <c r="Y217" s="3070">
        <v>709214</v>
      </c>
      <c r="Z217" s="3070">
        <v>709214</v>
      </c>
      <c r="AA217" s="3070">
        <v>709214</v>
      </c>
      <c r="AB217" s="3070">
        <v>0</v>
      </c>
      <c r="AC217" s="3070">
        <v>820000</v>
      </c>
      <c r="AD217" s="3070">
        <v>820000</v>
      </c>
      <c r="AE217" s="3070">
        <v>0</v>
      </c>
      <c r="AI217" s="3070" t="s">
        <v>3227</v>
      </c>
      <c r="AJ217" s="3070">
        <v>0</v>
      </c>
      <c r="AK217" s="3070">
        <v>0</v>
      </c>
      <c r="AL217" s="3070">
        <v>0</v>
      </c>
      <c r="AM217" s="3070">
        <v>12560.28</v>
      </c>
      <c r="AN217" s="3070">
        <v>1529214</v>
      </c>
      <c r="AP217" s="3070">
        <v>1529214</v>
      </c>
      <c r="AQ217" s="3072">
        <v>45230</v>
      </c>
      <c r="AT217" s="3073">
        <v>45770</v>
      </c>
      <c r="AV217" s="3074">
        <v>3.21E+17</v>
      </c>
      <c r="AW217" s="3070" t="s">
        <v>5073</v>
      </c>
      <c r="AX217" s="3070" t="s">
        <v>5074</v>
      </c>
      <c r="AY217" s="3070" t="s">
        <v>3497</v>
      </c>
      <c r="BC217" s="3070" t="s">
        <v>3284</v>
      </c>
      <c r="BD217" s="3070" t="s">
        <v>3075</v>
      </c>
      <c r="BI217" s="3070" t="s">
        <v>3235</v>
      </c>
      <c r="BL217" s="3070" t="s">
        <v>5075</v>
      </c>
      <c r="BM217" s="3075">
        <v>44228</v>
      </c>
      <c r="BN217" s="3070">
        <v>201</v>
      </c>
      <c r="BO217" s="3070" t="s">
        <v>3253</v>
      </c>
      <c r="BR217" s="3070">
        <v>569</v>
      </c>
      <c r="BS217" s="3070" t="s">
        <v>3238</v>
      </c>
      <c r="BZ217" s="3073">
        <v>44142.606249999997</v>
      </c>
      <c r="CA217" s="3070">
        <v>2</v>
      </c>
      <c r="CD217" s="3070" t="s">
        <v>3239</v>
      </c>
      <c r="CF217" s="3070" t="s">
        <v>3091</v>
      </c>
      <c r="CH217" s="3070" t="s">
        <v>3240</v>
      </c>
      <c r="CI217" s="3070">
        <v>0</v>
      </c>
      <c r="CK217" s="3070" t="s">
        <v>3497</v>
      </c>
      <c r="CL217" s="3070" t="s">
        <v>3497</v>
      </c>
      <c r="CM217" s="3070">
        <v>1402948.62</v>
      </c>
      <c r="CV217" s="3070" t="s">
        <v>3246</v>
      </c>
      <c r="CW217" s="3070" t="s">
        <v>5076</v>
      </c>
      <c r="CX217" s="3070" t="s">
        <v>3510</v>
      </c>
      <c r="CZ217" s="3070">
        <v>213894.57</v>
      </c>
      <c r="DA217" s="3070">
        <v>159426.93</v>
      </c>
      <c r="DB217" s="3070">
        <v>0</v>
      </c>
      <c r="DC217" s="3070">
        <v>0</v>
      </c>
      <c r="DD217" s="3070">
        <v>3290547602</v>
      </c>
      <c r="DE217" s="3070">
        <v>2764253109</v>
      </c>
      <c r="DF217" s="3070">
        <v>1464966739</v>
      </c>
      <c r="DG217" s="3070">
        <v>14938370</v>
      </c>
      <c r="DH217" s="3070">
        <v>1284348000</v>
      </c>
      <c r="DI217" s="3070">
        <v>1278128000</v>
      </c>
      <c r="DJ217" s="3070">
        <v>6220000</v>
      </c>
      <c r="DK217" s="3070">
        <v>0</v>
      </c>
      <c r="DL217" s="3070">
        <v>0</v>
      </c>
      <c r="DM217" s="3070">
        <v>25491817.620000001</v>
      </c>
      <c r="DN217" s="3070">
        <v>2764253109</v>
      </c>
      <c r="DP217" s="3070">
        <v>2764253109</v>
      </c>
    </row>
    <row r="218" spans="1:120">
      <c r="A218" s="3070">
        <v>217</v>
      </c>
      <c r="B218" s="3070" t="s">
        <v>3224</v>
      </c>
      <c r="C218" s="3070">
        <v>2</v>
      </c>
      <c r="E218" s="3070">
        <v>1202</v>
      </c>
      <c r="F218" s="3070" t="s">
        <v>5077</v>
      </c>
      <c r="G218" s="3070" t="s">
        <v>5078</v>
      </c>
      <c r="H218" s="3070">
        <v>1285530</v>
      </c>
      <c r="I218" s="3070">
        <v>1285530</v>
      </c>
      <c r="J218" s="3070">
        <v>101.58</v>
      </c>
      <c r="K218" s="3070">
        <v>75.45</v>
      </c>
      <c r="L218" s="3070">
        <v>0</v>
      </c>
      <c r="M218" s="3070">
        <v>0</v>
      </c>
      <c r="N218" s="3070">
        <v>15594.44</v>
      </c>
      <c r="O218" s="3070">
        <v>1584083</v>
      </c>
      <c r="P218" s="3070">
        <v>12655.35</v>
      </c>
      <c r="Q218" s="3070">
        <v>1285530</v>
      </c>
      <c r="R218" s="3070" t="s">
        <v>3227</v>
      </c>
      <c r="S218" s="3070" t="s">
        <v>5079</v>
      </c>
      <c r="T218" s="3070" t="s">
        <v>3246</v>
      </c>
      <c r="U218" s="3070" t="s">
        <v>3259</v>
      </c>
      <c r="V218" s="3070" t="s">
        <v>3230</v>
      </c>
      <c r="Y218" s="3070">
        <v>595530</v>
      </c>
      <c r="Z218" s="3070">
        <v>595530</v>
      </c>
      <c r="AA218" s="3070">
        <v>595530</v>
      </c>
      <c r="AB218" s="3070">
        <v>0</v>
      </c>
      <c r="AC218" s="3070">
        <v>690000</v>
      </c>
      <c r="AD218" s="3070">
        <v>690000</v>
      </c>
      <c r="AE218" s="3070">
        <v>0</v>
      </c>
      <c r="AI218" s="3070" t="s">
        <v>3227</v>
      </c>
      <c r="AJ218" s="3070">
        <v>0</v>
      </c>
      <c r="AK218" s="3070">
        <v>0</v>
      </c>
      <c r="AL218" s="3070">
        <v>0</v>
      </c>
      <c r="AM218" s="3070">
        <v>12655.35</v>
      </c>
      <c r="AN218" s="3070">
        <v>1285530</v>
      </c>
      <c r="AP218" s="3070">
        <v>1285530</v>
      </c>
      <c r="AQ218" s="3072">
        <v>45230</v>
      </c>
      <c r="AT218" s="3073">
        <v>45770</v>
      </c>
      <c r="AV218" s="3070" t="s">
        <v>5080</v>
      </c>
      <c r="AW218" s="3070" t="s">
        <v>5081</v>
      </c>
      <c r="AX218" s="3070" t="s">
        <v>5082</v>
      </c>
      <c r="AY218" s="3070" t="s">
        <v>3722</v>
      </c>
      <c r="BC218" s="3070" t="s">
        <v>3284</v>
      </c>
      <c r="BD218" s="3070" t="s">
        <v>3077</v>
      </c>
      <c r="BI218" s="3070" t="s">
        <v>3235</v>
      </c>
      <c r="BJ218" s="3070" t="s">
        <v>3338</v>
      </c>
      <c r="BL218" s="3070" t="s">
        <v>5083</v>
      </c>
      <c r="BM218" s="3075">
        <v>44228</v>
      </c>
      <c r="BN218" s="3070">
        <v>202</v>
      </c>
      <c r="BO218" s="3070" t="s">
        <v>3253</v>
      </c>
      <c r="BR218" s="3070">
        <v>708</v>
      </c>
      <c r="BS218" s="3070" t="s">
        <v>3238</v>
      </c>
      <c r="BZ218" s="3073">
        <v>44143.690972222219</v>
      </c>
      <c r="CA218" s="3070">
        <v>2</v>
      </c>
      <c r="CD218" s="3070" t="s">
        <v>3239</v>
      </c>
      <c r="CF218" s="3070" t="s">
        <v>3091</v>
      </c>
      <c r="CH218" s="3070" t="s">
        <v>3240</v>
      </c>
      <c r="CI218" s="3070">
        <v>0</v>
      </c>
      <c r="CK218" s="3070" t="s">
        <v>3722</v>
      </c>
      <c r="CL218" s="3070" t="s">
        <v>3722</v>
      </c>
      <c r="CM218" s="3070">
        <v>1179385.32</v>
      </c>
      <c r="CV218" s="3070" t="s">
        <v>3246</v>
      </c>
      <c r="CW218" s="3070" t="s">
        <v>5084</v>
      </c>
      <c r="CZ218" s="3070">
        <v>213894.57</v>
      </c>
      <c r="DA218" s="3070">
        <v>159426.93</v>
      </c>
      <c r="DB218" s="3070">
        <v>0</v>
      </c>
      <c r="DC218" s="3070">
        <v>0</v>
      </c>
      <c r="DD218" s="3070">
        <v>3290547602</v>
      </c>
      <c r="DE218" s="3070">
        <v>2764253109</v>
      </c>
      <c r="DF218" s="3070">
        <v>1464966739</v>
      </c>
      <c r="DG218" s="3070">
        <v>14938370</v>
      </c>
      <c r="DH218" s="3070">
        <v>1284348000</v>
      </c>
      <c r="DI218" s="3070">
        <v>1278128000</v>
      </c>
      <c r="DJ218" s="3070">
        <v>6220000</v>
      </c>
      <c r="DK218" s="3070">
        <v>0</v>
      </c>
      <c r="DL218" s="3070">
        <v>0</v>
      </c>
      <c r="DM218" s="3070">
        <v>25491817.620000001</v>
      </c>
      <c r="DN218" s="3070">
        <v>2764253109</v>
      </c>
      <c r="DP218" s="3070">
        <v>2764253109</v>
      </c>
    </row>
    <row r="219" spans="1:120">
      <c r="A219" s="3070">
        <v>218</v>
      </c>
      <c r="B219" s="3070" t="s">
        <v>3224</v>
      </c>
      <c r="C219" s="3070">
        <v>2</v>
      </c>
      <c r="E219" s="3070">
        <v>1203</v>
      </c>
      <c r="F219" s="3070" t="s">
        <v>5085</v>
      </c>
      <c r="G219" s="3070" t="s">
        <v>5086</v>
      </c>
      <c r="H219" s="3070">
        <v>1272675</v>
      </c>
      <c r="I219" s="3070">
        <v>1272675</v>
      </c>
      <c r="J219" s="3070">
        <v>101.58</v>
      </c>
      <c r="K219" s="3070">
        <v>75.45</v>
      </c>
      <c r="L219" s="3070">
        <v>0</v>
      </c>
      <c r="M219" s="3070">
        <v>0</v>
      </c>
      <c r="N219" s="3070">
        <v>15594.44</v>
      </c>
      <c r="O219" s="3070">
        <v>1584083</v>
      </c>
      <c r="P219" s="3070">
        <v>12528.8</v>
      </c>
      <c r="Q219" s="3070">
        <v>1272675</v>
      </c>
      <c r="R219" s="3070" t="s">
        <v>3227</v>
      </c>
      <c r="S219" s="3070" t="s">
        <v>5087</v>
      </c>
      <c r="T219" s="3070" t="s">
        <v>3229</v>
      </c>
      <c r="V219" s="3070" t="s">
        <v>3230</v>
      </c>
      <c r="Y219" s="3070">
        <v>381803</v>
      </c>
      <c r="Z219" s="3070">
        <v>381803</v>
      </c>
      <c r="AA219" s="3070">
        <v>1272675</v>
      </c>
      <c r="AB219" s="3070">
        <v>0</v>
      </c>
      <c r="AC219" s="3070">
        <v>0</v>
      </c>
      <c r="AD219" s="3070">
        <v>0</v>
      </c>
      <c r="AE219" s="3070">
        <v>0</v>
      </c>
      <c r="AI219" s="3070" t="s">
        <v>3227</v>
      </c>
      <c r="AJ219" s="3070">
        <v>0</v>
      </c>
      <c r="AK219" s="3070">
        <v>0</v>
      </c>
      <c r="AL219" s="3070">
        <v>0</v>
      </c>
      <c r="AM219" s="3070">
        <v>12528.8</v>
      </c>
      <c r="AN219" s="3070">
        <v>1272675</v>
      </c>
      <c r="AP219" s="3070">
        <v>1272675</v>
      </c>
      <c r="AQ219" s="3072">
        <v>45230</v>
      </c>
      <c r="AT219" s="3073">
        <v>45770</v>
      </c>
      <c r="AV219" s="3070" t="s">
        <v>5088</v>
      </c>
      <c r="AW219" s="3070" t="s">
        <v>5089</v>
      </c>
      <c r="AX219" s="3070" t="s">
        <v>5090</v>
      </c>
      <c r="AY219" s="3070" t="s">
        <v>3497</v>
      </c>
      <c r="BC219" s="3070" t="s">
        <v>3792</v>
      </c>
      <c r="BD219" s="3070" t="s">
        <v>3077</v>
      </c>
      <c r="BI219" s="3070" t="s">
        <v>3235</v>
      </c>
      <c r="BJ219" s="3070" t="s">
        <v>3296</v>
      </c>
      <c r="BL219" s="3070" t="s">
        <v>5091</v>
      </c>
      <c r="BM219" s="3075">
        <v>44228</v>
      </c>
      <c r="BN219" s="3070">
        <v>203</v>
      </c>
      <c r="BR219" s="3070">
        <v>347</v>
      </c>
      <c r="BS219" s="3070" t="s">
        <v>3238</v>
      </c>
      <c r="BZ219" s="3073">
        <v>44142.634027777778</v>
      </c>
      <c r="CA219" s="3070">
        <v>2</v>
      </c>
      <c r="CD219" s="3070" t="s">
        <v>3239</v>
      </c>
      <c r="CF219" s="3070" t="s">
        <v>3091</v>
      </c>
      <c r="CH219" s="3070" t="s">
        <v>3240</v>
      </c>
      <c r="CI219" s="3070">
        <v>0</v>
      </c>
      <c r="CK219" s="3070" t="s">
        <v>3497</v>
      </c>
      <c r="CL219" s="3070" t="s">
        <v>3497</v>
      </c>
      <c r="CM219" s="3070">
        <v>1167591.74</v>
      </c>
      <c r="CV219" s="3070" t="s">
        <v>3229</v>
      </c>
      <c r="CW219" s="3070" t="s">
        <v>5092</v>
      </c>
      <c r="CX219" s="3070" t="s">
        <v>3311</v>
      </c>
      <c r="CZ219" s="3070">
        <v>213894.57</v>
      </c>
      <c r="DA219" s="3070">
        <v>159426.93</v>
      </c>
      <c r="DB219" s="3070">
        <v>0</v>
      </c>
      <c r="DC219" s="3070">
        <v>0</v>
      </c>
      <c r="DD219" s="3070">
        <v>3290547602</v>
      </c>
      <c r="DE219" s="3070">
        <v>2764253109</v>
      </c>
      <c r="DF219" s="3070">
        <v>1464966739</v>
      </c>
      <c r="DG219" s="3070">
        <v>14938370</v>
      </c>
      <c r="DH219" s="3070">
        <v>1284348000</v>
      </c>
      <c r="DI219" s="3070">
        <v>1278128000</v>
      </c>
      <c r="DJ219" s="3070">
        <v>6220000</v>
      </c>
      <c r="DK219" s="3070">
        <v>0</v>
      </c>
      <c r="DL219" s="3070">
        <v>0</v>
      </c>
      <c r="DM219" s="3070">
        <v>25491817.620000001</v>
      </c>
      <c r="DN219" s="3070">
        <v>2764253109</v>
      </c>
      <c r="DP219" s="3070">
        <v>2764253109</v>
      </c>
    </row>
    <row r="220" spans="1:120">
      <c r="A220" s="3070">
        <v>219</v>
      </c>
      <c r="B220" s="3070" t="s">
        <v>3224</v>
      </c>
      <c r="C220" s="3070">
        <v>2</v>
      </c>
      <c r="E220" s="3070">
        <v>1204</v>
      </c>
      <c r="F220" s="3070" t="s">
        <v>5093</v>
      </c>
      <c r="G220" s="3070" t="s">
        <v>5094</v>
      </c>
      <c r="H220" s="3070">
        <v>1618849</v>
      </c>
      <c r="I220" s="3070">
        <v>1618849</v>
      </c>
      <c r="J220" s="3070">
        <v>121.75</v>
      </c>
      <c r="K220" s="3070">
        <v>90.43</v>
      </c>
      <c r="L220" s="3070">
        <v>0</v>
      </c>
      <c r="M220" s="3070">
        <v>0</v>
      </c>
      <c r="N220" s="3070">
        <v>15544.44</v>
      </c>
      <c r="O220" s="3070">
        <v>1892536</v>
      </c>
      <c r="P220" s="3070">
        <v>13296.5</v>
      </c>
      <c r="Q220" s="3070">
        <v>1618849</v>
      </c>
      <c r="R220" s="3070" t="s">
        <v>3227</v>
      </c>
      <c r="S220" s="3070" t="s">
        <v>5095</v>
      </c>
      <c r="T220" s="3070" t="s">
        <v>3494</v>
      </c>
      <c r="V220" s="3070" t="s">
        <v>3230</v>
      </c>
      <c r="Y220" s="3070">
        <v>161885</v>
      </c>
      <c r="Z220" s="3070">
        <v>161885</v>
      </c>
      <c r="AA220" s="3070">
        <v>1618849</v>
      </c>
      <c r="AB220" s="3070">
        <v>0</v>
      </c>
      <c r="AC220" s="3070">
        <v>0</v>
      </c>
      <c r="AD220" s="3070">
        <v>0</v>
      </c>
      <c r="AE220" s="3070">
        <v>0</v>
      </c>
      <c r="AI220" s="3070" t="s">
        <v>3227</v>
      </c>
      <c r="AJ220" s="3070">
        <v>0</v>
      </c>
      <c r="AK220" s="3070">
        <v>0</v>
      </c>
      <c r="AL220" s="3070">
        <v>0</v>
      </c>
      <c r="AM220" s="3070">
        <v>13296.5</v>
      </c>
      <c r="AN220" s="3070">
        <v>1618849</v>
      </c>
      <c r="AP220" s="3070">
        <v>1618849</v>
      </c>
      <c r="AQ220" s="3072">
        <v>45230</v>
      </c>
      <c r="AT220" s="3073">
        <v>45770</v>
      </c>
      <c r="AV220" s="3074">
        <v>3.21E+17</v>
      </c>
      <c r="AW220" s="3070" t="s">
        <v>5096</v>
      </c>
      <c r="AX220" s="3070" t="s">
        <v>5097</v>
      </c>
      <c r="AY220" s="3070" t="s">
        <v>3892</v>
      </c>
      <c r="BA220" s="3070" t="s">
        <v>4056</v>
      </c>
      <c r="BC220" s="3070" t="s">
        <v>4117</v>
      </c>
      <c r="BD220" s="3070" t="s">
        <v>3075</v>
      </c>
      <c r="BI220" s="3070" t="s">
        <v>4630</v>
      </c>
      <c r="BL220" s="3070" t="s">
        <v>5098</v>
      </c>
      <c r="BM220" s="3075">
        <v>44228</v>
      </c>
      <c r="BN220" s="3070">
        <v>204</v>
      </c>
      <c r="BR220" s="3070">
        <v>16</v>
      </c>
      <c r="BS220" s="3070" t="s">
        <v>3238</v>
      </c>
      <c r="BU220" s="3070" t="s">
        <v>4056</v>
      </c>
      <c r="BZ220" s="3073">
        <v>44187.554166666669</v>
      </c>
      <c r="CA220" s="3070">
        <v>2</v>
      </c>
      <c r="CD220" s="3070" t="s">
        <v>3239</v>
      </c>
      <c r="CF220" s="3070" t="s">
        <v>3091</v>
      </c>
      <c r="CH220" s="3070" t="s">
        <v>3240</v>
      </c>
      <c r="CI220" s="3070">
        <v>0</v>
      </c>
      <c r="CK220" s="3070" t="s">
        <v>4056</v>
      </c>
      <c r="CL220" s="3070" t="s">
        <v>4056</v>
      </c>
      <c r="CM220" s="3070">
        <v>1485182.57</v>
      </c>
      <c r="CV220" s="3070" t="s">
        <v>3494</v>
      </c>
      <c r="CW220" s="3070" t="s">
        <v>5099</v>
      </c>
      <c r="CZ220" s="3070">
        <v>213894.57</v>
      </c>
      <c r="DA220" s="3070">
        <v>159426.93</v>
      </c>
      <c r="DB220" s="3070">
        <v>0</v>
      </c>
      <c r="DC220" s="3070">
        <v>0</v>
      </c>
      <c r="DD220" s="3070">
        <v>3290547602</v>
      </c>
      <c r="DE220" s="3070">
        <v>2764253109</v>
      </c>
      <c r="DF220" s="3070">
        <v>1464966739</v>
      </c>
      <c r="DG220" s="3070">
        <v>14938370</v>
      </c>
      <c r="DH220" s="3070">
        <v>1284348000</v>
      </c>
      <c r="DI220" s="3070">
        <v>1278128000</v>
      </c>
      <c r="DJ220" s="3070">
        <v>6220000</v>
      </c>
      <c r="DK220" s="3070">
        <v>0</v>
      </c>
      <c r="DL220" s="3070">
        <v>0</v>
      </c>
      <c r="DM220" s="3070">
        <v>25491817.620000001</v>
      </c>
      <c r="DN220" s="3070">
        <v>2764253109</v>
      </c>
      <c r="DP220" s="3070">
        <v>2764253109</v>
      </c>
    </row>
    <row r="221" spans="1:120">
      <c r="A221" s="3070">
        <v>220</v>
      </c>
      <c r="B221" s="3070" t="s">
        <v>3224</v>
      </c>
      <c r="C221" s="3070">
        <v>2</v>
      </c>
      <c r="E221" s="3070">
        <v>1301</v>
      </c>
      <c r="F221" s="3070" t="s">
        <v>5100</v>
      </c>
      <c r="G221" s="3070" t="s">
        <v>5101</v>
      </c>
      <c r="H221" s="3070">
        <v>1529214</v>
      </c>
      <c r="I221" s="3070">
        <v>1529214</v>
      </c>
      <c r="J221" s="3070">
        <v>121.75</v>
      </c>
      <c r="K221" s="3070">
        <v>90.43</v>
      </c>
      <c r="L221" s="3070">
        <v>0</v>
      </c>
      <c r="M221" s="3070">
        <v>0</v>
      </c>
      <c r="N221" s="3070">
        <v>15494.44</v>
      </c>
      <c r="O221" s="3070">
        <v>1886448</v>
      </c>
      <c r="P221" s="3070">
        <v>12560.28</v>
      </c>
      <c r="Q221" s="3070">
        <v>1529214</v>
      </c>
      <c r="R221" s="3070" t="s">
        <v>3227</v>
      </c>
      <c r="S221" s="3070" t="s">
        <v>5102</v>
      </c>
      <c r="T221" s="3070" t="s">
        <v>3246</v>
      </c>
      <c r="U221" s="3070" t="s">
        <v>3371</v>
      </c>
      <c r="V221" s="3070" t="s">
        <v>3230</v>
      </c>
      <c r="Y221" s="3070">
        <v>459214</v>
      </c>
      <c r="Z221" s="3070">
        <v>459214</v>
      </c>
      <c r="AA221" s="3070">
        <v>459214</v>
      </c>
      <c r="AB221" s="3070">
        <v>0</v>
      </c>
      <c r="AC221" s="3070">
        <v>1070000</v>
      </c>
      <c r="AD221" s="3070">
        <v>1070000</v>
      </c>
      <c r="AE221" s="3070">
        <v>0</v>
      </c>
      <c r="AI221" s="3070" t="s">
        <v>3227</v>
      </c>
      <c r="AJ221" s="3070">
        <v>0</v>
      </c>
      <c r="AK221" s="3070">
        <v>0</v>
      </c>
      <c r="AL221" s="3070">
        <v>0</v>
      </c>
      <c r="AM221" s="3070">
        <v>12560.28</v>
      </c>
      <c r="AN221" s="3070">
        <v>1529214</v>
      </c>
      <c r="AP221" s="3070">
        <v>1529214</v>
      </c>
      <c r="AQ221" s="3072">
        <v>45230</v>
      </c>
      <c r="AT221" s="3073">
        <v>45770</v>
      </c>
      <c r="AV221" s="3070" t="s">
        <v>5103</v>
      </c>
      <c r="AW221" s="3070" t="s">
        <v>5104</v>
      </c>
      <c r="AX221" s="3070" t="s">
        <v>5105</v>
      </c>
      <c r="AY221" s="3070" t="s">
        <v>5106</v>
      </c>
      <c r="BC221" s="3070" t="s">
        <v>3284</v>
      </c>
      <c r="BD221" s="3070" t="s">
        <v>3075</v>
      </c>
      <c r="BI221" s="3070" t="s">
        <v>3235</v>
      </c>
      <c r="BL221" s="3070" t="s">
        <v>5107</v>
      </c>
      <c r="BM221" s="3075">
        <v>44228</v>
      </c>
      <c r="BN221" s="3070">
        <v>301</v>
      </c>
      <c r="BO221" s="3070" t="s">
        <v>3253</v>
      </c>
      <c r="BR221" s="3070">
        <v>892</v>
      </c>
      <c r="BS221" s="3070" t="s">
        <v>3238</v>
      </c>
      <c r="BZ221" s="3073">
        <v>44142.607638888891</v>
      </c>
      <c r="CA221" s="3070">
        <v>2</v>
      </c>
      <c r="CD221" s="3070" t="s">
        <v>3239</v>
      </c>
      <c r="CF221" s="3070" t="s">
        <v>3091</v>
      </c>
      <c r="CH221" s="3070" t="s">
        <v>3240</v>
      </c>
      <c r="CI221" s="3070">
        <v>0</v>
      </c>
      <c r="CK221" s="3070" t="s">
        <v>5106</v>
      </c>
      <c r="CL221" s="3070" t="s">
        <v>5106</v>
      </c>
      <c r="CM221" s="3070">
        <v>1402948.62</v>
      </c>
      <c r="CV221" s="3070" t="s">
        <v>3246</v>
      </c>
      <c r="CW221" s="3070" t="s">
        <v>5108</v>
      </c>
      <c r="CZ221" s="3070">
        <v>213894.57</v>
      </c>
      <c r="DA221" s="3070">
        <v>159426.93</v>
      </c>
      <c r="DB221" s="3070">
        <v>0</v>
      </c>
      <c r="DC221" s="3070">
        <v>0</v>
      </c>
      <c r="DD221" s="3070">
        <v>3290547602</v>
      </c>
      <c r="DE221" s="3070">
        <v>2764253109</v>
      </c>
      <c r="DF221" s="3070">
        <v>1464966739</v>
      </c>
      <c r="DG221" s="3070">
        <v>14938370</v>
      </c>
      <c r="DH221" s="3070">
        <v>1284348000</v>
      </c>
      <c r="DI221" s="3070">
        <v>1278128000</v>
      </c>
      <c r="DJ221" s="3070">
        <v>6220000</v>
      </c>
      <c r="DK221" s="3070">
        <v>0</v>
      </c>
      <c r="DL221" s="3070">
        <v>0</v>
      </c>
      <c r="DM221" s="3070">
        <v>25491817.620000001</v>
      </c>
      <c r="DN221" s="3070">
        <v>2764253109</v>
      </c>
      <c r="DP221" s="3070">
        <v>2764253109</v>
      </c>
    </row>
    <row r="222" spans="1:120">
      <c r="A222" s="3070">
        <v>221</v>
      </c>
      <c r="B222" s="3070" t="s">
        <v>3224</v>
      </c>
      <c r="C222" s="3070">
        <v>2</v>
      </c>
      <c r="E222" s="3070">
        <v>1302</v>
      </c>
      <c r="F222" s="3070" t="s">
        <v>5109</v>
      </c>
      <c r="G222" s="3070" t="s">
        <v>4977</v>
      </c>
      <c r="H222" s="3070">
        <v>1285149</v>
      </c>
      <c r="I222" s="3070">
        <v>1285149</v>
      </c>
      <c r="J222" s="3070">
        <v>101.55</v>
      </c>
      <c r="K222" s="3070">
        <v>75.430000000000007</v>
      </c>
      <c r="L222" s="3070">
        <v>0</v>
      </c>
      <c r="M222" s="3070">
        <v>0</v>
      </c>
      <c r="N222" s="3070">
        <v>15594.44</v>
      </c>
      <c r="O222" s="3070">
        <v>1583615</v>
      </c>
      <c r="P222" s="3070">
        <v>12655.33</v>
      </c>
      <c r="Q222" s="3070">
        <v>1285149</v>
      </c>
      <c r="R222" s="3070" t="s">
        <v>3227</v>
      </c>
      <c r="S222" s="3070" t="s">
        <v>5110</v>
      </c>
      <c r="T222" s="3070" t="s">
        <v>3246</v>
      </c>
      <c r="U222" s="3070" t="s">
        <v>3247</v>
      </c>
      <c r="V222" s="3070" t="s">
        <v>3230</v>
      </c>
      <c r="Y222" s="3070">
        <v>515149</v>
      </c>
      <c r="Z222" s="3070">
        <v>515149</v>
      </c>
      <c r="AA222" s="3070">
        <v>515149</v>
      </c>
      <c r="AB222" s="3070">
        <v>0</v>
      </c>
      <c r="AC222" s="3070">
        <v>770000</v>
      </c>
      <c r="AD222" s="3070">
        <v>770000</v>
      </c>
      <c r="AE222" s="3070">
        <v>0</v>
      </c>
      <c r="AI222" s="3070" t="s">
        <v>3227</v>
      </c>
      <c r="AJ222" s="3070">
        <v>0</v>
      </c>
      <c r="AK222" s="3070">
        <v>0</v>
      </c>
      <c r="AL222" s="3070">
        <v>0</v>
      </c>
      <c r="AM222" s="3070">
        <v>12655.33</v>
      </c>
      <c r="AN222" s="3070">
        <v>1285149</v>
      </c>
      <c r="AP222" s="3070">
        <v>1285149</v>
      </c>
      <c r="AQ222" s="3072">
        <v>45230</v>
      </c>
      <c r="AT222" s="3073">
        <v>45770</v>
      </c>
      <c r="AV222" s="3074">
        <v>3.21E+17</v>
      </c>
      <c r="AW222" s="3070" t="s">
        <v>5111</v>
      </c>
      <c r="AX222" s="3070" t="s">
        <v>5112</v>
      </c>
      <c r="AY222" s="3070" t="s">
        <v>3681</v>
      </c>
      <c r="BC222" s="3070" t="s">
        <v>3284</v>
      </c>
      <c r="BD222" s="3070" t="s">
        <v>3077</v>
      </c>
      <c r="BI222" s="3070" t="s">
        <v>3235</v>
      </c>
      <c r="BJ222" s="3070" t="s">
        <v>3296</v>
      </c>
      <c r="BL222" s="3070" t="s">
        <v>5113</v>
      </c>
      <c r="BM222" s="3075">
        <v>44228</v>
      </c>
      <c r="BN222" s="3070">
        <v>302</v>
      </c>
      <c r="BO222" s="3070" t="s">
        <v>3253</v>
      </c>
      <c r="BR222" s="3070">
        <v>2</v>
      </c>
      <c r="BS222" s="3070" t="s">
        <v>3238</v>
      </c>
      <c r="BZ222" s="3073">
        <v>44142.618750000001</v>
      </c>
      <c r="CA222" s="3070">
        <v>2</v>
      </c>
      <c r="CD222" s="3070" t="s">
        <v>3239</v>
      </c>
      <c r="CF222" s="3070" t="s">
        <v>3091</v>
      </c>
      <c r="CH222" s="3070" t="s">
        <v>3240</v>
      </c>
      <c r="CI222" s="3070">
        <v>0</v>
      </c>
      <c r="CK222" s="3070" t="s">
        <v>3681</v>
      </c>
      <c r="CL222" s="3070" t="s">
        <v>3681</v>
      </c>
      <c r="CM222" s="3070">
        <v>1179035.78</v>
      </c>
      <c r="CV222" s="3070" t="s">
        <v>3246</v>
      </c>
      <c r="CW222" s="3070" t="s">
        <v>5114</v>
      </c>
      <c r="CZ222" s="3070">
        <v>213894.57</v>
      </c>
      <c r="DA222" s="3070">
        <v>159426.93</v>
      </c>
      <c r="DB222" s="3070">
        <v>0</v>
      </c>
      <c r="DC222" s="3070">
        <v>0</v>
      </c>
      <c r="DD222" s="3070">
        <v>3290547602</v>
      </c>
      <c r="DE222" s="3070">
        <v>2764253109</v>
      </c>
      <c r="DF222" s="3070">
        <v>1464966739</v>
      </c>
      <c r="DG222" s="3070">
        <v>14938370</v>
      </c>
      <c r="DH222" s="3070">
        <v>1284348000</v>
      </c>
      <c r="DI222" s="3070">
        <v>1278128000</v>
      </c>
      <c r="DJ222" s="3070">
        <v>6220000</v>
      </c>
      <c r="DK222" s="3070">
        <v>0</v>
      </c>
      <c r="DL222" s="3070">
        <v>0</v>
      </c>
      <c r="DM222" s="3070">
        <v>25491817.620000001</v>
      </c>
      <c r="DN222" s="3070">
        <v>2764253109</v>
      </c>
      <c r="DP222" s="3070">
        <v>2764253109</v>
      </c>
    </row>
    <row r="223" spans="1:120">
      <c r="A223" s="3070">
        <v>222</v>
      </c>
      <c r="B223" s="3070" t="s">
        <v>3224</v>
      </c>
      <c r="C223" s="3070">
        <v>2</v>
      </c>
      <c r="E223" s="3070">
        <v>1303</v>
      </c>
      <c r="F223" s="3070" t="s">
        <v>5115</v>
      </c>
      <c r="G223" s="3070" t="s">
        <v>5116</v>
      </c>
      <c r="H223" s="3070">
        <v>1284390</v>
      </c>
      <c r="I223" s="3070">
        <v>1284390</v>
      </c>
      <c r="J223" s="3070">
        <v>101.49</v>
      </c>
      <c r="K223" s="3070">
        <v>75.38</v>
      </c>
      <c r="L223" s="3070">
        <v>0</v>
      </c>
      <c r="M223" s="3070">
        <v>0</v>
      </c>
      <c r="N223" s="3070">
        <v>15594.44</v>
      </c>
      <c r="O223" s="3070">
        <v>1582680</v>
      </c>
      <c r="P223" s="3070">
        <v>12655.34</v>
      </c>
      <c r="Q223" s="3070">
        <v>1284390</v>
      </c>
      <c r="R223" s="3070" t="s">
        <v>3227</v>
      </c>
      <c r="S223" s="3070" t="s">
        <v>5117</v>
      </c>
      <c r="T223" s="3070" t="s">
        <v>3246</v>
      </c>
      <c r="U223" s="3070" t="s">
        <v>3279</v>
      </c>
      <c r="V223" s="3070" t="s">
        <v>3230</v>
      </c>
      <c r="Y223" s="3070">
        <v>404390</v>
      </c>
      <c r="Z223" s="3070">
        <v>404390</v>
      </c>
      <c r="AA223" s="3070">
        <v>664390</v>
      </c>
      <c r="AB223" s="3070">
        <v>0</v>
      </c>
      <c r="AC223" s="3070">
        <v>620000</v>
      </c>
      <c r="AD223" s="3070">
        <v>620000</v>
      </c>
      <c r="AE223" s="3070">
        <v>0</v>
      </c>
      <c r="AI223" s="3070" t="s">
        <v>3227</v>
      </c>
      <c r="AJ223" s="3070">
        <v>0</v>
      </c>
      <c r="AK223" s="3070">
        <v>0</v>
      </c>
      <c r="AL223" s="3070">
        <v>0</v>
      </c>
      <c r="AM223" s="3070">
        <v>12655.34</v>
      </c>
      <c r="AN223" s="3070">
        <v>1284390</v>
      </c>
      <c r="AP223" s="3070">
        <v>1284390</v>
      </c>
      <c r="AQ223" s="3072">
        <v>45230</v>
      </c>
      <c r="AT223" s="3073">
        <v>45770</v>
      </c>
      <c r="AV223" s="3070" t="s">
        <v>5118</v>
      </c>
      <c r="AW223" s="3070" t="s">
        <v>5119</v>
      </c>
      <c r="AX223" s="3070" t="s">
        <v>5120</v>
      </c>
      <c r="AY223" s="3070" t="s">
        <v>3429</v>
      </c>
      <c r="BC223" s="3070" t="s">
        <v>3284</v>
      </c>
      <c r="BD223" s="3070" t="s">
        <v>3077</v>
      </c>
      <c r="BI223" s="3070" t="s">
        <v>3295</v>
      </c>
      <c r="BJ223" s="3070" t="s">
        <v>3296</v>
      </c>
      <c r="BL223" s="3070" t="s">
        <v>5121</v>
      </c>
      <c r="BM223" s="3075">
        <v>44228</v>
      </c>
      <c r="BN223" s="3070">
        <v>303</v>
      </c>
      <c r="BO223" s="3070" t="s">
        <v>3253</v>
      </c>
      <c r="BR223" s="3070">
        <v>25</v>
      </c>
      <c r="BS223" s="3070" t="s">
        <v>3238</v>
      </c>
      <c r="BZ223" s="3073">
        <v>44142.631249999999</v>
      </c>
      <c r="CA223" s="3070">
        <v>2</v>
      </c>
      <c r="CD223" s="3070" t="s">
        <v>3239</v>
      </c>
      <c r="CF223" s="3070" t="s">
        <v>3091</v>
      </c>
      <c r="CH223" s="3070" t="s">
        <v>3240</v>
      </c>
      <c r="CI223" s="3070">
        <v>0</v>
      </c>
      <c r="CK223" s="3070" t="s">
        <v>3429</v>
      </c>
      <c r="CL223" s="3070" t="s">
        <v>3429</v>
      </c>
      <c r="CM223" s="3070">
        <v>1178339.45</v>
      </c>
      <c r="CV223" s="3070" t="s">
        <v>3246</v>
      </c>
      <c r="CW223" s="3070" t="s">
        <v>5122</v>
      </c>
      <c r="CZ223" s="3070">
        <v>213894.57</v>
      </c>
      <c r="DA223" s="3070">
        <v>159426.93</v>
      </c>
      <c r="DB223" s="3070">
        <v>0</v>
      </c>
      <c r="DC223" s="3070">
        <v>0</v>
      </c>
      <c r="DD223" s="3070">
        <v>3290547602</v>
      </c>
      <c r="DE223" s="3070">
        <v>2764253109</v>
      </c>
      <c r="DF223" s="3070">
        <v>1464966739</v>
      </c>
      <c r="DG223" s="3070">
        <v>14938370</v>
      </c>
      <c r="DH223" s="3070">
        <v>1284348000</v>
      </c>
      <c r="DI223" s="3070">
        <v>1278128000</v>
      </c>
      <c r="DJ223" s="3070">
        <v>6220000</v>
      </c>
      <c r="DK223" s="3070">
        <v>0</v>
      </c>
      <c r="DL223" s="3070">
        <v>0</v>
      </c>
      <c r="DM223" s="3070">
        <v>25491817.620000001</v>
      </c>
      <c r="DN223" s="3070">
        <v>2764253109</v>
      </c>
      <c r="DP223" s="3070">
        <v>2764253109</v>
      </c>
    </row>
    <row r="224" spans="1:120">
      <c r="A224" s="3070">
        <v>223</v>
      </c>
      <c r="B224" s="3070" t="s">
        <v>3224</v>
      </c>
      <c r="C224" s="3070">
        <v>2</v>
      </c>
      <c r="E224" s="3070">
        <v>1304</v>
      </c>
      <c r="F224" s="3070" t="s">
        <v>5123</v>
      </c>
      <c r="G224" s="3070" t="s">
        <v>5124</v>
      </c>
      <c r="H224" s="3070">
        <v>1496941</v>
      </c>
      <c r="I224" s="3070">
        <v>1496941</v>
      </c>
      <c r="J224" s="3070">
        <v>121.75</v>
      </c>
      <c r="K224" s="3070">
        <v>90.43</v>
      </c>
      <c r="L224" s="3070">
        <v>0</v>
      </c>
      <c r="M224" s="3070">
        <v>0</v>
      </c>
      <c r="N224" s="3070">
        <v>15544.44</v>
      </c>
      <c r="O224" s="3070">
        <v>1892536</v>
      </c>
      <c r="P224" s="3070">
        <v>12295.2</v>
      </c>
      <c r="Q224" s="3070">
        <v>1496941</v>
      </c>
      <c r="R224" s="3070" t="s">
        <v>3227</v>
      </c>
      <c r="S224" s="3070" t="s">
        <v>5125</v>
      </c>
      <c r="T224" s="3070" t="s">
        <v>3258</v>
      </c>
      <c r="U224" s="3070" t="s">
        <v>3259</v>
      </c>
      <c r="V224" s="3070" t="s">
        <v>3230</v>
      </c>
      <c r="Y224" s="3070">
        <v>466941</v>
      </c>
      <c r="Z224" s="3070">
        <v>466941</v>
      </c>
      <c r="AA224" s="3070">
        <v>466941</v>
      </c>
      <c r="AB224" s="3070">
        <v>0</v>
      </c>
      <c r="AC224" s="3070">
        <v>1030000</v>
      </c>
      <c r="AD224" s="3070">
        <v>1030000</v>
      </c>
      <c r="AE224" s="3070">
        <v>0</v>
      </c>
      <c r="AI224" s="3070" t="s">
        <v>3227</v>
      </c>
      <c r="AJ224" s="3070">
        <v>0</v>
      </c>
      <c r="AK224" s="3070">
        <v>0</v>
      </c>
      <c r="AL224" s="3070">
        <v>0</v>
      </c>
      <c r="AM224" s="3070">
        <v>12295.2</v>
      </c>
      <c r="AN224" s="3070">
        <v>1496941</v>
      </c>
      <c r="AP224" s="3070">
        <v>1496941</v>
      </c>
      <c r="AQ224" s="3072">
        <v>45230</v>
      </c>
      <c r="AT224" s="3073">
        <v>45770</v>
      </c>
      <c r="AV224" s="3074">
        <v>3.41E+17</v>
      </c>
      <c r="AW224" s="3070" t="s">
        <v>5126</v>
      </c>
      <c r="AX224" s="3070" t="s">
        <v>5127</v>
      </c>
      <c r="AY224" s="3070" t="s">
        <v>3587</v>
      </c>
      <c r="BC224" s="3070" t="s">
        <v>5128</v>
      </c>
      <c r="BD224" s="3070" t="s">
        <v>3075</v>
      </c>
      <c r="BI224" s="3070" t="s">
        <v>3235</v>
      </c>
      <c r="BL224" s="3070" t="s">
        <v>5129</v>
      </c>
      <c r="BM224" s="3075">
        <v>44228</v>
      </c>
      <c r="BN224" s="3070">
        <v>304</v>
      </c>
      <c r="BO224" s="3070" t="s">
        <v>3253</v>
      </c>
      <c r="BP224" s="3070" t="s">
        <v>3253</v>
      </c>
      <c r="BR224" s="3070">
        <v>16</v>
      </c>
      <c r="BS224" s="3070" t="s">
        <v>3238</v>
      </c>
      <c r="BZ224" s="3073">
        <v>44198.806944444441</v>
      </c>
      <c r="CA224" s="3070">
        <v>2</v>
      </c>
      <c r="CD224" s="3070" t="s">
        <v>3239</v>
      </c>
      <c r="CF224" s="3070" t="s">
        <v>3091</v>
      </c>
      <c r="CH224" s="3070" t="s">
        <v>3240</v>
      </c>
      <c r="CI224" s="3070">
        <v>0</v>
      </c>
      <c r="CJ224" s="3070" t="s">
        <v>3259</v>
      </c>
      <c r="CK224" s="3070" t="s">
        <v>3590</v>
      </c>
      <c r="CL224" s="3070" t="s">
        <v>3590</v>
      </c>
      <c r="CM224" s="3070">
        <v>1373340.36</v>
      </c>
      <c r="CV224" s="3070" t="s">
        <v>3258</v>
      </c>
      <c r="CW224" s="3070" t="s">
        <v>5130</v>
      </c>
      <c r="CX224" s="3070" t="s">
        <v>3267</v>
      </c>
      <c r="CZ224" s="3070">
        <v>213894.57</v>
      </c>
      <c r="DA224" s="3070">
        <v>159426.93</v>
      </c>
      <c r="DB224" s="3070">
        <v>0</v>
      </c>
      <c r="DC224" s="3070">
        <v>0</v>
      </c>
      <c r="DD224" s="3070">
        <v>3290547602</v>
      </c>
      <c r="DE224" s="3070">
        <v>2764253109</v>
      </c>
      <c r="DF224" s="3070">
        <v>1464966739</v>
      </c>
      <c r="DG224" s="3070">
        <v>14938370</v>
      </c>
      <c r="DH224" s="3070">
        <v>1284348000</v>
      </c>
      <c r="DI224" s="3070">
        <v>1278128000</v>
      </c>
      <c r="DJ224" s="3070">
        <v>6220000</v>
      </c>
      <c r="DK224" s="3070">
        <v>0</v>
      </c>
      <c r="DL224" s="3070">
        <v>0</v>
      </c>
      <c r="DM224" s="3070">
        <v>25491817.620000001</v>
      </c>
      <c r="DN224" s="3070">
        <v>2764253109</v>
      </c>
      <c r="DP224" s="3070">
        <v>2764253109</v>
      </c>
    </row>
    <row r="225" spans="1:120">
      <c r="A225" s="3070">
        <v>224</v>
      </c>
      <c r="B225" s="3070" t="s">
        <v>3224</v>
      </c>
      <c r="C225" s="3070">
        <v>2</v>
      </c>
      <c r="E225" s="3070">
        <v>1401</v>
      </c>
      <c r="F225" s="3070" t="s">
        <v>5131</v>
      </c>
      <c r="G225" s="3070" t="s">
        <v>5132</v>
      </c>
      <c r="H225" s="3070">
        <v>1464117</v>
      </c>
      <c r="I225" s="3070">
        <v>1464117</v>
      </c>
      <c r="J225" s="3070">
        <v>121.75</v>
      </c>
      <c r="K225" s="3070">
        <v>90.43</v>
      </c>
      <c r="L225" s="3070">
        <v>0</v>
      </c>
      <c r="M225" s="3070">
        <v>0</v>
      </c>
      <c r="N225" s="3070">
        <v>15394.44</v>
      </c>
      <c r="O225" s="3070">
        <v>1874273</v>
      </c>
      <c r="P225" s="3070">
        <v>12025.6</v>
      </c>
      <c r="Q225" s="3070">
        <v>1464117</v>
      </c>
      <c r="R225" s="3070" t="s">
        <v>3227</v>
      </c>
      <c r="S225" s="3070" t="s">
        <v>5133</v>
      </c>
      <c r="T225" s="3070" t="s">
        <v>3246</v>
      </c>
      <c r="U225" s="3070" t="s">
        <v>3259</v>
      </c>
      <c r="V225" s="3070" t="s">
        <v>3230</v>
      </c>
      <c r="Y225" s="3070">
        <v>444117</v>
      </c>
      <c r="Z225" s="3070">
        <v>444117</v>
      </c>
      <c r="AA225" s="3070">
        <v>444117</v>
      </c>
      <c r="AB225" s="3070">
        <v>0</v>
      </c>
      <c r="AC225" s="3070">
        <v>1020000</v>
      </c>
      <c r="AD225" s="3070">
        <v>1020000</v>
      </c>
      <c r="AE225" s="3070">
        <v>0</v>
      </c>
      <c r="AI225" s="3070" t="s">
        <v>3227</v>
      </c>
      <c r="AJ225" s="3070">
        <v>0</v>
      </c>
      <c r="AK225" s="3070">
        <v>0</v>
      </c>
      <c r="AL225" s="3070">
        <v>0</v>
      </c>
      <c r="AM225" s="3070">
        <v>12025.6</v>
      </c>
      <c r="AN225" s="3070">
        <v>1464117</v>
      </c>
      <c r="AP225" s="3070">
        <v>1464117</v>
      </c>
      <c r="AQ225" s="3072">
        <v>45230</v>
      </c>
      <c r="AT225" s="3073">
        <v>45770</v>
      </c>
      <c r="AV225" s="3070" t="s">
        <v>5134</v>
      </c>
      <c r="AW225" s="3070" t="s">
        <v>5135</v>
      </c>
      <c r="AX225" s="3070" t="s">
        <v>5136</v>
      </c>
      <c r="AY225" s="3070" t="s">
        <v>3892</v>
      </c>
      <c r="BA225" s="3070" t="s">
        <v>4056</v>
      </c>
      <c r="BC225" s="3070" t="s">
        <v>5137</v>
      </c>
      <c r="BD225" s="3070" t="s">
        <v>3075</v>
      </c>
      <c r="BI225" s="3070" t="s">
        <v>3235</v>
      </c>
      <c r="BL225" s="3070" t="s">
        <v>5138</v>
      </c>
      <c r="BM225" s="3075">
        <v>44228</v>
      </c>
      <c r="BN225" s="3070">
        <v>401</v>
      </c>
      <c r="BO225" s="3070" t="s">
        <v>3253</v>
      </c>
      <c r="BR225" s="3070">
        <v>24</v>
      </c>
      <c r="BS225" s="3070" t="s">
        <v>3238</v>
      </c>
      <c r="BU225" s="3070" t="s">
        <v>4056</v>
      </c>
      <c r="BZ225" s="3073">
        <v>44209.719444444447</v>
      </c>
      <c r="CA225" s="3070">
        <v>2</v>
      </c>
      <c r="CD225" s="3070" t="s">
        <v>3239</v>
      </c>
      <c r="CF225" s="3070" t="s">
        <v>3091</v>
      </c>
      <c r="CH225" s="3070" t="s">
        <v>3240</v>
      </c>
      <c r="CI225" s="3070">
        <v>0</v>
      </c>
      <c r="CK225" s="3070" t="s">
        <v>3892</v>
      </c>
      <c r="CL225" s="3070" t="s">
        <v>4056</v>
      </c>
      <c r="CM225" s="3070">
        <v>1343226.61</v>
      </c>
      <c r="CV225" s="3070" t="s">
        <v>3246</v>
      </c>
      <c r="CW225" s="3070" t="s">
        <v>5139</v>
      </c>
      <c r="CX225" s="3070" t="s">
        <v>3267</v>
      </c>
      <c r="CZ225" s="3070">
        <v>213894.57</v>
      </c>
      <c r="DA225" s="3070">
        <v>159426.93</v>
      </c>
      <c r="DB225" s="3070">
        <v>0</v>
      </c>
      <c r="DC225" s="3070">
        <v>0</v>
      </c>
      <c r="DD225" s="3070">
        <v>3290547602</v>
      </c>
      <c r="DE225" s="3070">
        <v>2764253109</v>
      </c>
      <c r="DF225" s="3070">
        <v>1464966739</v>
      </c>
      <c r="DG225" s="3070">
        <v>14938370</v>
      </c>
      <c r="DH225" s="3070">
        <v>1284348000</v>
      </c>
      <c r="DI225" s="3070">
        <v>1278128000</v>
      </c>
      <c r="DJ225" s="3070">
        <v>6220000</v>
      </c>
      <c r="DK225" s="3070">
        <v>0</v>
      </c>
      <c r="DL225" s="3070">
        <v>0</v>
      </c>
      <c r="DM225" s="3070">
        <v>25491817.620000001</v>
      </c>
      <c r="DN225" s="3070">
        <v>2764253109</v>
      </c>
      <c r="DP225" s="3070">
        <v>2764253109</v>
      </c>
    </row>
    <row r="226" spans="1:120">
      <c r="A226" s="3070">
        <v>225</v>
      </c>
      <c r="B226" s="3070" t="s">
        <v>3224</v>
      </c>
      <c r="C226" s="3070">
        <v>2</v>
      </c>
      <c r="E226" s="3070">
        <v>1402</v>
      </c>
      <c r="F226" s="3070" t="s">
        <v>5140</v>
      </c>
      <c r="G226" s="3070" t="s">
        <v>5141</v>
      </c>
      <c r="H226" s="3070">
        <v>1275496</v>
      </c>
      <c r="I226" s="3070">
        <v>1275496</v>
      </c>
      <c r="J226" s="3070">
        <v>101.55</v>
      </c>
      <c r="K226" s="3070">
        <v>75.430000000000007</v>
      </c>
      <c r="L226" s="3070">
        <v>0</v>
      </c>
      <c r="M226" s="3070">
        <v>0</v>
      </c>
      <c r="N226" s="3070">
        <v>15494.44</v>
      </c>
      <c r="O226" s="3070">
        <v>1573460</v>
      </c>
      <c r="P226" s="3070">
        <v>12560.28</v>
      </c>
      <c r="Q226" s="3070">
        <v>1275496</v>
      </c>
      <c r="R226" s="3070" t="s">
        <v>3227</v>
      </c>
      <c r="S226" s="3070" t="s">
        <v>5142</v>
      </c>
      <c r="T226" s="3070" t="s">
        <v>3258</v>
      </c>
      <c r="U226" s="3070" t="s">
        <v>3259</v>
      </c>
      <c r="V226" s="3070" t="s">
        <v>3230</v>
      </c>
      <c r="Y226" s="3070">
        <v>385496</v>
      </c>
      <c r="Z226" s="3070">
        <v>385496</v>
      </c>
      <c r="AA226" s="3070">
        <v>385496</v>
      </c>
      <c r="AB226" s="3070">
        <v>0</v>
      </c>
      <c r="AC226" s="3070">
        <v>890000</v>
      </c>
      <c r="AD226" s="3070">
        <v>890000</v>
      </c>
      <c r="AE226" s="3070">
        <v>0</v>
      </c>
      <c r="AI226" s="3070" t="s">
        <v>3227</v>
      </c>
      <c r="AJ226" s="3070">
        <v>0</v>
      </c>
      <c r="AK226" s="3070">
        <v>0</v>
      </c>
      <c r="AL226" s="3070">
        <v>0</v>
      </c>
      <c r="AM226" s="3070">
        <v>12560.28</v>
      </c>
      <c r="AN226" s="3070">
        <v>1275496</v>
      </c>
      <c r="AP226" s="3070">
        <v>1275496</v>
      </c>
      <c r="AQ226" s="3072">
        <v>45230</v>
      </c>
      <c r="AT226" s="3073">
        <v>45770</v>
      </c>
      <c r="AV226" s="3070" t="s">
        <v>5143</v>
      </c>
      <c r="AW226" s="3070" t="s">
        <v>5144</v>
      </c>
      <c r="AX226" s="3070" t="s">
        <v>5145</v>
      </c>
      <c r="AY226" s="3070" t="s">
        <v>3294</v>
      </c>
      <c r="BC226" s="3070" t="s">
        <v>3263</v>
      </c>
      <c r="BD226" s="3070" t="s">
        <v>3077</v>
      </c>
      <c r="BI226" s="3070" t="s">
        <v>3235</v>
      </c>
      <c r="BJ226" s="3070" t="s">
        <v>3296</v>
      </c>
      <c r="BL226" s="3070" t="s">
        <v>5146</v>
      </c>
      <c r="BM226" s="3075">
        <v>44228</v>
      </c>
      <c r="BN226" s="3070">
        <v>402</v>
      </c>
      <c r="BO226" s="3070" t="s">
        <v>3253</v>
      </c>
      <c r="BP226" s="3070" t="s">
        <v>3253</v>
      </c>
      <c r="BR226" s="3070">
        <v>187</v>
      </c>
      <c r="BS226" s="3070" t="s">
        <v>3238</v>
      </c>
      <c r="BZ226" s="3073">
        <v>44150.613194444442</v>
      </c>
      <c r="CA226" s="3070">
        <v>2</v>
      </c>
      <c r="CD226" s="3070" t="s">
        <v>3239</v>
      </c>
      <c r="CF226" s="3070" t="s">
        <v>3091</v>
      </c>
      <c r="CH226" s="3070" t="s">
        <v>3240</v>
      </c>
      <c r="CI226" s="3070">
        <v>0</v>
      </c>
      <c r="CJ226" s="3070" t="s">
        <v>3259</v>
      </c>
      <c r="CK226" s="3070" t="s">
        <v>3294</v>
      </c>
      <c r="CL226" s="3070" t="s">
        <v>3294</v>
      </c>
      <c r="CM226" s="3070">
        <v>1170179.82</v>
      </c>
      <c r="CV226" s="3070" t="s">
        <v>3258</v>
      </c>
      <c r="CW226" s="3070" t="s">
        <v>5147</v>
      </c>
      <c r="CX226" s="3070" t="s">
        <v>3311</v>
      </c>
      <c r="CZ226" s="3070">
        <v>213894.57</v>
      </c>
      <c r="DA226" s="3070">
        <v>159426.93</v>
      </c>
      <c r="DB226" s="3070">
        <v>0</v>
      </c>
      <c r="DC226" s="3070">
        <v>0</v>
      </c>
      <c r="DD226" s="3070">
        <v>3290547602</v>
      </c>
      <c r="DE226" s="3070">
        <v>2764253109</v>
      </c>
      <c r="DF226" s="3070">
        <v>1464966739</v>
      </c>
      <c r="DG226" s="3070">
        <v>14938370</v>
      </c>
      <c r="DH226" s="3070">
        <v>1284348000</v>
      </c>
      <c r="DI226" s="3070">
        <v>1278128000</v>
      </c>
      <c r="DJ226" s="3070">
        <v>6220000</v>
      </c>
      <c r="DK226" s="3070">
        <v>0</v>
      </c>
      <c r="DL226" s="3070">
        <v>0</v>
      </c>
      <c r="DM226" s="3070">
        <v>25491817.620000001</v>
      </c>
      <c r="DN226" s="3070">
        <v>2764253109</v>
      </c>
      <c r="DP226" s="3070">
        <v>2764253109</v>
      </c>
    </row>
    <row r="227" spans="1:120">
      <c r="A227" s="3070">
        <v>226</v>
      </c>
      <c r="B227" s="3070" t="s">
        <v>3224</v>
      </c>
      <c r="C227" s="3070">
        <v>2</v>
      </c>
      <c r="E227" s="3070">
        <v>1403</v>
      </c>
      <c r="F227" s="3070" t="s">
        <v>5148</v>
      </c>
      <c r="G227" s="3070" t="s">
        <v>5149</v>
      </c>
      <c r="H227" s="3070">
        <v>1305635</v>
      </c>
      <c r="I227" s="3070">
        <v>1305635</v>
      </c>
      <c r="J227" s="3070">
        <v>101.49</v>
      </c>
      <c r="K227" s="3070">
        <v>75.38</v>
      </c>
      <c r="L227" s="3070">
        <v>0</v>
      </c>
      <c r="M227" s="3070">
        <v>0</v>
      </c>
      <c r="N227" s="3070">
        <v>15494.44</v>
      </c>
      <c r="O227" s="3070">
        <v>1572531</v>
      </c>
      <c r="P227" s="3070">
        <v>12864.67</v>
      </c>
      <c r="Q227" s="3070">
        <v>1305635</v>
      </c>
      <c r="R227" s="3070" t="s">
        <v>3227</v>
      </c>
      <c r="S227" s="3070" t="s">
        <v>5150</v>
      </c>
      <c r="T227" s="3070" t="s">
        <v>3246</v>
      </c>
      <c r="U227" s="3070" t="s">
        <v>3467</v>
      </c>
      <c r="V227" s="3070" t="s">
        <v>3230</v>
      </c>
      <c r="Y227" s="3070">
        <v>395635</v>
      </c>
      <c r="Z227" s="3070">
        <v>395635</v>
      </c>
      <c r="AA227" s="3070">
        <v>395635</v>
      </c>
      <c r="AB227" s="3070">
        <v>0</v>
      </c>
      <c r="AC227" s="3070">
        <v>910000</v>
      </c>
      <c r="AD227" s="3070">
        <v>910000</v>
      </c>
      <c r="AE227" s="3070">
        <v>0</v>
      </c>
      <c r="AI227" s="3070" t="s">
        <v>3227</v>
      </c>
      <c r="AJ227" s="3070">
        <v>0</v>
      </c>
      <c r="AK227" s="3070">
        <v>0</v>
      </c>
      <c r="AL227" s="3070">
        <v>0</v>
      </c>
      <c r="AM227" s="3070">
        <v>12864.67</v>
      </c>
      <c r="AN227" s="3070">
        <v>1305635</v>
      </c>
      <c r="AP227" s="3070">
        <v>1305635</v>
      </c>
      <c r="AQ227" s="3072">
        <v>45230</v>
      </c>
      <c r="AT227" s="3073">
        <v>45770</v>
      </c>
      <c r="AV227" s="3070" t="s">
        <v>5151</v>
      </c>
      <c r="AW227" s="3070" t="s">
        <v>5152</v>
      </c>
      <c r="AX227" s="3070" t="s">
        <v>5153</v>
      </c>
      <c r="AY227" s="3070" t="s">
        <v>5154</v>
      </c>
      <c r="BC227" s="3070" t="s">
        <v>5155</v>
      </c>
      <c r="BD227" s="3070" t="s">
        <v>3077</v>
      </c>
      <c r="BI227" s="3070" t="s">
        <v>3235</v>
      </c>
      <c r="BJ227" s="3070" t="s">
        <v>3296</v>
      </c>
      <c r="BL227" s="3070" t="s">
        <v>5156</v>
      </c>
      <c r="BM227" s="3075">
        <v>44228</v>
      </c>
      <c r="BN227" s="3070">
        <v>403</v>
      </c>
      <c r="BO227" s="3070" t="s">
        <v>3253</v>
      </c>
      <c r="BR227" s="3070">
        <v>0</v>
      </c>
      <c r="BS227" s="3070" t="s">
        <v>3238</v>
      </c>
      <c r="BZ227" s="3073">
        <v>44160.495138888888</v>
      </c>
      <c r="CA227" s="3070">
        <v>2</v>
      </c>
      <c r="CD227" s="3070" t="s">
        <v>3239</v>
      </c>
      <c r="CF227" s="3070" t="s">
        <v>3091</v>
      </c>
      <c r="CH227" s="3070" t="s">
        <v>3240</v>
      </c>
      <c r="CI227" s="3070">
        <v>0</v>
      </c>
      <c r="CK227" s="3070" t="s">
        <v>5154</v>
      </c>
      <c r="CL227" s="3070" t="s">
        <v>5154</v>
      </c>
      <c r="CM227" s="3070">
        <v>1197830.28</v>
      </c>
      <c r="CV227" s="3070" t="s">
        <v>3246</v>
      </c>
      <c r="CW227" s="3070" t="s">
        <v>5157</v>
      </c>
      <c r="CX227" s="3070" t="s">
        <v>3510</v>
      </c>
      <c r="CZ227" s="3070">
        <v>213894.57</v>
      </c>
      <c r="DA227" s="3070">
        <v>159426.93</v>
      </c>
      <c r="DB227" s="3070">
        <v>0</v>
      </c>
      <c r="DC227" s="3070">
        <v>0</v>
      </c>
      <c r="DD227" s="3070">
        <v>3290547602</v>
      </c>
      <c r="DE227" s="3070">
        <v>2764253109</v>
      </c>
      <c r="DF227" s="3070">
        <v>1464966739</v>
      </c>
      <c r="DG227" s="3070">
        <v>14938370</v>
      </c>
      <c r="DH227" s="3070">
        <v>1284348000</v>
      </c>
      <c r="DI227" s="3070">
        <v>1278128000</v>
      </c>
      <c r="DJ227" s="3070">
        <v>6220000</v>
      </c>
      <c r="DK227" s="3070">
        <v>0</v>
      </c>
      <c r="DL227" s="3070">
        <v>0</v>
      </c>
      <c r="DM227" s="3070">
        <v>25491817.620000001</v>
      </c>
      <c r="DN227" s="3070">
        <v>2764253109</v>
      </c>
      <c r="DP227" s="3070">
        <v>2764253109</v>
      </c>
    </row>
    <row r="228" spans="1:120">
      <c r="A228" s="3070">
        <v>227</v>
      </c>
      <c r="B228" s="3070" t="s">
        <v>3224</v>
      </c>
      <c r="C228" s="3070">
        <v>2</v>
      </c>
      <c r="E228" s="3070">
        <v>1404</v>
      </c>
      <c r="F228" s="3070" t="s">
        <v>5158</v>
      </c>
      <c r="G228" s="3070" t="s">
        <v>5159</v>
      </c>
      <c r="H228" s="3070">
        <v>1469219</v>
      </c>
      <c r="I228" s="3070">
        <v>1469219</v>
      </c>
      <c r="J228" s="3070">
        <v>121.75</v>
      </c>
      <c r="K228" s="3070">
        <v>90.43</v>
      </c>
      <c r="L228" s="3070">
        <v>0</v>
      </c>
      <c r="M228" s="3070">
        <v>0</v>
      </c>
      <c r="N228" s="3070">
        <v>15444.44</v>
      </c>
      <c r="O228" s="3070">
        <v>1880361</v>
      </c>
      <c r="P228" s="3070">
        <v>12067.51</v>
      </c>
      <c r="Q228" s="3070">
        <v>1469219</v>
      </c>
      <c r="R228" s="3070" t="s">
        <v>3227</v>
      </c>
      <c r="S228" s="3070" t="s">
        <v>3353</v>
      </c>
      <c r="T228" s="3070" t="s">
        <v>3991</v>
      </c>
      <c r="V228" s="3070" t="s">
        <v>3230</v>
      </c>
      <c r="Y228" s="3070">
        <v>440766</v>
      </c>
      <c r="Z228" s="3070">
        <v>440766</v>
      </c>
      <c r="AA228" s="3070">
        <v>1469219</v>
      </c>
      <c r="AB228" s="3070">
        <v>0</v>
      </c>
      <c r="AC228" s="3070">
        <v>0</v>
      </c>
      <c r="AD228" s="3070">
        <v>0</v>
      </c>
      <c r="AE228" s="3070">
        <v>0</v>
      </c>
      <c r="AI228" s="3070" t="s">
        <v>3227</v>
      </c>
      <c r="AJ228" s="3070">
        <v>0</v>
      </c>
      <c r="AK228" s="3070">
        <v>0</v>
      </c>
      <c r="AL228" s="3070">
        <v>0</v>
      </c>
      <c r="AM228" s="3070">
        <v>12067.51</v>
      </c>
      <c r="AN228" s="3070">
        <v>1469219</v>
      </c>
      <c r="AP228" s="3070">
        <v>1469219</v>
      </c>
      <c r="AQ228" s="3072">
        <v>45230</v>
      </c>
      <c r="AT228" s="3073">
        <v>45770</v>
      </c>
      <c r="AV228" s="3074">
        <v>3.21E+17</v>
      </c>
      <c r="AW228" s="3070" t="s">
        <v>5160</v>
      </c>
      <c r="AX228" s="3070" t="s">
        <v>5161</v>
      </c>
      <c r="AY228" s="3070" t="s">
        <v>4706</v>
      </c>
      <c r="BA228" s="3070" t="s">
        <v>4706</v>
      </c>
      <c r="BC228" s="3070" t="s">
        <v>5162</v>
      </c>
      <c r="BD228" s="3070" t="s">
        <v>3075</v>
      </c>
      <c r="BI228" s="3070" t="s">
        <v>3235</v>
      </c>
      <c r="BL228" s="3070" t="s">
        <v>5163</v>
      </c>
      <c r="BM228" s="3075">
        <v>44228</v>
      </c>
      <c r="BN228" s="3070">
        <v>404</v>
      </c>
      <c r="BR228" s="3070">
        <v>19</v>
      </c>
      <c r="BS228" s="3070" t="s">
        <v>3238</v>
      </c>
      <c r="BU228" s="3070" t="s">
        <v>4706</v>
      </c>
      <c r="BZ228" s="3073">
        <v>44227.693055555559</v>
      </c>
      <c r="CA228" s="3070">
        <v>2</v>
      </c>
      <c r="CD228" s="3070" t="s">
        <v>3239</v>
      </c>
      <c r="CF228" s="3070" t="s">
        <v>3091</v>
      </c>
      <c r="CH228" s="3070" t="s">
        <v>3240</v>
      </c>
      <c r="CI228" s="3070">
        <v>0</v>
      </c>
      <c r="CK228" s="3070" t="s">
        <v>5164</v>
      </c>
      <c r="CL228" s="3070" t="s">
        <v>4706</v>
      </c>
      <c r="CM228" s="3070">
        <v>1347907.34</v>
      </c>
      <c r="CV228" s="3070" t="s">
        <v>3494</v>
      </c>
      <c r="CW228" s="3070" t="s">
        <v>5165</v>
      </c>
      <c r="CZ228" s="3070">
        <v>213894.57</v>
      </c>
      <c r="DA228" s="3070">
        <v>159426.93</v>
      </c>
      <c r="DB228" s="3070">
        <v>0</v>
      </c>
      <c r="DC228" s="3070">
        <v>0</v>
      </c>
      <c r="DD228" s="3070">
        <v>3290547602</v>
      </c>
      <c r="DE228" s="3070">
        <v>2764253109</v>
      </c>
      <c r="DF228" s="3070">
        <v>1464966739</v>
      </c>
      <c r="DG228" s="3070">
        <v>14938370</v>
      </c>
      <c r="DH228" s="3070">
        <v>1284348000</v>
      </c>
      <c r="DI228" s="3070">
        <v>1278128000</v>
      </c>
      <c r="DJ228" s="3070">
        <v>6220000</v>
      </c>
      <c r="DK228" s="3070">
        <v>0</v>
      </c>
      <c r="DL228" s="3070">
        <v>0</v>
      </c>
      <c r="DM228" s="3070">
        <v>25491817.620000001</v>
      </c>
      <c r="DN228" s="3070">
        <v>2764253109</v>
      </c>
      <c r="DP228" s="3070">
        <v>2764253109</v>
      </c>
    </row>
    <row r="229" spans="1:120">
      <c r="A229" s="3070">
        <v>228</v>
      </c>
      <c r="B229" s="3070" t="s">
        <v>3224</v>
      </c>
      <c r="C229" s="3070">
        <v>2</v>
      </c>
      <c r="E229" s="3070">
        <v>1501</v>
      </c>
      <c r="F229" s="3070" t="s">
        <v>5166</v>
      </c>
      <c r="G229" s="3070" t="s">
        <v>5167</v>
      </c>
      <c r="H229" s="3070">
        <v>1523427</v>
      </c>
      <c r="I229" s="3070">
        <v>1523427</v>
      </c>
      <c r="J229" s="3070">
        <v>121.75</v>
      </c>
      <c r="K229" s="3070">
        <v>90.43</v>
      </c>
      <c r="L229" s="3070">
        <v>0</v>
      </c>
      <c r="M229" s="3070">
        <v>0</v>
      </c>
      <c r="N229" s="3070">
        <v>15444.44</v>
      </c>
      <c r="O229" s="3070">
        <v>1880361</v>
      </c>
      <c r="P229" s="3070">
        <v>12512.75</v>
      </c>
      <c r="Q229" s="3070">
        <v>1523427</v>
      </c>
      <c r="R229" s="3070" t="s">
        <v>3227</v>
      </c>
      <c r="S229" s="3070" t="s">
        <v>5168</v>
      </c>
      <c r="T229" s="3070" t="s">
        <v>3246</v>
      </c>
      <c r="U229" s="3070" t="s">
        <v>3247</v>
      </c>
      <c r="V229" s="3070" t="s">
        <v>3230</v>
      </c>
      <c r="Y229" s="3070">
        <v>523427</v>
      </c>
      <c r="Z229" s="3070">
        <v>523427</v>
      </c>
      <c r="AA229" s="3070">
        <v>523427</v>
      </c>
      <c r="AB229" s="3070">
        <v>0</v>
      </c>
      <c r="AC229" s="3070">
        <v>1000000</v>
      </c>
      <c r="AD229" s="3070">
        <v>1000000</v>
      </c>
      <c r="AE229" s="3070">
        <v>0</v>
      </c>
      <c r="AI229" s="3070" t="s">
        <v>3227</v>
      </c>
      <c r="AJ229" s="3070">
        <v>0</v>
      </c>
      <c r="AK229" s="3070">
        <v>0</v>
      </c>
      <c r="AL229" s="3070">
        <v>0</v>
      </c>
      <c r="AM229" s="3070">
        <v>12512.75</v>
      </c>
      <c r="AN229" s="3070">
        <v>1523427</v>
      </c>
      <c r="AP229" s="3070">
        <v>1523427</v>
      </c>
      <c r="AQ229" s="3072">
        <v>45230</v>
      </c>
      <c r="AT229" s="3073">
        <v>45770</v>
      </c>
      <c r="AV229" s="3070" t="s">
        <v>5169</v>
      </c>
      <c r="AW229" s="3070" t="s">
        <v>5170</v>
      </c>
      <c r="AX229" s="3070" t="s">
        <v>5171</v>
      </c>
      <c r="AY229" s="3070" t="s">
        <v>3497</v>
      </c>
      <c r="BC229" s="3070" t="s">
        <v>3284</v>
      </c>
      <c r="BD229" s="3070" t="s">
        <v>3075</v>
      </c>
      <c r="BI229" s="3070" t="s">
        <v>3235</v>
      </c>
      <c r="BJ229" s="3070" t="s">
        <v>3296</v>
      </c>
      <c r="BL229" s="3070" t="s">
        <v>5172</v>
      </c>
      <c r="BM229" s="3075">
        <v>44228</v>
      </c>
      <c r="BN229" s="3070">
        <v>501</v>
      </c>
      <c r="BO229" s="3070" t="s">
        <v>3253</v>
      </c>
      <c r="BR229" s="3070">
        <v>151</v>
      </c>
      <c r="BS229" s="3070" t="s">
        <v>3238</v>
      </c>
      <c r="BZ229" s="3073">
        <v>44150.737500000003</v>
      </c>
      <c r="CA229" s="3070">
        <v>2</v>
      </c>
      <c r="CD229" s="3070" t="s">
        <v>3239</v>
      </c>
      <c r="CF229" s="3070" t="s">
        <v>3091</v>
      </c>
      <c r="CH229" s="3070" t="s">
        <v>3240</v>
      </c>
      <c r="CI229" s="3070">
        <v>0</v>
      </c>
      <c r="CK229" s="3070" t="s">
        <v>3497</v>
      </c>
      <c r="CL229" s="3070" t="s">
        <v>3497</v>
      </c>
      <c r="CM229" s="3070">
        <v>1397639.44</v>
      </c>
      <c r="CV229" s="3070" t="s">
        <v>3246</v>
      </c>
      <c r="CW229" s="3070" t="s">
        <v>5173</v>
      </c>
      <c r="CX229" s="3070" t="s">
        <v>3242</v>
      </c>
      <c r="CZ229" s="3070">
        <v>213894.57</v>
      </c>
      <c r="DA229" s="3070">
        <v>159426.93</v>
      </c>
      <c r="DB229" s="3070">
        <v>0</v>
      </c>
      <c r="DC229" s="3070">
        <v>0</v>
      </c>
      <c r="DD229" s="3070">
        <v>3290547602</v>
      </c>
      <c r="DE229" s="3070">
        <v>2764253109</v>
      </c>
      <c r="DF229" s="3070">
        <v>1464966739</v>
      </c>
      <c r="DG229" s="3070">
        <v>14938370</v>
      </c>
      <c r="DH229" s="3070">
        <v>1284348000</v>
      </c>
      <c r="DI229" s="3070">
        <v>1278128000</v>
      </c>
      <c r="DJ229" s="3070">
        <v>6220000</v>
      </c>
      <c r="DK229" s="3070">
        <v>0</v>
      </c>
      <c r="DL229" s="3070">
        <v>0</v>
      </c>
      <c r="DM229" s="3070">
        <v>25491817.620000001</v>
      </c>
      <c r="DN229" s="3070">
        <v>2764253109</v>
      </c>
      <c r="DP229" s="3070">
        <v>2764253109</v>
      </c>
    </row>
    <row r="230" spans="1:120">
      <c r="A230" s="3070">
        <v>229</v>
      </c>
      <c r="B230" s="3070" t="s">
        <v>3224</v>
      </c>
      <c r="C230" s="3070">
        <v>2</v>
      </c>
      <c r="E230" s="3070">
        <v>1502</v>
      </c>
      <c r="F230" s="3070" t="s">
        <v>5174</v>
      </c>
      <c r="G230" s="3070" t="s">
        <v>5175</v>
      </c>
      <c r="H230" s="3070">
        <v>1280323</v>
      </c>
      <c r="I230" s="3070">
        <v>1280323</v>
      </c>
      <c r="J230" s="3070">
        <v>101.55</v>
      </c>
      <c r="K230" s="3070">
        <v>75.430000000000007</v>
      </c>
      <c r="L230" s="3070">
        <v>0</v>
      </c>
      <c r="M230" s="3070">
        <v>0</v>
      </c>
      <c r="N230" s="3070">
        <v>15544.44</v>
      </c>
      <c r="O230" s="3070">
        <v>1578538</v>
      </c>
      <c r="P230" s="3070">
        <v>12607.81</v>
      </c>
      <c r="Q230" s="3070">
        <v>1280323</v>
      </c>
      <c r="R230" s="3070" t="s">
        <v>3227</v>
      </c>
      <c r="S230" s="3070" t="s">
        <v>5176</v>
      </c>
      <c r="T230" s="3070" t="s">
        <v>3246</v>
      </c>
      <c r="U230" s="3070" t="s">
        <v>3247</v>
      </c>
      <c r="V230" s="3070" t="s">
        <v>3230</v>
      </c>
      <c r="Y230" s="3070">
        <v>390323</v>
      </c>
      <c r="Z230" s="3070">
        <v>390323</v>
      </c>
      <c r="AA230" s="3070">
        <v>390323</v>
      </c>
      <c r="AB230" s="3070">
        <v>0</v>
      </c>
      <c r="AC230" s="3070">
        <v>890000</v>
      </c>
      <c r="AD230" s="3070">
        <v>890000</v>
      </c>
      <c r="AE230" s="3070">
        <v>0</v>
      </c>
      <c r="AI230" s="3070" t="s">
        <v>3227</v>
      </c>
      <c r="AJ230" s="3070">
        <v>0</v>
      </c>
      <c r="AK230" s="3070">
        <v>0</v>
      </c>
      <c r="AL230" s="3070">
        <v>0</v>
      </c>
      <c r="AM230" s="3070">
        <v>12607.81</v>
      </c>
      <c r="AN230" s="3070">
        <v>1280323</v>
      </c>
      <c r="AP230" s="3070">
        <v>1280323</v>
      </c>
      <c r="AQ230" s="3072">
        <v>45230</v>
      </c>
      <c r="AT230" s="3073">
        <v>45770</v>
      </c>
      <c r="AV230" s="3070" t="s">
        <v>5177</v>
      </c>
      <c r="AW230" s="3070" t="s">
        <v>5178</v>
      </c>
      <c r="AX230" s="3070" t="s">
        <v>5179</v>
      </c>
      <c r="AY230" s="3070" t="s">
        <v>3656</v>
      </c>
      <c r="BC230" s="3070" t="s">
        <v>3284</v>
      </c>
      <c r="BD230" s="3070" t="s">
        <v>3077</v>
      </c>
      <c r="BI230" s="3070" t="s">
        <v>3235</v>
      </c>
      <c r="BJ230" s="3070" t="s">
        <v>3296</v>
      </c>
      <c r="BL230" s="3070" t="s">
        <v>5180</v>
      </c>
      <c r="BM230" s="3075">
        <v>44228</v>
      </c>
      <c r="BN230" s="3070">
        <v>502</v>
      </c>
      <c r="BO230" s="3070" t="s">
        <v>3253</v>
      </c>
      <c r="BR230" s="3070">
        <v>756</v>
      </c>
      <c r="BS230" s="3070" t="s">
        <v>3238</v>
      </c>
      <c r="BZ230" s="3073">
        <v>44146.743055555555</v>
      </c>
      <c r="CA230" s="3070">
        <v>2</v>
      </c>
      <c r="CD230" s="3070" t="s">
        <v>3239</v>
      </c>
      <c r="CF230" s="3070" t="s">
        <v>3091</v>
      </c>
      <c r="CH230" s="3070" t="s">
        <v>3240</v>
      </c>
      <c r="CI230" s="3070">
        <v>0</v>
      </c>
      <c r="CK230" s="3070" t="s">
        <v>3760</v>
      </c>
      <c r="CL230" s="3070" t="s">
        <v>3656</v>
      </c>
      <c r="CM230" s="3070">
        <v>1174608.25</v>
      </c>
      <c r="CV230" s="3070" t="s">
        <v>3246</v>
      </c>
      <c r="CW230" s="3070" t="s">
        <v>5181</v>
      </c>
      <c r="CX230" s="3070" t="s">
        <v>3311</v>
      </c>
      <c r="CZ230" s="3070">
        <v>213894.57</v>
      </c>
      <c r="DA230" s="3070">
        <v>159426.93</v>
      </c>
      <c r="DB230" s="3070">
        <v>0</v>
      </c>
      <c r="DC230" s="3070">
        <v>0</v>
      </c>
      <c r="DD230" s="3070">
        <v>3290547602</v>
      </c>
      <c r="DE230" s="3070">
        <v>2764253109</v>
      </c>
      <c r="DF230" s="3070">
        <v>1464966739</v>
      </c>
      <c r="DG230" s="3070">
        <v>14938370</v>
      </c>
      <c r="DH230" s="3070">
        <v>1284348000</v>
      </c>
      <c r="DI230" s="3070">
        <v>1278128000</v>
      </c>
      <c r="DJ230" s="3070">
        <v>6220000</v>
      </c>
      <c r="DK230" s="3070">
        <v>0</v>
      </c>
      <c r="DL230" s="3070">
        <v>0</v>
      </c>
      <c r="DM230" s="3070">
        <v>25491817.620000001</v>
      </c>
      <c r="DN230" s="3070">
        <v>2764253109</v>
      </c>
      <c r="DP230" s="3070">
        <v>2764253109</v>
      </c>
    </row>
    <row r="231" spans="1:120">
      <c r="A231" s="3070">
        <v>230</v>
      </c>
      <c r="B231" s="3070" t="s">
        <v>3224</v>
      </c>
      <c r="C231" s="3070">
        <v>2</v>
      </c>
      <c r="E231" s="3070">
        <v>1503</v>
      </c>
      <c r="F231" s="3070" t="s">
        <v>5182</v>
      </c>
      <c r="G231" s="3070" t="s">
        <v>5183</v>
      </c>
      <c r="H231" s="3070">
        <v>1279567</v>
      </c>
      <c r="I231" s="3070">
        <v>1279567</v>
      </c>
      <c r="J231" s="3070">
        <v>101.49</v>
      </c>
      <c r="K231" s="3070">
        <v>75.38</v>
      </c>
      <c r="L231" s="3070">
        <v>0</v>
      </c>
      <c r="M231" s="3070">
        <v>0</v>
      </c>
      <c r="N231" s="3070">
        <v>15544.44</v>
      </c>
      <c r="O231" s="3070">
        <v>1577605</v>
      </c>
      <c r="P231" s="3070">
        <v>12607.81</v>
      </c>
      <c r="Q231" s="3070">
        <v>1279567</v>
      </c>
      <c r="R231" s="3070" t="s">
        <v>3227</v>
      </c>
      <c r="S231" s="3070" t="s">
        <v>5184</v>
      </c>
      <c r="T231" s="3070" t="s">
        <v>3246</v>
      </c>
      <c r="U231" s="3070" t="s">
        <v>3279</v>
      </c>
      <c r="V231" s="3070" t="s">
        <v>3230</v>
      </c>
      <c r="Y231" s="3070">
        <v>499567</v>
      </c>
      <c r="Z231" s="3070">
        <v>499567</v>
      </c>
      <c r="AA231" s="3070">
        <v>499567</v>
      </c>
      <c r="AB231" s="3070">
        <v>0</v>
      </c>
      <c r="AC231" s="3070">
        <v>780000</v>
      </c>
      <c r="AD231" s="3070">
        <v>780000</v>
      </c>
      <c r="AE231" s="3070">
        <v>0</v>
      </c>
      <c r="AI231" s="3070" t="s">
        <v>3227</v>
      </c>
      <c r="AJ231" s="3070">
        <v>0</v>
      </c>
      <c r="AK231" s="3070">
        <v>0</v>
      </c>
      <c r="AL231" s="3070">
        <v>0</v>
      </c>
      <c r="AM231" s="3070">
        <v>12607.81</v>
      </c>
      <c r="AN231" s="3070">
        <v>1279567</v>
      </c>
      <c r="AP231" s="3070">
        <v>1279567</v>
      </c>
      <c r="AQ231" s="3072">
        <v>45230</v>
      </c>
      <c r="AT231" s="3073">
        <v>45770</v>
      </c>
      <c r="AV231" s="3070" t="s">
        <v>5185</v>
      </c>
      <c r="AW231" s="3070" t="s">
        <v>5186</v>
      </c>
      <c r="AX231" s="3070" t="s">
        <v>5187</v>
      </c>
      <c r="AY231" s="3070" t="s">
        <v>3722</v>
      </c>
      <c r="BC231" s="3070" t="s">
        <v>3284</v>
      </c>
      <c r="BD231" s="3070" t="s">
        <v>3077</v>
      </c>
      <c r="BI231" s="3070" t="s">
        <v>3235</v>
      </c>
      <c r="BJ231" s="3070" t="s">
        <v>3338</v>
      </c>
      <c r="BL231" s="3070" t="s">
        <v>5188</v>
      </c>
      <c r="BM231" s="3075">
        <v>44228</v>
      </c>
      <c r="BN231" s="3070">
        <v>503</v>
      </c>
      <c r="BO231" s="3070" t="s">
        <v>3253</v>
      </c>
      <c r="BR231" s="3070">
        <v>188</v>
      </c>
      <c r="BS231" s="3070" t="s">
        <v>3238</v>
      </c>
      <c r="BZ231" s="3073">
        <v>44142.640277777777</v>
      </c>
      <c r="CA231" s="3070">
        <v>2</v>
      </c>
      <c r="CD231" s="3070" t="s">
        <v>3239</v>
      </c>
      <c r="CF231" s="3070" t="s">
        <v>3091</v>
      </c>
      <c r="CH231" s="3070" t="s">
        <v>3240</v>
      </c>
      <c r="CI231" s="3070">
        <v>0</v>
      </c>
      <c r="CK231" s="3070" t="s">
        <v>3722</v>
      </c>
      <c r="CL231" s="3070" t="s">
        <v>3722</v>
      </c>
      <c r="CM231" s="3070">
        <v>1173914.68</v>
      </c>
      <c r="CV231" s="3070" t="s">
        <v>3246</v>
      </c>
      <c r="CW231" s="3070" t="s">
        <v>5189</v>
      </c>
      <c r="CZ231" s="3070">
        <v>213894.57</v>
      </c>
      <c r="DA231" s="3070">
        <v>159426.93</v>
      </c>
      <c r="DB231" s="3070">
        <v>0</v>
      </c>
      <c r="DC231" s="3070">
        <v>0</v>
      </c>
      <c r="DD231" s="3070">
        <v>3290547602</v>
      </c>
      <c r="DE231" s="3070">
        <v>2764253109</v>
      </c>
      <c r="DF231" s="3070">
        <v>1464966739</v>
      </c>
      <c r="DG231" s="3070">
        <v>14938370</v>
      </c>
      <c r="DH231" s="3070">
        <v>1284348000</v>
      </c>
      <c r="DI231" s="3070">
        <v>1278128000</v>
      </c>
      <c r="DJ231" s="3070">
        <v>6220000</v>
      </c>
      <c r="DK231" s="3070">
        <v>0</v>
      </c>
      <c r="DL231" s="3070">
        <v>0</v>
      </c>
      <c r="DM231" s="3070">
        <v>25491817.620000001</v>
      </c>
      <c r="DN231" s="3070">
        <v>2764253109</v>
      </c>
      <c r="DP231" s="3070">
        <v>2764253109</v>
      </c>
    </row>
    <row r="232" spans="1:120">
      <c r="A232" s="3070">
        <v>231</v>
      </c>
      <c r="B232" s="3070" t="s">
        <v>3224</v>
      </c>
      <c r="C232" s="3070">
        <v>2</v>
      </c>
      <c r="E232" s="3070">
        <v>1504</v>
      </c>
      <c r="F232" s="3070" t="s">
        <v>5190</v>
      </c>
      <c r="G232" s="3070" t="s">
        <v>5191</v>
      </c>
      <c r="H232" s="3070">
        <v>1529214</v>
      </c>
      <c r="I232" s="3070">
        <v>1529214</v>
      </c>
      <c r="J232" s="3070">
        <v>121.75</v>
      </c>
      <c r="K232" s="3070">
        <v>90.43</v>
      </c>
      <c r="L232" s="3070">
        <v>0</v>
      </c>
      <c r="M232" s="3070">
        <v>0</v>
      </c>
      <c r="N232" s="3070">
        <v>15494.44</v>
      </c>
      <c r="O232" s="3070">
        <v>1886448</v>
      </c>
      <c r="P232" s="3070">
        <v>12560.28</v>
      </c>
      <c r="Q232" s="3070">
        <v>1529214</v>
      </c>
      <c r="R232" s="3070" t="s">
        <v>3227</v>
      </c>
      <c r="S232" s="3070" t="s">
        <v>5192</v>
      </c>
      <c r="T232" s="3070" t="s">
        <v>3246</v>
      </c>
      <c r="U232" s="3070" t="s">
        <v>3247</v>
      </c>
      <c r="V232" s="3070" t="s">
        <v>3230</v>
      </c>
      <c r="Y232" s="3070">
        <v>459214</v>
      </c>
      <c r="Z232" s="3070">
        <v>459214</v>
      </c>
      <c r="AA232" s="3070">
        <v>459214</v>
      </c>
      <c r="AB232" s="3070">
        <v>0</v>
      </c>
      <c r="AC232" s="3070">
        <v>1070000</v>
      </c>
      <c r="AD232" s="3070">
        <v>1070000</v>
      </c>
      <c r="AE232" s="3070">
        <v>0</v>
      </c>
      <c r="AI232" s="3070" t="s">
        <v>3227</v>
      </c>
      <c r="AJ232" s="3070">
        <v>0</v>
      </c>
      <c r="AK232" s="3070">
        <v>0</v>
      </c>
      <c r="AL232" s="3070">
        <v>0</v>
      </c>
      <c r="AM232" s="3070">
        <v>12560.28</v>
      </c>
      <c r="AN232" s="3070">
        <v>1529214</v>
      </c>
      <c r="AP232" s="3070">
        <v>1529214</v>
      </c>
      <c r="AQ232" s="3072">
        <v>45230</v>
      </c>
      <c r="AT232" s="3073">
        <v>45770</v>
      </c>
      <c r="AV232" s="3070" t="s">
        <v>5193</v>
      </c>
      <c r="AW232" s="3070" t="s">
        <v>5194</v>
      </c>
      <c r="AX232" s="3070" t="s">
        <v>5195</v>
      </c>
      <c r="AY232" s="3070" t="s">
        <v>3497</v>
      </c>
      <c r="BC232" s="3070" t="s">
        <v>3284</v>
      </c>
      <c r="BD232" s="3070" t="s">
        <v>3075</v>
      </c>
      <c r="BI232" s="3070" t="s">
        <v>3235</v>
      </c>
      <c r="BL232" s="3070" t="s">
        <v>5196</v>
      </c>
      <c r="BM232" s="3075">
        <v>44228</v>
      </c>
      <c r="BN232" s="3070">
        <v>504</v>
      </c>
      <c r="BO232" s="3070" t="s">
        <v>3253</v>
      </c>
      <c r="BR232" s="3070">
        <v>307</v>
      </c>
      <c r="BS232" s="3070" t="s">
        <v>3238</v>
      </c>
      <c r="BZ232" s="3073">
        <v>44150.736805555556</v>
      </c>
      <c r="CA232" s="3070">
        <v>2</v>
      </c>
      <c r="CD232" s="3070" t="s">
        <v>3239</v>
      </c>
      <c r="CF232" s="3070" t="s">
        <v>3091</v>
      </c>
      <c r="CH232" s="3070" t="s">
        <v>3240</v>
      </c>
      <c r="CI232" s="3070">
        <v>0</v>
      </c>
      <c r="CK232" s="3070" t="s">
        <v>3497</v>
      </c>
      <c r="CL232" s="3070" t="s">
        <v>3497</v>
      </c>
      <c r="CM232" s="3070">
        <v>1402948.62</v>
      </c>
      <c r="CV232" s="3070" t="s">
        <v>3246</v>
      </c>
      <c r="CW232" s="3070" t="s">
        <v>5197</v>
      </c>
      <c r="CZ232" s="3070">
        <v>213894.57</v>
      </c>
      <c r="DA232" s="3070">
        <v>159426.93</v>
      </c>
      <c r="DB232" s="3070">
        <v>0</v>
      </c>
      <c r="DC232" s="3070">
        <v>0</v>
      </c>
      <c r="DD232" s="3070">
        <v>3290547602</v>
      </c>
      <c r="DE232" s="3070">
        <v>2764253109</v>
      </c>
      <c r="DF232" s="3070">
        <v>1464966739</v>
      </c>
      <c r="DG232" s="3070">
        <v>14938370</v>
      </c>
      <c r="DH232" s="3070">
        <v>1284348000</v>
      </c>
      <c r="DI232" s="3070">
        <v>1278128000</v>
      </c>
      <c r="DJ232" s="3070">
        <v>6220000</v>
      </c>
      <c r="DK232" s="3070">
        <v>0</v>
      </c>
      <c r="DL232" s="3070">
        <v>0</v>
      </c>
      <c r="DM232" s="3070">
        <v>25491817.620000001</v>
      </c>
      <c r="DN232" s="3070">
        <v>2764253109</v>
      </c>
      <c r="DP232" s="3070">
        <v>2764253109</v>
      </c>
    </row>
    <row r="233" spans="1:120">
      <c r="A233" s="3070">
        <v>232</v>
      </c>
      <c r="B233" s="3070" t="s">
        <v>3224</v>
      </c>
      <c r="C233" s="3070">
        <v>2</v>
      </c>
      <c r="E233" s="3070">
        <v>1601</v>
      </c>
      <c r="F233" s="3070" t="s">
        <v>5198</v>
      </c>
      <c r="G233" s="3070" t="s">
        <v>5199</v>
      </c>
      <c r="H233" s="3070">
        <v>1523427</v>
      </c>
      <c r="I233" s="3070">
        <v>1523427</v>
      </c>
      <c r="J233" s="3070">
        <v>121.75</v>
      </c>
      <c r="K233" s="3070">
        <v>90.43</v>
      </c>
      <c r="L233" s="3070">
        <v>0</v>
      </c>
      <c r="M233" s="3070">
        <v>0</v>
      </c>
      <c r="N233" s="3070">
        <v>15444.44</v>
      </c>
      <c r="O233" s="3070">
        <v>1880361</v>
      </c>
      <c r="P233" s="3070">
        <v>12512.75</v>
      </c>
      <c r="Q233" s="3070">
        <v>1523427</v>
      </c>
      <c r="R233" s="3070" t="s">
        <v>3227</v>
      </c>
      <c r="S233" s="3070" t="s">
        <v>5200</v>
      </c>
      <c r="T233" s="3070" t="s">
        <v>3246</v>
      </c>
      <c r="U233" s="3070" t="s">
        <v>3247</v>
      </c>
      <c r="V233" s="3070" t="s">
        <v>3230</v>
      </c>
      <c r="Y233" s="3070">
        <v>723427</v>
      </c>
      <c r="Z233" s="3070">
        <v>152343</v>
      </c>
      <c r="AA233" s="3070">
        <v>723427</v>
      </c>
      <c r="AB233" s="3070">
        <v>0</v>
      </c>
      <c r="AC233" s="3070">
        <v>800000</v>
      </c>
      <c r="AD233" s="3070">
        <v>800000</v>
      </c>
      <c r="AE233" s="3070">
        <v>0</v>
      </c>
      <c r="AI233" s="3070" t="s">
        <v>3227</v>
      </c>
      <c r="AJ233" s="3070">
        <v>0</v>
      </c>
      <c r="AK233" s="3070">
        <v>0</v>
      </c>
      <c r="AL233" s="3070">
        <v>0</v>
      </c>
      <c r="AM233" s="3070">
        <v>12512.75</v>
      </c>
      <c r="AN233" s="3070">
        <v>1523427</v>
      </c>
      <c r="AP233" s="3070">
        <v>1523427</v>
      </c>
      <c r="AQ233" s="3072">
        <v>45230</v>
      </c>
      <c r="AT233" s="3073">
        <v>45770</v>
      </c>
      <c r="AV233" s="3074">
        <v>3.41E+17</v>
      </c>
      <c r="AW233" s="3070" t="s">
        <v>5201</v>
      </c>
      <c r="AX233" s="3070" t="s">
        <v>5202</v>
      </c>
      <c r="AY233" s="3070" t="s">
        <v>3262</v>
      </c>
      <c r="BC233" s="3070" t="s">
        <v>3284</v>
      </c>
      <c r="BD233" s="3070" t="s">
        <v>3075</v>
      </c>
      <c r="BI233" s="3070" t="s">
        <v>3235</v>
      </c>
      <c r="BL233" s="3070" t="s">
        <v>5203</v>
      </c>
      <c r="BM233" s="3075">
        <v>44228</v>
      </c>
      <c r="BN233" s="3070">
        <v>601</v>
      </c>
      <c r="BO233" s="3070" t="s">
        <v>3253</v>
      </c>
      <c r="BR233" s="3070">
        <v>823</v>
      </c>
      <c r="BS233" s="3070" t="s">
        <v>3238</v>
      </c>
      <c r="BT233" s="3070" t="s">
        <v>3481</v>
      </c>
      <c r="BZ233" s="3073">
        <v>44142.645833333336</v>
      </c>
      <c r="CA233" s="3070">
        <v>2</v>
      </c>
      <c r="CB233" s="3070" t="s">
        <v>3481</v>
      </c>
      <c r="CD233" s="3070" t="s">
        <v>3239</v>
      </c>
      <c r="CF233" s="3070" t="s">
        <v>3091</v>
      </c>
      <c r="CH233" s="3070" t="s">
        <v>3240</v>
      </c>
      <c r="CI233" s="3070">
        <v>0</v>
      </c>
      <c r="CK233" s="3070" t="s">
        <v>3262</v>
      </c>
      <c r="CL233" s="3070" t="s">
        <v>3262</v>
      </c>
      <c r="CM233" s="3070">
        <v>1397639.44</v>
      </c>
      <c r="CV233" s="3070" t="s">
        <v>3246</v>
      </c>
      <c r="CW233" s="3070" t="s">
        <v>5204</v>
      </c>
      <c r="CZ233" s="3070">
        <v>213894.57</v>
      </c>
      <c r="DA233" s="3070">
        <v>159426.93</v>
      </c>
      <c r="DB233" s="3070">
        <v>0</v>
      </c>
      <c r="DC233" s="3070">
        <v>0</v>
      </c>
      <c r="DD233" s="3070">
        <v>3290547602</v>
      </c>
      <c r="DE233" s="3070">
        <v>2764253109</v>
      </c>
      <c r="DF233" s="3070">
        <v>1464966739</v>
      </c>
      <c r="DG233" s="3070">
        <v>14938370</v>
      </c>
      <c r="DH233" s="3070">
        <v>1284348000</v>
      </c>
      <c r="DI233" s="3070">
        <v>1278128000</v>
      </c>
      <c r="DJ233" s="3070">
        <v>6220000</v>
      </c>
      <c r="DK233" s="3070">
        <v>0</v>
      </c>
      <c r="DL233" s="3070">
        <v>0</v>
      </c>
      <c r="DM233" s="3070">
        <v>25491817.620000001</v>
      </c>
      <c r="DN233" s="3070">
        <v>2764253109</v>
      </c>
      <c r="DP233" s="3070">
        <v>2764253109</v>
      </c>
    </row>
    <row r="234" spans="1:120">
      <c r="A234" s="3070">
        <v>233</v>
      </c>
      <c r="B234" s="3070" t="s">
        <v>3224</v>
      </c>
      <c r="C234" s="3070">
        <v>2</v>
      </c>
      <c r="E234" s="3070">
        <v>1602</v>
      </c>
      <c r="F234" s="3070" t="s">
        <v>5205</v>
      </c>
      <c r="G234" s="3070" t="s">
        <v>5206</v>
      </c>
      <c r="H234" s="3070">
        <v>1280323</v>
      </c>
      <c r="I234" s="3070">
        <v>1280323</v>
      </c>
      <c r="J234" s="3070">
        <v>101.55</v>
      </c>
      <c r="K234" s="3070">
        <v>75.430000000000007</v>
      </c>
      <c r="L234" s="3070">
        <v>0</v>
      </c>
      <c r="M234" s="3070">
        <v>0</v>
      </c>
      <c r="N234" s="3070">
        <v>15544.44</v>
      </c>
      <c r="O234" s="3070">
        <v>1578538</v>
      </c>
      <c r="P234" s="3070">
        <v>12607.81</v>
      </c>
      <c r="Q234" s="3070">
        <v>1280323</v>
      </c>
      <c r="R234" s="3070" t="s">
        <v>3227</v>
      </c>
      <c r="S234" s="3070" t="s">
        <v>5207</v>
      </c>
      <c r="T234" s="3070" t="s">
        <v>3258</v>
      </c>
      <c r="U234" s="3070" t="s">
        <v>3259</v>
      </c>
      <c r="V234" s="3070" t="s">
        <v>3230</v>
      </c>
      <c r="Y234" s="3070">
        <v>390323</v>
      </c>
      <c r="Z234" s="3070">
        <v>390323</v>
      </c>
      <c r="AA234" s="3070">
        <v>390323</v>
      </c>
      <c r="AB234" s="3070">
        <v>0</v>
      </c>
      <c r="AC234" s="3070">
        <v>890000</v>
      </c>
      <c r="AD234" s="3070">
        <v>890000</v>
      </c>
      <c r="AE234" s="3070">
        <v>0</v>
      </c>
      <c r="AI234" s="3070" t="s">
        <v>3227</v>
      </c>
      <c r="AJ234" s="3070">
        <v>0</v>
      </c>
      <c r="AK234" s="3070">
        <v>0</v>
      </c>
      <c r="AL234" s="3070">
        <v>0</v>
      </c>
      <c r="AM234" s="3070">
        <v>12607.81</v>
      </c>
      <c r="AN234" s="3070">
        <v>1280323</v>
      </c>
      <c r="AP234" s="3070">
        <v>1280323</v>
      </c>
      <c r="AQ234" s="3072">
        <v>45230</v>
      </c>
      <c r="AT234" s="3073">
        <v>45770</v>
      </c>
      <c r="AV234" s="3070" t="s">
        <v>5208</v>
      </c>
      <c r="AW234" s="3070" t="s">
        <v>5209</v>
      </c>
      <c r="AX234" s="3070" t="s">
        <v>5210</v>
      </c>
      <c r="AY234" s="3070" t="s">
        <v>3337</v>
      </c>
      <c r="BC234" s="3070" t="s">
        <v>3263</v>
      </c>
      <c r="BD234" s="3070" t="s">
        <v>3077</v>
      </c>
      <c r="BI234" s="3070" t="s">
        <v>3235</v>
      </c>
      <c r="BL234" s="3070" t="s">
        <v>5211</v>
      </c>
      <c r="BM234" s="3075">
        <v>44228</v>
      </c>
      <c r="BN234" s="3070">
        <v>602</v>
      </c>
      <c r="BO234" s="3070" t="s">
        <v>3253</v>
      </c>
      <c r="BP234" s="3070" t="s">
        <v>3253</v>
      </c>
      <c r="BR234" s="3070">
        <v>723</v>
      </c>
      <c r="BS234" s="3070" t="s">
        <v>3238</v>
      </c>
      <c r="BZ234" s="3073">
        <v>44142.631944444445</v>
      </c>
      <c r="CA234" s="3070">
        <v>2</v>
      </c>
      <c r="CD234" s="3070" t="s">
        <v>3239</v>
      </c>
      <c r="CF234" s="3070" t="s">
        <v>3091</v>
      </c>
      <c r="CH234" s="3070" t="s">
        <v>3240</v>
      </c>
      <c r="CI234" s="3070">
        <v>0</v>
      </c>
      <c r="CJ234" s="3070" t="s">
        <v>3259</v>
      </c>
      <c r="CK234" s="3070" t="s">
        <v>3337</v>
      </c>
      <c r="CL234" s="3070" t="s">
        <v>3337</v>
      </c>
      <c r="CM234" s="3070">
        <v>1174608.25</v>
      </c>
      <c r="CV234" s="3070" t="s">
        <v>3258</v>
      </c>
      <c r="CW234" s="3070" t="s">
        <v>5212</v>
      </c>
      <c r="CX234" s="3070" t="s">
        <v>3350</v>
      </c>
      <c r="CZ234" s="3070">
        <v>213894.57</v>
      </c>
      <c r="DA234" s="3070">
        <v>159426.93</v>
      </c>
      <c r="DB234" s="3070">
        <v>0</v>
      </c>
      <c r="DC234" s="3070">
        <v>0</v>
      </c>
      <c r="DD234" s="3070">
        <v>3290547602</v>
      </c>
      <c r="DE234" s="3070">
        <v>2764253109</v>
      </c>
      <c r="DF234" s="3070">
        <v>1464966739</v>
      </c>
      <c r="DG234" s="3070">
        <v>14938370</v>
      </c>
      <c r="DH234" s="3070">
        <v>1284348000</v>
      </c>
      <c r="DI234" s="3070">
        <v>1278128000</v>
      </c>
      <c r="DJ234" s="3070">
        <v>6220000</v>
      </c>
      <c r="DK234" s="3070">
        <v>0</v>
      </c>
      <c r="DL234" s="3070">
        <v>0</v>
      </c>
      <c r="DM234" s="3070">
        <v>25491817.620000001</v>
      </c>
      <c r="DN234" s="3070">
        <v>2764253109</v>
      </c>
      <c r="DP234" s="3070">
        <v>2764253109</v>
      </c>
    </row>
    <row r="235" spans="1:120">
      <c r="A235" s="3070">
        <v>234</v>
      </c>
      <c r="B235" s="3070" t="s">
        <v>3224</v>
      </c>
      <c r="C235" s="3070">
        <v>2</v>
      </c>
      <c r="E235" s="3070">
        <v>1603</v>
      </c>
      <c r="F235" s="3070" t="s">
        <v>5213</v>
      </c>
      <c r="G235" s="3070" t="s">
        <v>5214</v>
      </c>
      <c r="H235" s="3070">
        <v>1266771</v>
      </c>
      <c r="I235" s="3070">
        <v>1266771</v>
      </c>
      <c r="J235" s="3070">
        <v>101.49</v>
      </c>
      <c r="K235" s="3070">
        <v>75.38</v>
      </c>
      <c r="L235" s="3070">
        <v>0</v>
      </c>
      <c r="M235" s="3070">
        <v>0</v>
      </c>
      <c r="N235" s="3070">
        <v>15544.44</v>
      </c>
      <c r="O235" s="3070">
        <v>1577605</v>
      </c>
      <c r="P235" s="3070">
        <v>12481.73</v>
      </c>
      <c r="Q235" s="3070">
        <v>1266771</v>
      </c>
      <c r="R235" s="3070" t="s">
        <v>3227</v>
      </c>
      <c r="S235" s="3070" t="s">
        <v>5215</v>
      </c>
      <c r="T235" s="3070" t="s">
        <v>3229</v>
      </c>
      <c r="V235" s="3070" t="s">
        <v>3230</v>
      </c>
      <c r="Y235" s="3070">
        <v>380031</v>
      </c>
      <c r="Z235" s="3070">
        <v>380031</v>
      </c>
      <c r="AA235" s="3070">
        <v>1266771</v>
      </c>
      <c r="AB235" s="3070">
        <v>0</v>
      </c>
      <c r="AC235" s="3070">
        <v>0</v>
      </c>
      <c r="AD235" s="3070">
        <v>0</v>
      </c>
      <c r="AE235" s="3070">
        <v>0</v>
      </c>
      <c r="AI235" s="3070" t="s">
        <v>3227</v>
      </c>
      <c r="AJ235" s="3070">
        <v>0</v>
      </c>
      <c r="AK235" s="3070">
        <v>0</v>
      </c>
      <c r="AL235" s="3070">
        <v>0</v>
      </c>
      <c r="AM235" s="3070">
        <v>12481.73</v>
      </c>
      <c r="AN235" s="3070">
        <v>1266771</v>
      </c>
      <c r="AP235" s="3070">
        <v>1266771</v>
      </c>
      <c r="AQ235" s="3072">
        <v>45230</v>
      </c>
      <c r="AT235" s="3073">
        <v>45770</v>
      </c>
      <c r="AV235" s="3074">
        <v>3.21E+17</v>
      </c>
      <c r="AW235" s="3070" t="s">
        <v>5216</v>
      </c>
      <c r="AX235" s="3070" t="s">
        <v>5217</v>
      </c>
      <c r="AY235" s="3070" t="s">
        <v>3364</v>
      </c>
      <c r="BC235" s="3070" t="s">
        <v>3347</v>
      </c>
      <c r="BD235" s="3070" t="s">
        <v>3077</v>
      </c>
      <c r="BI235" s="3070" t="s">
        <v>3295</v>
      </c>
      <c r="BL235" s="3070" t="s">
        <v>5218</v>
      </c>
      <c r="BM235" s="3075">
        <v>44228</v>
      </c>
      <c r="BN235" s="3070">
        <v>603</v>
      </c>
      <c r="BR235" s="3070">
        <v>9</v>
      </c>
      <c r="BS235" s="3070" t="s">
        <v>3238</v>
      </c>
      <c r="BZ235" s="3073">
        <v>44148.467361111114</v>
      </c>
      <c r="CA235" s="3070">
        <v>2</v>
      </c>
      <c r="CD235" s="3070" t="s">
        <v>3239</v>
      </c>
      <c r="CF235" s="3070" t="s">
        <v>3091</v>
      </c>
      <c r="CH235" s="3070" t="s">
        <v>3240</v>
      </c>
      <c r="CI235" s="3070">
        <v>0</v>
      </c>
      <c r="CK235" s="3070" t="s">
        <v>3364</v>
      </c>
      <c r="CL235" s="3070" t="s">
        <v>3364</v>
      </c>
      <c r="CM235" s="3070">
        <v>1162175.23</v>
      </c>
      <c r="CV235" s="3070" t="s">
        <v>3229</v>
      </c>
      <c r="CW235" s="3070" t="s">
        <v>5219</v>
      </c>
      <c r="CZ235" s="3070">
        <v>213894.57</v>
      </c>
      <c r="DA235" s="3070">
        <v>159426.93</v>
      </c>
      <c r="DB235" s="3070">
        <v>0</v>
      </c>
      <c r="DC235" s="3070">
        <v>0</v>
      </c>
      <c r="DD235" s="3070">
        <v>3290547602</v>
      </c>
      <c r="DE235" s="3070">
        <v>2764253109</v>
      </c>
      <c r="DF235" s="3070">
        <v>1464966739</v>
      </c>
      <c r="DG235" s="3070">
        <v>14938370</v>
      </c>
      <c r="DH235" s="3070">
        <v>1284348000</v>
      </c>
      <c r="DI235" s="3070">
        <v>1278128000</v>
      </c>
      <c r="DJ235" s="3070">
        <v>6220000</v>
      </c>
      <c r="DK235" s="3070">
        <v>0</v>
      </c>
      <c r="DL235" s="3070">
        <v>0</v>
      </c>
      <c r="DM235" s="3070">
        <v>25491817.620000001</v>
      </c>
      <c r="DN235" s="3070">
        <v>2764253109</v>
      </c>
      <c r="DP235" s="3070">
        <v>2764253109</v>
      </c>
    </row>
    <row r="236" spans="1:120">
      <c r="A236" s="3070">
        <v>235</v>
      </c>
      <c r="B236" s="3070" t="s">
        <v>3224</v>
      </c>
      <c r="C236" s="3070">
        <v>2</v>
      </c>
      <c r="E236" s="3070">
        <v>1604</v>
      </c>
      <c r="F236" s="3070" t="s">
        <v>5220</v>
      </c>
      <c r="G236" s="3070" t="s">
        <v>5221</v>
      </c>
      <c r="H236" s="3070">
        <v>1557339</v>
      </c>
      <c r="I236" s="3070">
        <v>1557339</v>
      </c>
      <c r="J236" s="3070">
        <v>121.75</v>
      </c>
      <c r="K236" s="3070">
        <v>90.43</v>
      </c>
      <c r="L236" s="3070">
        <v>0</v>
      </c>
      <c r="M236" s="3070">
        <v>0</v>
      </c>
      <c r="N236" s="3070">
        <v>15494.44</v>
      </c>
      <c r="O236" s="3070">
        <v>1886448</v>
      </c>
      <c r="P236" s="3070">
        <v>12791.29</v>
      </c>
      <c r="Q236" s="3070">
        <v>1557339</v>
      </c>
      <c r="R236" s="3070" t="s">
        <v>3227</v>
      </c>
      <c r="S236" s="3070" t="s">
        <v>5222</v>
      </c>
      <c r="T236" s="3070" t="s">
        <v>3991</v>
      </c>
      <c r="V236" s="3070" t="s">
        <v>3230</v>
      </c>
      <c r="Y236" s="3070">
        <v>467202</v>
      </c>
      <c r="Z236" s="3070">
        <v>155734</v>
      </c>
      <c r="AA236" s="3070">
        <v>1557339</v>
      </c>
      <c r="AB236" s="3070">
        <v>0</v>
      </c>
      <c r="AC236" s="3070">
        <v>0</v>
      </c>
      <c r="AD236" s="3070">
        <v>0</v>
      </c>
      <c r="AE236" s="3070">
        <v>0</v>
      </c>
      <c r="AI236" s="3070" t="s">
        <v>3227</v>
      </c>
      <c r="AJ236" s="3070">
        <v>0</v>
      </c>
      <c r="AK236" s="3070">
        <v>0</v>
      </c>
      <c r="AL236" s="3070">
        <v>0</v>
      </c>
      <c r="AM236" s="3070">
        <v>12791.29</v>
      </c>
      <c r="AN236" s="3070">
        <v>1557339</v>
      </c>
      <c r="AP236" s="3070">
        <v>1557339</v>
      </c>
      <c r="AQ236" s="3072">
        <v>45230</v>
      </c>
      <c r="AT236" s="3073">
        <v>45770</v>
      </c>
      <c r="AV236" s="3070" t="s">
        <v>5223</v>
      </c>
      <c r="AW236" s="3070" t="s">
        <v>5224</v>
      </c>
      <c r="AX236" s="3070" t="s">
        <v>5225</v>
      </c>
      <c r="AY236" s="3070" t="s">
        <v>3587</v>
      </c>
      <c r="BA236" s="3070" t="s">
        <v>3587</v>
      </c>
      <c r="BC236" s="3070" t="s">
        <v>4020</v>
      </c>
      <c r="BD236" s="3070" t="s">
        <v>3075</v>
      </c>
      <c r="BI236" s="3070" t="s">
        <v>3235</v>
      </c>
      <c r="BL236" s="3070" t="s">
        <v>5226</v>
      </c>
      <c r="BM236" s="3075">
        <v>44228</v>
      </c>
      <c r="BN236" s="3070">
        <v>604</v>
      </c>
      <c r="BR236" s="3070">
        <v>20</v>
      </c>
      <c r="BS236" s="3070" t="s">
        <v>3238</v>
      </c>
      <c r="BU236" s="3070" t="s">
        <v>3587</v>
      </c>
      <c r="BZ236" s="3073">
        <v>44203.509722222225</v>
      </c>
      <c r="CA236" s="3070">
        <v>2</v>
      </c>
      <c r="CD236" s="3070" t="s">
        <v>3239</v>
      </c>
      <c r="CF236" s="3070" t="s">
        <v>3091</v>
      </c>
      <c r="CH236" s="3070" t="s">
        <v>3240</v>
      </c>
      <c r="CI236" s="3070">
        <v>0</v>
      </c>
      <c r="CK236" s="3070" t="s">
        <v>3587</v>
      </c>
      <c r="CL236" s="3070" t="s">
        <v>3590</v>
      </c>
      <c r="CM236" s="3070">
        <v>1428751.38</v>
      </c>
      <c r="CV236" s="3070" t="s">
        <v>3494</v>
      </c>
      <c r="CW236" s="3070" t="s">
        <v>5227</v>
      </c>
      <c r="CX236" s="3070" t="s">
        <v>3510</v>
      </c>
      <c r="CZ236" s="3070">
        <v>213894.57</v>
      </c>
      <c r="DA236" s="3070">
        <v>159426.93</v>
      </c>
      <c r="DB236" s="3070">
        <v>0</v>
      </c>
      <c r="DC236" s="3070">
        <v>0</v>
      </c>
      <c r="DD236" s="3070">
        <v>3290547602</v>
      </c>
      <c r="DE236" s="3070">
        <v>2764253109</v>
      </c>
      <c r="DF236" s="3070">
        <v>1464966739</v>
      </c>
      <c r="DG236" s="3070">
        <v>14938370</v>
      </c>
      <c r="DH236" s="3070">
        <v>1284348000</v>
      </c>
      <c r="DI236" s="3070">
        <v>1278128000</v>
      </c>
      <c r="DJ236" s="3070">
        <v>6220000</v>
      </c>
      <c r="DK236" s="3070">
        <v>0</v>
      </c>
      <c r="DL236" s="3070">
        <v>0</v>
      </c>
      <c r="DM236" s="3070">
        <v>25491817.620000001</v>
      </c>
      <c r="DN236" s="3070">
        <v>2764253109</v>
      </c>
      <c r="DP236" s="3070">
        <v>2764253109</v>
      </c>
    </row>
    <row r="237" spans="1:120">
      <c r="A237" s="3070">
        <v>236</v>
      </c>
      <c r="B237" s="3070" t="s">
        <v>3224</v>
      </c>
      <c r="C237" s="3070">
        <v>2</v>
      </c>
      <c r="E237" s="3070">
        <v>1702</v>
      </c>
      <c r="F237" s="3070" t="s">
        <v>5228</v>
      </c>
      <c r="G237" s="3070" t="s">
        <v>5229</v>
      </c>
      <c r="H237" s="3070">
        <v>1270670</v>
      </c>
      <c r="I237" s="3070">
        <v>1270670</v>
      </c>
      <c r="J237" s="3070">
        <v>101.55</v>
      </c>
      <c r="K237" s="3070">
        <v>75.430000000000007</v>
      </c>
      <c r="L237" s="3070">
        <v>0</v>
      </c>
      <c r="M237" s="3070">
        <v>0</v>
      </c>
      <c r="N237" s="3070">
        <v>15444.44</v>
      </c>
      <c r="O237" s="3070">
        <v>1568383</v>
      </c>
      <c r="P237" s="3070">
        <v>12512.75</v>
      </c>
      <c r="Q237" s="3070">
        <v>1270670</v>
      </c>
      <c r="R237" s="3070" t="s">
        <v>3227</v>
      </c>
      <c r="S237" s="3070" t="s">
        <v>5230</v>
      </c>
      <c r="T237" s="3070" t="s">
        <v>3258</v>
      </c>
      <c r="U237" s="3070" t="s">
        <v>3259</v>
      </c>
      <c r="V237" s="3070" t="s">
        <v>3230</v>
      </c>
      <c r="Y237" s="3070">
        <v>390670</v>
      </c>
      <c r="Z237" s="3070">
        <v>390670</v>
      </c>
      <c r="AA237" s="3070">
        <v>390670</v>
      </c>
      <c r="AB237" s="3070">
        <v>0</v>
      </c>
      <c r="AC237" s="3070">
        <v>880000</v>
      </c>
      <c r="AD237" s="3070">
        <v>880000</v>
      </c>
      <c r="AE237" s="3070">
        <v>0</v>
      </c>
      <c r="AI237" s="3070" t="s">
        <v>3227</v>
      </c>
      <c r="AJ237" s="3070">
        <v>0</v>
      </c>
      <c r="AK237" s="3070">
        <v>0</v>
      </c>
      <c r="AL237" s="3070">
        <v>0</v>
      </c>
      <c r="AM237" s="3070">
        <v>12512.75</v>
      </c>
      <c r="AN237" s="3070">
        <v>1270670</v>
      </c>
      <c r="AP237" s="3070">
        <v>1270670</v>
      </c>
      <c r="AQ237" s="3072">
        <v>45230</v>
      </c>
      <c r="AT237" s="3073">
        <v>45770</v>
      </c>
      <c r="AV237" s="3074">
        <v>3.21E+17</v>
      </c>
      <c r="AW237" s="3070" t="s">
        <v>5231</v>
      </c>
      <c r="AX237" s="3070" t="s">
        <v>5232</v>
      </c>
      <c r="AY237" s="3070" t="s">
        <v>3429</v>
      </c>
      <c r="BC237" s="3070" t="s">
        <v>3263</v>
      </c>
      <c r="BD237" s="3070" t="s">
        <v>3077</v>
      </c>
      <c r="BI237" s="3070" t="s">
        <v>3235</v>
      </c>
      <c r="BL237" s="3070" t="s">
        <v>5233</v>
      </c>
      <c r="BM237" s="3075">
        <v>44228</v>
      </c>
      <c r="BN237" s="3070">
        <v>702</v>
      </c>
      <c r="BO237" s="3070" t="s">
        <v>3253</v>
      </c>
      <c r="BP237" s="3070" t="s">
        <v>3253</v>
      </c>
      <c r="BR237" s="3070">
        <v>896</v>
      </c>
      <c r="BS237" s="3070" t="s">
        <v>3238</v>
      </c>
      <c r="BZ237" s="3073">
        <v>44153.804166666669</v>
      </c>
      <c r="CA237" s="3070">
        <v>2</v>
      </c>
      <c r="CD237" s="3070" t="s">
        <v>3239</v>
      </c>
      <c r="CF237" s="3070" t="s">
        <v>3091</v>
      </c>
      <c r="CH237" s="3070" t="s">
        <v>3240</v>
      </c>
      <c r="CI237" s="3070">
        <v>0</v>
      </c>
      <c r="CJ237" s="3070" t="s">
        <v>3259</v>
      </c>
      <c r="CK237" s="3070" t="s">
        <v>3429</v>
      </c>
      <c r="CL237" s="3070" t="s">
        <v>3429</v>
      </c>
      <c r="CM237" s="3070">
        <v>1165752.28</v>
      </c>
      <c r="CV237" s="3070" t="s">
        <v>3258</v>
      </c>
      <c r="CW237" s="3070" t="s">
        <v>5234</v>
      </c>
      <c r="CX237" s="3070" t="s">
        <v>3510</v>
      </c>
      <c r="CZ237" s="3070">
        <v>213894.57</v>
      </c>
      <c r="DA237" s="3070">
        <v>159426.93</v>
      </c>
      <c r="DB237" s="3070">
        <v>0</v>
      </c>
      <c r="DC237" s="3070">
        <v>0</v>
      </c>
      <c r="DD237" s="3070">
        <v>3290547602</v>
      </c>
      <c r="DE237" s="3070">
        <v>2764253109</v>
      </c>
      <c r="DF237" s="3070">
        <v>1464966739</v>
      </c>
      <c r="DG237" s="3070">
        <v>14938370</v>
      </c>
      <c r="DH237" s="3070">
        <v>1284348000</v>
      </c>
      <c r="DI237" s="3070">
        <v>1278128000</v>
      </c>
      <c r="DJ237" s="3070">
        <v>6220000</v>
      </c>
      <c r="DK237" s="3070">
        <v>0</v>
      </c>
      <c r="DL237" s="3070">
        <v>0</v>
      </c>
      <c r="DM237" s="3070">
        <v>25491817.620000001</v>
      </c>
      <c r="DN237" s="3070">
        <v>2764253109</v>
      </c>
      <c r="DP237" s="3070">
        <v>2764253109</v>
      </c>
    </row>
    <row r="238" spans="1:120">
      <c r="A238" s="3070">
        <v>237</v>
      </c>
      <c r="B238" s="3070" t="s">
        <v>3224</v>
      </c>
      <c r="C238" s="3070">
        <v>2</v>
      </c>
      <c r="E238" s="3070">
        <v>1703</v>
      </c>
      <c r="F238" s="3070" t="s">
        <v>5235</v>
      </c>
      <c r="G238" s="3070" t="s">
        <v>5236</v>
      </c>
      <c r="H238" s="3070">
        <v>1269919</v>
      </c>
      <c r="I238" s="3070">
        <v>1269919</v>
      </c>
      <c r="J238" s="3070">
        <v>101.49</v>
      </c>
      <c r="K238" s="3070">
        <v>75.38</v>
      </c>
      <c r="L238" s="3070">
        <v>0</v>
      </c>
      <c r="M238" s="3070">
        <v>0</v>
      </c>
      <c r="N238" s="3070">
        <v>15444.44</v>
      </c>
      <c r="O238" s="3070">
        <v>1567456</v>
      </c>
      <c r="P238" s="3070">
        <v>12512.75</v>
      </c>
      <c r="Q238" s="3070">
        <v>1269919</v>
      </c>
      <c r="R238" s="3070" t="s">
        <v>3227</v>
      </c>
      <c r="S238" s="3070" t="s">
        <v>5237</v>
      </c>
      <c r="T238" s="3070" t="s">
        <v>3302</v>
      </c>
      <c r="V238" s="3070" t="s">
        <v>3230</v>
      </c>
      <c r="Y238" s="3070">
        <v>126992</v>
      </c>
      <c r="Z238" s="3070">
        <v>126992</v>
      </c>
      <c r="AA238" s="3070">
        <v>1269919</v>
      </c>
      <c r="AB238" s="3070">
        <v>0</v>
      </c>
      <c r="AC238" s="3070">
        <v>0</v>
      </c>
      <c r="AD238" s="3070">
        <v>0</v>
      </c>
      <c r="AE238" s="3070">
        <v>0</v>
      </c>
      <c r="AI238" s="3070" t="s">
        <v>3227</v>
      </c>
      <c r="AJ238" s="3070">
        <v>0</v>
      </c>
      <c r="AK238" s="3070">
        <v>0</v>
      </c>
      <c r="AL238" s="3070">
        <v>0</v>
      </c>
      <c r="AM238" s="3070">
        <v>12512.75</v>
      </c>
      <c r="AN238" s="3070">
        <v>1269919</v>
      </c>
      <c r="AP238" s="3070">
        <v>1269919</v>
      </c>
      <c r="AQ238" s="3072">
        <v>45230</v>
      </c>
      <c r="AT238" s="3073">
        <v>45770</v>
      </c>
      <c r="AV238" s="3074">
        <v>3.21E+17</v>
      </c>
      <c r="AW238" s="3070" t="s">
        <v>5238</v>
      </c>
      <c r="AX238" s="3070" t="s">
        <v>5239</v>
      </c>
      <c r="AY238" s="3070" t="s">
        <v>3393</v>
      </c>
      <c r="BC238" s="3070" t="s">
        <v>3307</v>
      </c>
      <c r="BD238" s="3070" t="s">
        <v>3077</v>
      </c>
      <c r="BI238" s="3070" t="s">
        <v>3235</v>
      </c>
      <c r="BL238" s="3070" t="s">
        <v>5240</v>
      </c>
      <c r="BM238" s="3075">
        <v>44228</v>
      </c>
      <c r="BN238" s="3070">
        <v>703</v>
      </c>
      <c r="BR238" s="3070">
        <v>864</v>
      </c>
      <c r="BS238" s="3070" t="s">
        <v>3238</v>
      </c>
      <c r="BZ238" s="3073">
        <v>44142.638194444444</v>
      </c>
      <c r="CA238" s="3070">
        <v>2</v>
      </c>
      <c r="CD238" s="3070" t="s">
        <v>3239</v>
      </c>
      <c r="CF238" s="3070" t="s">
        <v>3091</v>
      </c>
      <c r="CH238" s="3070" t="s">
        <v>3240</v>
      </c>
      <c r="CI238" s="3070">
        <v>0</v>
      </c>
      <c r="CK238" s="3070" t="s">
        <v>3393</v>
      </c>
      <c r="CL238" s="3070" t="s">
        <v>3393</v>
      </c>
      <c r="CM238" s="3070">
        <v>1165063.3</v>
      </c>
      <c r="CV238" s="3070" t="s">
        <v>3309</v>
      </c>
      <c r="CW238" s="3070" t="s">
        <v>5241</v>
      </c>
      <c r="CX238" s="3070" t="s">
        <v>3311</v>
      </c>
      <c r="CZ238" s="3070">
        <v>213894.57</v>
      </c>
      <c r="DA238" s="3070">
        <v>159426.93</v>
      </c>
      <c r="DB238" s="3070">
        <v>0</v>
      </c>
      <c r="DC238" s="3070">
        <v>0</v>
      </c>
      <c r="DD238" s="3070">
        <v>3290547602</v>
      </c>
      <c r="DE238" s="3070">
        <v>2764253109</v>
      </c>
      <c r="DF238" s="3070">
        <v>1464966739</v>
      </c>
      <c r="DG238" s="3070">
        <v>14938370</v>
      </c>
      <c r="DH238" s="3070">
        <v>1284348000</v>
      </c>
      <c r="DI238" s="3070">
        <v>1278128000</v>
      </c>
      <c r="DJ238" s="3070">
        <v>6220000</v>
      </c>
      <c r="DK238" s="3070">
        <v>0</v>
      </c>
      <c r="DL238" s="3070">
        <v>0</v>
      </c>
      <c r="DM238" s="3070">
        <v>25491817.620000001</v>
      </c>
      <c r="DN238" s="3070">
        <v>2764253109</v>
      </c>
      <c r="DP238" s="3070">
        <v>2764253109</v>
      </c>
    </row>
    <row r="239" spans="1:120">
      <c r="A239" s="3070">
        <v>238</v>
      </c>
      <c r="B239" s="3070" t="s">
        <v>3224</v>
      </c>
      <c r="C239" s="3070">
        <v>2</v>
      </c>
      <c r="E239" s="3070">
        <v>1704</v>
      </c>
      <c r="F239" s="3070" t="s">
        <v>5242</v>
      </c>
      <c r="G239" s="3070" t="s">
        <v>5243</v>
      </c>
      <c r="H239" s="3070">
        <v>1568869</v>
      </c>
      <c r="I239" s="3070">
        <v>1568869</v>
      </c>
      <c r="J239" s="3070">
        <v>121.75</v>
      </c>
      <c r="K239" s="3070">
        <v>90.43</v>
      </c>
      <c r="L239" s="3070">
        <v>0</v>
      </c>
      <c r="M239" s="3070">
        <v>0</v>
      </c>
      <c r="N239" s="3070">
        <v>15394.44</v>
      </c>
      <c r="O239" s="3070">
        <v>1874273</v>
      </c>
      <c r="P239" s="3070">
        <v>12885.99</v>
      </c>
      <c r="Q239" s="3070">
        <v>1568869</v>
      </c>
      <c r="R239" s="3070" t="s">
        <v>3227</v>
      </c>
      <c r="S239" s="3070" t="s">
        <v>5244</v>
      </c>
      <c r="T239" s="3070" t="s">
        <v>3229</v>
      </c>
      <c r="V239" s="3070" t="s">
        <v>3230</v>
      </c>
      <c r="Y239" s="3070">
        <v>470661</v>
      </c>
      <c r="Z239" s="3070">
        <v>470661</v>
      </c>
      <c r="AA239" s="3070">
        <v>1568869</v>
      </c>
      <c r="AB239" s="3070">
        <v>0</v>
      </c>
      <c r="AC239" s="3070">
        <v>0</v>
      </c>
      <c r="AD239" s="3070">
        <v>0</v>
      </c>
      <c r="AE239" s="3070">
        <v>0</v>
      </c>
      <c r="AI239" s="3070" t="s">
        <v>3227</v>
      </c>
      <c r="AJ239" s="3070">
        <v>0</v>
      </c>
      <c r="AK239" s="3070">
        <v>0</v>
      </c>
      <c r="AL239" s="3070">
        <v>0</v>
      </c>
      <c r="AM239" s="3070">
        <v>12885.99</v>
      </c>
      <c r="AN239" s="3070">
        <v>1568869</v>
      </c>
      <c r="AP239" s="3070">
        <v>1568869</v>
      </c>
      <c r="AQ239" s="3072">
        <v>45230</v>
      </c>
      <c r="AT239" s="3073">
        <v>45770</v>
      </c>
      <c r="AV239" s="3070" t="s">
        <v>5245</v>
      </c>
      <c r="AW239" s="3070" t="s">
        <v>5246</v>
      </c>
      <c r="AX239" s="3070" t="s">
        <v>5247</v>
      </c>
      <c r="AY239" s="3070" t="s">
        <v>3375</v>
      </c>
      <c r="BC239" s="3070" t="s">
        <v>5248</v>
      </c>
      <c r="BD239" s="3070" t="s">
        <v>3075</v>
      </c>
      <c r="BI239" s="3070" t="s">
        <v>3235</v>
      </c>
      <c r="BJ239" s="3070" t="s">
        <v>3338</v>
      </c>
      <c r="BL239" s="3070" t="s">
        <v>5249</v>
      </c>
      <c r="BM239" s="3075">
        <v>44228</v>
      </c>
      <c r="BN239" s="3070">
        <v>704</v>
      </c>
      <c r="BR239" s="3070">
        <v>0</v>
      </c>
      <c r="BS239" s="3070" t="s">
        <v>3238</v>
      </c>
      <c r="BZ239" s="3073">
        <v>44167.510416666664</v>
      </c>
      <c r="CA239" s="3070">
        <v>2</v>
      </c>
      <c r="CD239" s="3070" t="s">
        <v>3239</v>
      </c>
      <c r="CF239" s="3070" t="s">
        <v>3091</v>
      </c>
      <c r="CH239" s="3070" t="s">
        <v>3240</v>
      </c>
      <c r="CI239" s="3070">
        <v>0</v>
      </c>
      <c r="CK239" s="3070" t="s">
        <v>3375</v>
      </c>
      <c r="CL239" s="3070" t="s">
        <v>3375</v>
      </c>
      <c r="CM239" s="3070">
        <v>1439329.36</v>
      </c>
      <c r="CV239" s="3070" t="s">
        <v>3229</v>
      </c>
      <c r="CW239" s="3070" t="s">
        <v>5250</v>
      </c>
      <c r="CZ239" s="3070">
        <v>213894.57</v>
      </c>
      <c r="DA239" s="3070">
        <v>159426.93</v>
      </c>
      <c r="DB239" s="3070">
        <v>0</v>
      </c>
      <c r="DC239" s="3070">
        <v>0</v>
      </c>
      <c r="DD239" s="3070">
        <v>3290547602</v>
      </c>
      <c r="DE239" s="3070">
        <v>2764253109</v>
      </c>
      <c r="DF239" s="3070">
        <v>1464966739</v>
      </c>
      <c r="DG239" s="3070">
        <v>14938370</v>
      </c>
      <c r="DH239" s="3070">
        <v>1284348000</v>
      </c>
      <c r="DI239" s="3070">
        <v>1278128000</v>
      </c>
      <c r="DJ239" s="3070">
        <v>6220000</v>
      </c>
      <c r="DK239" s="3070">
        <v>0</v>
      </c>
      <c r="DL239" s="3070">
        <v>0</v>
      </c>
      <c r="DM239" s="3070">
        <v>25491817.620000001</v>
      </c>
      <c r="DN239" s="3070">
        <v>2764253109</v>
      </c>
      <c r="DP239" s="3070">
        <v>2764253109</v>
      </c>
    </row>
    <row r="240" spans="1:120">
      <c r="A240" s="3070">
        <v>239</v>
      </c>
      <c r="B240" s="3070" t="s">
        <v>3224</v>
      </c>
      <c r="C240" s="3070">
        <v>2</v>
      </c>
      <c r="E240" s="3070">
        <v>1801</v>
      </c>
      <c r="F240" s="3070" t="s">
        <v>5251</v>
      </c>
      <c r="G240" s="3070" t="s">
        <v>5252</v>
      </c>
      <c r="H240" s="3070">
        <v>1471021</v>
      </c>
      <c r="I240" s="3070">
        <v>1471021</v>
      </c>
      <c r="J240" s="3070">
        <v>121.75</v>
      </c>
      <c r="K240" s="3070">
        <v>90.43</v>
      </c>
      <c r="L240" s="3070">
        <v>0</v>
      </c>
      <c r="M240" s="3070">
        <v>0</v>
      </c>
      <c r="N240" s="3070">
        <v>15144.44</v>
      </c>
      <c r="O240" s="3070">
        <v>1843836</v>
      </c>
      <c r="P240" s="3070">
        <v>12082.31</v>
      </c>
      <c r="Q240" s="3070">
        <v>1471021</v>
      </c>
      <c r="R240" s="3070" t="s">
        <v>3227</v>
      </c>
      <c r="S240" s="3070" t="s">
        <v>5253</v>
      </c>
      <c r="T240" s="3070" t="s">
        <v>3991</v>
      </c>
      <c r="V240" s="3070" t="s">
        <v>3230</v>
      </c>
      <c r="Y240" s="3070">
        <v>441306</v>
      </c>
      <c r="Z240" s="3070">
        <v>441306</v>
      </c>
      <c r="AA240" s="3070">
        <v>1471021</v>
      </c>
      <c r="AB240" s="3070">
        <v>0</v>
      </c>
      <c r="AC240" s="3070">
        <v>0</v>
      </c>
      <c r="AD240" s="3070">
        <v>0</v>
      </c>
      <c r="AE240" s="3070">
        <v>0</v>
      </c>
      <c r="AI240" s="3070" t="s">
        <v>3227</v>
      </c>
      <c r="AJ240" s="3070">
        <v>0</v>
      </c>
      <c r="AK240" s="3070">
        <v>0</v>
      </c>
      <c r="AL240" s="3070">
        <v>0</v>
      </c>
      <c r="AM240" s="3070">
        <v>12082.31</v>
      </c>
      <c r="AN240" s="3070">
        <v>1471021</v>
      </c>
      <c r="AP240" s="3070">
        <v>1471021</v>
      </c>
      <c r="AQ240" s="3072">
        <v>45230</v>
      </c>
      <c r="AT240" s="3073">
        <v>45770</v>
      </c>
      <c r="AV240" s="3074">
        <v>3.21E+17</v>
      </c>
      <c r="AW240" s="3070" t="s">
        <v>5254</v>
      </c>
      <c r="AX240" s="3070" t="s">
        <v>5255</v>
      </c>
      <c r="AY240" s="3070" t="s">
        <v>3892</v>
      </c>
      <c r="BA240" s="3070" t="s">
        <v>3892</v>
      </c>
      <c r="BC240" s="3070" t="s">
        <v>5256</v>
      </c>
      <c r="BD240" s="3070" t="s">
        <v>3075</v>
      </c>
      <c r="BI240" s="3070" t="s">
        <v>3235</v>
      </c>
      <c r="BL240" s="3070" t="s">
        <v>5257</v>
      </c>
      <c r="BM240" s="3075">
        <v>44228</v>
      </c>
      <c r="BN240" s="3070">
        <v>801</v>
      </c>
      <c r="BR240" s="3070">
        <v>21</v>
      </c>
      <c r="BS240" s="3070" t="s">
        <v>3238</v>
      </c>
      <c r="BU240" s="3070" t="s">
        <v>3892</v>
      </c>
      <c r="BZ240" s="3073">
        <v>44212.626388888886</v>
      </c>
      <c r="CA240" s="3070">
        <v>2</v>
      </c>
      <c r="CD240" s="3070" t="s">
        <v>3239</v>
      </c>
      <c r="CF240" s="3070" t="s">
        <v>3091</v>
      </c>
      <c r="CH240" s="3070" t="s">
        <v>3240</v>
      </c>
      <c r="CI240" s="3070">
        <v>0</v>
      </c>
      <c r="CK240" s="3070" t="s">
        <v>3892</v>
      </c>
      <c r="CL240" s="3070" t="s">
        <v>4056</v>
      </c>
      <c r="CM240" s="3070">
        <v>1349560.55</v>
      </c>
      <c r="CV240" s="3070" t="s">
        <v>3494</v>
      </c>
      <c r="CW240" s="3070" t="s">
        <v>5258</v>
      </c>
      <c r="CX240" s="3070" t="s">
        <v>3267</v>
      </c>
      <c r="CZ240" s="3070">
        <v>213894.57</v>
      </c>
      <c r="DA240" s="3070">
        <v>159426.93</v>
      </c>
      <c r="DB240" s="3070">
        <v>0</v>
      </c>
      <c r="DC240" s="3070">
        <v>0</v>
      </c>
      <c r="DD240" s="3070">
        <v>3290547602</v>
      </c>
      <c r="DE240" s="3070">
        <v>2764253109</v>
      </c>
      <c r="DF240" s="3070">
        <v>1464966739</v>
      </c>
      <c r="DG240" s="3070">
        <v>14938370</v>
      </c>
      <c r="DH240" s="3070">
        <v>1284348000</v>
      </c>
      <c r="DI240" s="3070">
        <v>1278128000</v>
      </c>
      <c r="DJ240" s="3070">
        <v>6220000</v>
      </c>
      <c r="DK240" s="3070">
        <v>0</v>
      </c>
      <c r="DL240" s="3070">
        <v>0</v>
      </c>
      <c r="DM240" s="3070">
        <v>25491817.620000001</v>
      </c>
      <c r="DN240" s="3070">
        <v>2764253109</v>
      </c>
      <c r="DP240" s="3070">
        <v>2764253109</v>
      </c>
    </row>
    <row r="241" spans="1:120">
      <c r="A241" s="3070">
        <v>240</v>
      </c>
      <c r="B241" s="3070" t="s">
        <v>3224</v>
      </c>
      <c r="C241" s="3070">
        <v>2</v>
      </c>
      <c r="E241" s="3070">
        <v>1802</v>
      </c>
      <c r="F241" s="3070" t="s">
        <v>5259</v>
      </c>
      <c r="G241" s="3070" t="s">
        <v>5260</v>
      </c>
      <c r="H241" s="3070">
        <v>1263318</v>
      </c>
      <c r="I241" s="3070">
        <v>1263318</v>
      </c>
      <c r="J241" s="3070">
        <v>101.55</v>
      </c>
      <c r="K241" s="3070">
        <v>75.430000000000007</v>
      </c>
      <c r="L241" s="3070">
        <v>0</v>
      </c>
      <c r="M241" s="3070">
        <v>0</v>
      </c>
      <c r="N241" s="3070">
        <v>15244.44</v>
      </c>
      <c r="O241" s="3070">
        <v>1548073</v>
      </c>
      <c r="P241" s="3070">
        <v>12440.35</v>
      </c>
      <c r="Q241" s="3070">
        <v>1263318</v>
      </c>
      <c r="R241" s="3070" t="s">
        <v>3227</v>
      </c>
      <c r="S241" s="3070" t="s">
        <v>5261</v>
      </c>
      <c r="T241" s="3070" t="s">
        <v>3494</v>
      </c>
      <c r="V241" s="3070" t="s">
        <v>3230</v>
      </c>
      <c r="Y241" s="3070">
        <v>126332</v>
      </c>
      <c r="Z241" s="3070">
        <v>126332</v>
      </c>
      <c r="AA241" s="3070">
        <v>1263318</v>
      </c>
      <c r="AB241" s="3070">
        <v>0</v>
      </c>
      <c r="AC241" s="3070">
        <v>0</v>
      </c>
      <c r="AD241" s="3070">
        <v>0</v>
      </c>
      <c r="AE241" s="3070">
        <v>0</v>
      </c>
      <c r="AI241" s="3070" t="s">
        <v>3227</v>
      </c>
      <c r="AJ241" s="3070">
        <v>0</v>
      </c>
      <c r="AK241" s="3070">
        <v>0</v>
      </c>
      <c r="AL241" s="3070">
        <v>0</v>
      </c>
      <c r="AM241" s="3070">
        <v>12440.35</v>
      </c>
      <c r="AN241" s="3070">
        <v>1263318</v>
      </c>
      <c r="AP241" s="3070">
        <v>1263318</v>
      </c>
      <c r="AQ241" s="3072">
        <v>45230</v>
      </c>
      <c r="AT241" s="3073">
        <v>45770</v>
      </c>
      <c r="AV241" s="3074">
        <v>3.21E+17</v>
      </c>
      <c r="AW241" s="3070" t="s">
        <v>5262</v>
      </c>
      <c r="AX241" s="3070" t="s">
        <v>5263</v>
      </c>
      <c r="AY241" s="3070" t="s">
        <v>3892</v>
      </c>
      <c r="BA241" s="3070" t="s">
        <v>5264</v>
      </c>
      <c r="BC241" s="3070" t="s">
        <v>5265</v>
      </c>
      <c r="BD241" s="3070" t="s">
        <v>3077</v>
      </c>
      <c r="BI241" s="3070" t="s">
        <v>3235</v>
      </c>
      <c r="BL241" s="3070" t="s">
        <v>5266</v>
      </c>
      <c r="BM241" s="3075">
        <v>44228</v>
      </c>
      <c r="BN241" s="3070">
        <v>802</v>
      </c>
      <c r="BR241" s="3070">
        <v>19</v>
      </c>
      <c r="BS241" s="3070" t="s">
        <v>3238</v>
      </c>
      <c r="BU241" s="3070" t="s">
        <v>5264</v>
      </c>
      <c r="BV241" s="3070" t="s">
        <v>5267</v>
      </c>
      <c r="BZ241" s="3073">
        <v>44192.738888888889</v>
      </c>
      <c r="CA241" s="3070">
        <v>2</v>
      </c>
      <c r="CD241" s="3070" t="s">
        <v>3239</v>
      </c>
      <c r="CF241" s="3070" t="s">
        <v>3091</v>
      </c>
      <c r="CH241" s="3070" t="s">
        <v>3240</v>
      </c>
      <c r="CI241" s="3070">
        <v>0</v>
      </c>
      <c r="CK241" s="3070" t="s">
        <v>4056</v>
      </c>
      <c r="CL241" s="3070" t="s">
        <v>4056</v>
      </c>
      <c r="CM241" s="3070">
        <v>1159007.3400000001</v>
      </c>
      <c r="CV241" s="3070" t="s">
        <v>3494</v>
      </c>
      <c r="CW241" s="3070" t="s">
        <v>5268</v>
      </c>
      <c r="CZ241" s="3070">
        <v>213894.57</v>
      </c>
      <c r="DA241" s="3070">
        <v>159426.93</v>
      </c>
      <c r="DB241" s="3070">
        <v>0</v>
      </c>
      <c r="DC241" s="3070">
        <v>0</v>
      </c>
      <c r="DD241" s="3070">
        <v>3290547602</v>
      </c>
      <c r="DE241" s="3070">
        <v>2764253109</v>
      </c>
      <c r="DF241" s="3070">
        <v>1464966739</v>
      </c>
      <c r="DG241" s="3070">
        <v>14938370</v>
      </c>
      <c r="DH241" s="3070">
        <v>1284348000</v>
      </c>
      <c r="DI241" s="3070">
        <v>1278128000</v>
      </c>
      <c r="DJ241" s="3070">
        <v>6220000</v>
      </c>
      <c r="DK241" s="3070">
        <v>0</v>
      </c>
      <c r="DL241" s="3070">
        <v>0</v>
      </c>
      <c r="DM241" s="3070">
        <v>25491817.620000001</v>
      </c>
      <c r="DN241" s="3070">
        <v>2764253109</v>
      </c>
      <c r="DP241" s="3070">
        <v>2764253109</v>
      </c>
    </row>
    <row r="242" spans="1:120">
      <c r="A242" s="3070">
        <v>241</v>
      </c>
      <c r="B242" s="3070" t="s">
        <v>3224</v>
      </c>
      <c r="C242" s="3070">
        <v>2</v>
      </c>
      <c r="E242" s="3070">
        <v>1803</v>
      </c>
      <c r="F242" s="3070" t="s">
        <v>5269</v>
      </c>
      <c r="G242" s="3070" t="s">
        <v>5270</v>
      </c>
      <c r="H242" s="3070">
        <v>1272554</v>
      </c>
      <c r="I242" s="3070">
        <v>1272554</v>
      </c>
      <c r="J242" s="3070">
        <v>101.49</v>
      </c>
      <c r="K242" s="3070">
        <v>75.38</v>
      </c>
      <c r="L242" s="3070">
        <v>0</v>
      </c>
      <c r="M242" s="3070">
        <v>0</v>
      </c>
      <c r="N242" s="3070">
        <v>15244.44</v>
      </c>
      <c r="O242" s="3070">
        <v>1547158</v>
      </c>
      <c r="P242" s="3070">
        <v>12538.71</v>
      </c>
      <c r="Q242" s="3070">
        <v>1272554</v>
      </c>
      <c r="R242" s="3070" t="s">
        <v>3227</v>
      </c>
      <c r="S242" s="3070" t="s">
        <v>5271</v>
      </c>
      <c r="T242" s="3070" t="s">
        <v>3991</v>
      </c>
      <c r="V242" s="3070" t="s">
        <v>3230</v>
      </c>
      <c r="Y242" s="3070">
        <v>381766</v>
      </c>
      <c r="Z242" s="3070">
        <v>127255</v>
      </c>
      <c r="AA242" s="3070">
        <v>1272554</v>
      </c>
      <c r="AB242" s="3070">
        <v>0</v>
      </c>
      <c r="AC242" s="3070">
        <v>0</v>
      </c>
      <c r="AD242" s="3070">
        <v>0</v>
      </c>
      <c r="AE242" s="3070">
        <v>0</v>
      </c>
      <c r="AI242" s="3070" t="s">
        <v>3227</v>
      </c>
      <c r="AJ242" s="3070">
        <v>0</v>
      </c>
      <c r="AK242" s="3070">
        <v>0</v>
      </c>
      <c r="AL242" s="3070">
        <v>0</v>
      </c>
      <c r="AM242" s="3070">
        <v>12538.71</v>
      </c>
      <c r="AN242" s="3070">
        <v>1272554</v>
      </c>
      <c r="AP242" s="3070">
        <v>1272554</v>
      </c>
      <c r="AQ242" s="3072">
        <v>45230</v>
      </c>
      <c r="AT242" s="3073">
        <v>45770</v>
      </c>
      <c r="AV242" s="3074">
        <v>3.21E+17</v>
      </c>
      <c r="AW242" s="3070" t="s">
        <v>5272</v>
      </c>
      <c r="AX242" s="3070" t="s">
        <v>5273</v>
      </c>
      <c r="AY242" s="3070" t="s">
        <v>4065</v>
      </c>
      <c r="BC242" s="3070" t="s">
        <v>5274</v>
      </c>
      <c r="BD242" s="3070" t="s">
        <v>3077</v>
      </c>
      <c r="BI242" s="3070" t="s">
        <v>3235</v>
      </c>
      <c r="BL242" s="3070" t="s">
        <v>5275</v>
      </c>
      <c r="BM242" s="3075">
        <v>44228</v>
      </c>
      <c r="BN242" s="3070">
        <v>803</v>
      </c>
      <c r="BR242" s="3070">
        <v>16</v>
      </c>
      <c r="BS242" s="3070" t="s">
        <v>3238</v>
      </c>
      <c r="BZ242" s="3073">
        <v>44199.745833333334</v>
      </c>
      <c r="CA242" s="3070">
        <v>2</v>
      </c>
      <c r="CD242" s="3070" t="s">
        <v>3239</v>
      </c>
      <c r="CF242" s="3070" t="s">
        <v>3091</v>
      </c>
      <c r="CH242" s="3070" t="s">
        <v>3240</v>
      </c>
      <c r="CI242" s="3070">
        <v>0</v>
      </c>
      <c r="CK242" s="3070" t="s">
        <v>4242</v>
      </c>
      <c r="CL242" s="3070" t="s">
        <v>4065</v>
      </c>
      <c r="CM242" s="3070">
        <v>1167480.73</v>
      </c>
      <c r="CV242" s="3070" t="s">
        <v>3494</v>
      </c>
      <c r="CW242" s="3070" t="s">
        <v>5276</v>
      </c>
      <c r="CZ242" s="3070">
        <v>213894.57</v>
      </c>
      <c r="DA242" s="3070">
        <v>159426.93</v>
      </c>
      <c r="DB242" s="3070">
        <v>0</v>
      </c>
      <c r="DC242" s="3070">
        <v>0</v>
      </c>
      <c r="DD242" s="3070">
        <v>3290547602</v>
      </c>
      <c r="DE242" s="3070">
        <v>2764253109</v>
      </c>
      <c r="DF242" s="3070">
        <v>1464966739</v>
      </c>
      <c r="DG242" s="3070">
        <v>14938370</v>
      </c>
      <c r="DH242" s="3070">
        <v>1284348000</v>
      </c>
      <c r="DI242" s="3070">
        <v>1278128000</v>
      </c>
      <c r="DJ242" s="3070">
        <v>6220000</v>
      </c>
      <c r="DK242" s="3070">
        <v>0</v>
      </c>
      <c r="DL242" s="3070">
        <v>0</v>
      </c>
      <c r="DM242" s="3070">
        <v>25491817.620000001</v>
      </c>
      <c r="DN242" s="3070">
        <v>2764253109</v>
      </c>
      <c r="DP242" s="3070">
        <v>2764253109</v>
      </c>
    </row>
    <row r="243" spans="1:120">
      <c r="A243" s="3070">
        <v>242</v>
      </c>
      <c r="B243" s="3070" t="s">
        <v>3224</v>
      </c>
      <c r="C243" s="3070">
        <v>2</v>
      </c>
      <c r="E243" s="3070">
        <v>1804</v>
      </c>
      <c r="F243" s="3070" t="s">
        <v>5277</v>
      </c>
      <c r="G243" s="3070" t="s">
        <v>5278</v>
      </c>
      <c r="H243" s="3070">
        <v>1459974</v>
      </c>
      <c r="I243" s="3070">
        <v>1459974</v>
      </c>
      <c r="J243" s="3070">
        <v>121.75</v>
      </c>
      <c r="K243" s="3070">
        <v>90.43</v>
      </c>
      <c r="L243" s="3070">
        <v>0</v>
      </c>
      <c r="M243" s="3070">
        <v>0</v>
      </c>
      <c r="N243" s="3070">
        <v>15194.44</v>
      </c>
      <c r="O243" s="3070">
        <v>1849923</v>
      </c>
      <c r="P243" s="3070">
        <v>11991.57</v>
      </c>
      <c r="Q243" s="3070">
        <v>1459974</v>
      </c>
      <c r="R243" s="3070" t="s">
        <v>3227</v>
      </c>
      <c r="S243" s="3070" t="s">
        <v>5279</v>
      </c>
      <c r="T243" s="3070" t="s">
        <v>3246</v>
      </c>
      <c r="U243" s="3070" t="s">
        <v>3381</v>
      </c>
      <c r="V243" s="3070" t="s">
        <v>3230</v>
      </c>
      <c r="Y243" s="3070">
        <v>589974</v>
      </c>
      <c r="Z243" s="3070">
        <v>589974</v>
      </c>
      <c r="AA243" s="3070">
        <v>589974</v>
      </c>
      <c r="AB243" s="3070">
        <v>0</v>
      </c>
      <c r="AC243" s="3070">
        <v>870000</v>
      </c>
      <c r="AD243" s="3070">
        <v>870000</v>
      </c>
      <c r="AE243" s="3070">
        <v>0</v>
      </c>
      <c r="AI243" s="3070" t="s">
        <v>3227</v>
      </c>
      <c r="AJ243" s="3070">
        <v>0</v>
      </c>
      <c r="AK243" s="3070">
        <v>0</v>
      </c>
      <c r="AL243" s="3070">
        <v>0</v>
      </c>
      <c r="AM243" s="3070">
        <v>11991.57</v>
      </c>
      <c r="AN243" s="3070">
        <v>1459974</v>
      </c>
      <c r="AP243" s="3070">
        <v>1459974</v>
      </c>
      <c r="AQ243" s="3072">
        <v>45230</v>
      </c>
      <c r="AT243" s="3073">
        <v>45770</v>
      </c>
      <c r="AV243" s="3074">
        <v>3.21E+17</v>
      </c>
      <c r="AW243" s="3070" t="s">
        <v>5280</v>
      </c>
      <c r="AX243" s="3070" t="s">
        <v>5281</v>
      </c>
      <c r="AY243" s="3070" t="s">
        <v>3883</v>
      </c>
      <c r="BC243" s="3070" t="s">
        <v>5282</v>
      </c>
      <c r="BD243" s="3070" t="s">
        <v>3075</v>
      </c>
      <c r="BI243" s="3070" t="s">
        <v>3235</v>
      </c>
      <c r="BL243" s="3070" t="s">
        <v>5283</v>
      </c>
      <c r="BM243" s="3075">
        <v>44228</v>
      </c>
      <c r="BN243" s="3070">
        <v>804</v>
      </c>
      <c r="BO243" s="3070" t="s">
        <v>3253</v>
      </c>
      <c r="BR243" s="3070">
        <v>16</v>
      </c>
      <c r="BS243" s="3070" t="s">
        <v>3238</v>
      </c>
      <c r="BZ243" s="3073">
        <v>44227.695833333331</v>
      </c>
      <c r="CA243" s="3070">
        <v>2</v>
      </c>
      <c r="CD243" s="3070" t="s">
        <v>3239</v>
      </c>
      <c r="CF243" s="3070" t="s">
        <v>3091</v>
      </c>
      <c r="CH243" s="3070" t="s">
        <v>3240</v>
      </c>
      <c r="CI243" s="3070">
        <v>0</v>
      </c>
      <c r="CK243" s="3070" t="s">
        <v>3883</v>
      </c>
      <c r="CL243" s="3070" t="s">
        <v>3883</v>
      </c>
      <c r="CM243" s="3070">
        <v>1339425.69</v>
      </c>
      <c r="CV243" s="3070" t="s">
        <v>3246</v>
      </c>
      <c r="CW243" s="3070" t="s">
        <v>5284</v>
      </c>
      <c r="CX243" s="3070" t="s">
        <v>3267</v>
      </c>
      <c r="CZ243" s="3070">
        <v>213894.57</v>
      </c>
      <c r="DA243" s="3070">
        <v>159426.93</v>
      </c>
      <c r="DB243" s="3070">
        <v>0</v>
      </c>
      <c r="DC243" s="3070">
        <v>0</v>
      </c>
      <c r="DD243" s="3070">
        <v>3290547602</v>
      </c>
      <c r="DE243" s="3070">
        <v>2764253109</v>
      </c>
      <c r="DF243" s="3070">
        <v>1464966739</v>
      </c>
      <c r="DG243" s="3070">
        <v>14938370</v>
      </c>
      <c r="DH243" s="3070">
        <v>1284348000</v>
      </c>
      <c r="DI243" s="3070">
        <v>1278128000</v>
      </c>
      <c r="DJ243" s="3070">
        <v>6220000</v>
      </c>
      <c r="DK243" s="3070">
        <v>0</v>
      </c>
      <c r="DL243" s="3070">
        <v>0</v>
      </c>
      <c r="DM243" s="3070">
        <v>25491817.620000001</v>
      </c>
      <c r="DN243" s="3070">
        <v>2764253109</v>
      </c>
      <c r="DP243" s="3070">
        <v>2764253109</v>
      </c>
    </row>
    <row r="244" spans="1:120">
      <c r="A244" s="3070">
        <v>243</v>
      </c>
      <c r="B244" s="3070" t="s">
        <v>3224</v>
      </c>
      <c r="C244" s="3070">
        <v>2</v>
      </c>
      <c r="E244" s="3070">
        <v>202</v>
      </c>
      <c r="F244" s="3070" t="s">
        <v>5285</v>
      </c>
      <c r="G244" s="3070" t="s">
        <v>5286</v>
      </c>
      <c r="H244" s="3070">
        <v>1273555</v>
      </c>
      <c r="I244" s="3070">
        <v>1273555</v>
      </c>
      <c r="J244" s="3070">
        <v>101.58</v>
      </c>
      <c r="K244" s="3070">
        <v>75.45</v>
      </c>
      <c r="L244" s="3070">
        <v>0</v>
      </c>
      <c r="M244" s="3070">
        <v>0</v>
      </c>
      <c r="N244" s="3070">
        <v>15094.44</v>
      </c>
      <c r="O244" s="3070">
        <v>1533293</v>
      </c>
      <c r="P244" s="3070">
        <v>12537.46</v>
      </c>
      <c r="Q244" s="3070">
        <v>1273555</v>
      </c>
      <c r="R244" s="3070" t="s">
        <v>3227</v>
      </c>
      <c r="S244" s="3070" t="s">
        <v>5287</v>
      </c>
      <c r="T244" s="3070" t="s">
        <v>3991</v>
      </c>
      <c r="V244" s="3070" t="s">
        <v>3230</v>
      </c>
      <c r="Y244" s="3070">
        <v>382067</v>
      </c>
      <c r="Z244" s="3070">
        <v>382067</v>
      </c>
      <c r="AA244" s="3070">
        <v>1273555</v>
      </c>
      <c r="AB244" s="3070">
        <v>0</v>
      </c>
      <c r="AC244" s="3070">
        <v>0</v>
      </c>
      <c r="AD244" s="3070">
        <v>0</v>
      </c>
      <c r="AE244" s="3070">
        <v>0</v>
      </c>
      <c r="AI244" s="3070" t="s">
        <v>3227</v>
      </c>
      <c r="AJ244" s="3070">
        <v>0</v>
      </c>
      <c r="AK244" s="3070">
        <v>0</v>
      </c>
      <c r="AL244" s="3070">
        <v>0</v>
      </c>
      <c r="AM244" s="3070">
        <v>12537.46</v>
      </c>
      <c r="AN244" s="3070">
        <v>1273555</v>
      </c>
      <c r="AP244" s="3070">
        <v>1273555</v>
      </c>
      <c r="AQ244" s="3072">
        <v>45230</v>
      </c>
      <c r="AT244" s="3073">
        <v>45770</v>
      </c>
      <c r="AV244" s="3074">
        <v>3.21E+17</v>
      </c>
      <c r="AW244" s="3070" t="s">
        <v>5288</v>
      </c>
      <c r="AX244" s="3070" t="s">
        <v>5289</v>
      </c>
      <c r="AY244" s="3070" t="s">
        <v>3981</v>
      </c>
      <c r="BA244" s="3070" t="s">
        <v>3986</v>
      </c>
      <c r="BC244" s="3070" t="s">
        <v>5290</v>
      </c>
      <c r="BD244" s="3070" t="s">
        <v>3077</v>
      </c>
      <c r="BI244" s="3070" t="s">
        <v>3235</v>
      </c>
      <c r="BL244" s="3070" t="s">
        <v>5291</v>
      </c>
      <c r="BM244" s="3075">
        <v>44229</v>
      </c>
      <c r="BN244" s="3070">
        <v>2</v>
      </c>
      <c r="BR244" s="3070">
        <v>19</v>
      </c>
      <c r="BS244" s="3070" t="s">
        <v>3238</v>
      </c>
      <c r="BU244" s="3070" t="s">
        <v>3986</v>
      </c>
      <c r="BZ244" s="3073">
        <v>44204.804166666669</v>
      </c>
      <c r="CA244" s="3070">
        <v>2</v>
      </c>
      <c r="CD244" s="3070" t="s">
        <v>3239</v>
      </c>
      <c r="CF244" s="3070" t="s">
        <v>3091</v>
      </c>
      <c r="CH244" s="3070" t="s">
        <v>3240</v>
      </c>
      <c r="CI244" s="3070">
        <v>0</v>
      </c>
      <c r="CK244" s="3070" t="s">
        <v>5292</v>
      </c>
      <c r="CL244" s="3070" t="s">
        <v>3986</v>
      </c>
      <c r="CM244" s="3070">
        <v>1168399.08</v>
      </c>
      <c r="CV244" s="3070" t="s">
        <v>3494</v>
      </c>
      <c r="CW244" s="3070" t="s">
        <v>5293</v>
      </c>
      <c r="CZ244" s="3070">
        <v>213894.57</v>
      </c>
      <c r="DA244" s="3070">
        <v>159426.93</v>
      </c>
      <c r="DB244" s="3070">
        <v>0</v>
      </c>
      <c r="DC244" s="3070">
        <v>0</v>
      </c>
      <c r="DD244" s="3070">
        <v>3290547602</v>
      </c>
      <c r="DE244" s="3070">
        <v>2764253109</v>
      </c>
      <c r="DF244" s="3070">
        <v>1464966739</v>
      </c>
      <c r="DG244" s="3070">
        <v>14938370</v>
      </c>
      <c r="DH244" s="3070">
        <v>1284348000</v>
      </c>
      <c r="DI244" s="3070">
        <v>1278128000</v>
      </c>
      <c r="DJ244" s="3070">
        <v>6220000</v>
      </c>
      <c r="DK244" s="3070">
        <v>0</v>
      </c>
      <c r="DL244" s="3070">
        <v>0</v>
      </c>
      <c r="DM244" s="3070">
        <v>25491817.620000001</v>
      </c>
      <c r="DN244" s="3070">
        <v>2764253109</v>
      </c>
      <c r="DP244" s="3070">
        <v>2764253109</v>
      </c>
    </row>
    <row r="245" spans="1:120">
      <c r="A245" s="3070">
        <v>244</v>
      </c>
      <c r="B245" s="3070" t="s">
        <v>3224</v>
      </c>
      <c r="C245" s="3070">
        <v>2</v>
      </c>
      <c r="E245" s="3070">
        <v>203</v>
      </c>
      <c r="F245" s="3070" t="s">
        <v>5294</v>
      </c>
      <c r="G245" s="3070" t="s">
        <v>5295</v>
      </c>
      <c r="H245" s="3070">
        <v>988629</v>
      </c>
      <c r="I245" s="3070">
        <v>1303562</v>
      </c>
      <c r="J245" s="3070">
        <v>101.58</v>
      </c>
      <c r="K245" s="3070">
        <v>75.45</v>
      </c>
      <c r="L245" s="3070">
        <v>0</v>
      </c>
      <c r="M245" s="3070">
        <v>0</v>
      </c>
      <c r="N245" s="3070">
        <v>15094.44</v>
      </c>
      <c r="O245" s="3070">
        <v>1533293</v>
      </c>
      <c r="P245" s="3070">
        <v>12832.86</v>
      </c>
      <c r="Q245" s="3070">
        <v>1303562</v>
      </c>
      <c r="R245" s="3070" t="s">
        <v>3227</v>
      </c>
      <c r="S245" s="3070" t="s">
        <v>5296</v>
      </c>
      <c r="T245" s="3070" t="s">
        <v>3494</v>
      </c>
      <c r="V245" s="3070" t="s">
        <v>3230</v>
      </c>
      <c r="Y245" s="3070">
        <v>130356</v>
      </c>
      <c r="Z245" s="3070">
        <v>130356</v>
      </c>
      <c r="AA245" s="3070">
        <v>988629</v>
      </c>
      <c r="AB245" s="3070">
        <v>314933</v>
      </c>
      <c r="AC245" s="3070">
        <v>0</v>
      </c>
      <c r="AD245" s="3070">
        <v>0</v>
      </c>
      <c r="AE245" s="3070">
        <v>0</v>
      </c>
      <c r="AI245" s="3070" t="s">
        <v>3227</v>
      </c>
      <c r="AJ245" s="3070">
        <v>0</v>
      </c>
      <c r="AK245" s="3070">
        <v>0</v>
      </c>
      <c r="AL245" s="3070">
        <v>0</v>
      </c>
      <c r="AM245" s="3070">
        <v>12832.86</v>
      </c>
      <c r="AN245" s="3070">
        <v>1303562</v>
      </c>
      <c r="AP245" s="3070">
        <v>1303562</v>
      </c>
      <c r="AQ245" s="3072">
        <v>45230</v>
      </c>
      <c r="AT245" s="3073">
        <v>45770</v>
      </c>
      <c r="AV245" s="3074">
        <v>3.21E+17</v>
      </c>
      <c r="AW245" s="3070" t="s">
        <v>5297</v>
      </c>
      <c r="AX245" s="3070" t="s">
        <v>5298</v>
      </c>
      <c r="AY245" s="3070" t="s">
        <v>3681</v>
      </c>
      <c r="BC245" s="3070" t="s">
        <v>5299</v>
      </c>
      <c r="BD245" s="3070" t="s">
        <v>3077</v>
      </c>
      <c r="BI245" s="3070" t="s">
        <v>3235</v>
      </c>
      <c r="BL245" s="3070" t="s">
        <v>5300</v>
      </c>
      <c r="BM245" s="3075">
        <v>44229</v>
      </c>
      <c r="BN245" s="3070">
        <v>3</v>
      </c>
      <c r="BR245" s="3070">
        <v>13</v>
      </c>
      <c r="BS245" s="3070" t="s">
        <v>3238</v>
      </c>
      <c r="BZ245" s="3073">
        <v>44171.894444444442</v>
      </c>
      <c r="CA245" s="3070">
        <v>2</v>
      </c>
      <c r="CD245" s="3070" t="s">
        <v>3239</v>
      </c>
      <c r="CF245" s="3070" t="s">
        <v>3091</v>
      </c>
      <c r="CH245" s="3070" t="s">
        <v>3240</v>
      </c>
      <c r="CI245" s="3070">
        <v>0</v>
      </c>
      <c r="CK245" s="3070" t="s">
        <v>3681</v>
      </c>
      <c r="CL245" s="3070" t="s">
        <v>3681</v>
      </c>
      <c r="CM245" s="3070">
        <v>1195928.44</v>
      </c>
      <c r="CV245" s="3070" t="s">
        <v>3494</v>
      </c>
      <c r="CW245" s="3070" t="s">
        <v>5301</v>
      </c>
      <c r="CX245" s="3070" t="s">
        <v>3242</v>
      </c>
      <c r="CZ245" s="3070">
        <v>213894.57</v>
      </c>
      <c r="DA245" s="3070">
        <v>159426.93</v>
      </c>
      <c r="DB245" s="3070">
        <v>0</v>
      </c>
      <c r="DC245" s="3070">
        <v>0</v>
      </c>
      <c r="DD245" s="3070">
        <v>3290547602</v>
      </c>
      <c r="DE245" s="3070">
        <v>2764253109</v>
      </c>
      <c r="DF245" s="3070">
        <v>1464966739</v>
      </c>
      <c r="DG245" s="3070">
        <v>14938370</v>
      </c>
      <c r="DH245" s="3070">
        <v>1284348000</v>
      </c>
      <c r="DI245" s="3070">
        <v>1278128000</v>
      </c>
      <c r="DJ245" s="3070">
        <v>6220000</v>
      </c>
      <c r="DK245" s="3070">
        <v>0</v>
      </c>
      <c r="DL245" s="3070">
        <v>0</v>
      </c>
      <c r="DM245" s="3070">
        <v>25491817.620000001</v>
      </c>
      <c r="DN245" s="3070">
        <v>2764253109</v>
      </c>
      <c r="DP245" s="3070">
        <v>2764253109</v>
      </c>
    </row>
    <row r="246" spans="1:120">
      <c r="A246" s="3070">
        <v>245</v>
      </c>
      <c r="B246" s="3070" t="s">
        <v>3224</v>
      </c>
      <c r="C246" s="3070">
        <v>2</v>
      </c>
      <c r="E246" s="3070">
        <v>204</v>
      </c>
      <c r="F246" s="3070" t="s">
        <v>5302</v>
      </c>
      <c r="G246" s="3070" t="s">
        <v>5303</v>
      </c>
      <c r="H246" s="3070">
        <v>1618495</v>
      </c>
      <c r="I246" s="3070">
        <v>1618495</v>
      </c>
      <c r="J246" s="3070">
        <v>121.75</v>
      </c>
      <c r="K246" s="3070">
        <v>90.43</v>
      </c>
      <c r="L246" s="3070">
        <v>0</v>
      </c>
      <c r="M246" s="3070">
        <v>0</v>
      </c>
      <c r="N246" s="3070">
        <v>15044.44</v>
      </c>
      <c r="O246" s="3070">
        <v>1831661</v>
      </c>
      <c r="P246" s="3070">
        <v>13293.59</v>
      </c>
      <c r="Q246" s="3070">
        <v>1618495</v>
      </c>
      <c r="R246" s="3070" t="s">
        <v>3227</v>
      </c>
      <c r="S246" s="3070" t="s">
        <v>5304</v>
      </c>
      <c r="T246" s="3070" t="s">
        <v>3246</v>
      </c>
      <c r="U246" s="3070" t="s">
        <v>3371</v>
      </c>
      <c r="V246" s="3070" t="s">
        <v>3230</v>
      </c>
      <c r="Y246" s="3070">
        <v>488495</v>
      </c>
      <c r="Z246" s="3070">
        <v>488495</v>
      </c>
      <c r="AA246" s="3070">
        <v>488495</v>
      </c>
      <c r="AB246" s="3070">
        <v>0</v>
      </c>
      <c r="AC246" s="3070">
        <v>1130000</v>
      </c>
      <c r="AD246" s="3070">
        <v>1130000</v>
      </c>
      <c r="AE246" s="3070">
        <v>0</v>
      </c>
      <c r="AI246" s="3070" t="s">
        <v>3227</v>
      </c>
      <c r="AJ246" s="3070">
        <v>0</v>
      </c>
      <c r="AK246" s="3070">
        <v>0</v>
      </c>
      <c r="AL246" s="3070">
        <v>0</v>
      </c>
      <c r="AM246" s="3070">
        <v>13293.59</v>
      </c>
      <c r="AN246" s="3070">
        <v>1618495</v>
      </c>
      <c r="AP246" s="3070">
        <v>1618495</v>
      </c>
      <c r="AQ246" s="3072">
        <v>45230</v>
      </c>
      <c r="AT246" s="3073">
        <v>45770</v>
      </c>
      <c r="AV246" s="3074">
        <v>3.21E+17</v>
      </c>
      <c r="AW246" s="3070" t="s">
        <v>5305</v>
      </c>
      <c r="AX246" s="3070" t="s">
        <v>5306</v>
      </c>
      <c r="AY246" s="3070" t="s">
        <v>4065</v>
      </c>
      <c r="BC246" s="3070" t="s">
        <v>4175</v>
      </c>
      <c r="BD246" s="3070" t="s">
        <v>3075</v>
      </c>
      <c r="BI246" s="3070" t="s">
        <v>3235</v>
      </c>
      <c r="BJ246" s="3070" t="s">
        <v>3296</v>
      </c>
      <c r="BL246" s="3070" t="s">
        <v>5307</v>
      </c>
      <c r="BM246" s="3075">
        <v>44229</v>
      </c>
      <c r="BN246" s="3070">
        <v>4</v>
      </c>
      <c r="BO246" s="3070" t="s">
        <v>3253</v>
      </c>
      <c r="BR246" s="3070">
        <v>0</v>
      </c>
      <c r="BS246" s="3070" t="s">
        <v>3238</v>
      </c>
      <c r="BZ246" s="3073">
        <v>44250.765277777777</v>
      </c>
      <c r="CA246" s="3070">
        <v>2</v>
      </c>
      <c r="CD246" s="3070" t="s">
        <v>3239</v>
      </c>
      <c r="CF246" s="3070" t="s">
        <v>3091</v>
      </c>
      <c r="CH246" s="3070" t="s">
        <v>3240</v>
      </c>
      <c r="CI246" s="3070">
        <v>0</v>
      </c>
      <c r="CK246" s="3070" t="s">
        <v>4462</v>
      </c>
      <c r="CL246" s="3070" t="s">
        <v>4065</v>
      </c>
      <c r="CM246" s="3070">
        <v>1484857.8</v>
      </c>
      <c r="CV246" s="3070" t="s">
        <v>3246</v>
      </c>
      <c r="CW246" s="3070" t="s">
        <v>5308</v>
      </c>
      <c r="CX246" s="3070" t="s">
        <v>3510</v>
      </c>
      <c r="CZ246" s="3070">
        <v>213894.57</v>
      </c>
      <c r="DA246" s="3070">
        <v>159426.93</v>
      </c>
      <c r="DB246" s="3070">
        <v>0</v>
      </c>
      <c r="DC246" s="3070">
        <v>0</v>
      </c>
      <c r="DD246" s="3070">
        <v>3290547602</v>
      </c>
      <c r="DE246" s="3070">
        <v>2764253109</v>
      </c>
      <c r="DF246" s="3070">
        <v>1464966739</v>
      </c>
      <c r="DG246" s="3070">
        <v>14938370</v>
      </c>
      <c r="DH246" s="3070">
        <v>1284348000</v>
      </c>
      <c r="DI246" s="3070">
        <v>1278128000</v>
      </c>
      <c r="DJ246" s="3070">
        <v>6220000</v>
      </c>
      <c r="DK246" s="3070">
        <v>0</v>
      </c>
      <c r="DL246" s="3070">
        <v>0</v>
      </c>
      <c r="DM246" s="3070">
        <v>25491817.620000001</v>
      </c>
      <c r="DN246" s="3070">
        <v>2764253109</v>
      </c>
      <c r="DP246" s="3070">
        <v>2764253109</v>
      </c>
    </row>
    <row r="247" spans="1:120">
      <c r="A247" s="3070">
        <v>246</v>
      </c>
      <c r="B247" s="3070" t="s">
        <v>3224</v>
      </c>
      <c r="C247" s="3070">
        <v>2</v>
      </c>
      <c r="E247" s="3070">
        <v>302</v>
      </c>
      <c r="F247" s="3070" t="s">
        <v>5309</v>
      </c>
      <c r="G247" s="3070" t="s">
        <v>5310</v>
      </c>
      <c r="H247" s="3070">
        <v>1255497</v>
      </c>
      <c r="I247" s="3070">
        <v>1255497</v>
      </c>
      <c r="J247" s="3070">
        <v>101.58</v>
      </c>
      <c r="K247" s="3070">
        <v>75.45</v>
      </c>
      <c r="L247" s="3070">
        <v>0</v>
      </c>
      <c r="M247" s="3070">
        <v>0</v>
      </c>
      <c r="N247" s="3070">
        <v>15194.44</v>
      </c>
      <c r="O247" s="3070">
        <v>1543451</v>
      </c>
      <c r="P247" s="3070">
        <v>12359.69</v>
      </c>
      <c r="Q247" s="3070">
        <v>1255497</v>
      </c>
      <c r="R247" s="3070" t="s">
        <v>3227</v>
      </c>
      <c r="S247" s="3070" t="s">
        <v>5311</v>
      </c>
      <c r="T247" s="3070" t="s">
        <v>3246</v>
      </c>
      <c r="U247" s="3070" t="s">
        <v>3467</v>
      </c>
      <c r="V247" s="3070" t="s">
        <v>3230</v>
      </c>
      <c r="Y247" s="3070">
        <v>385497</v>
      </c>
      <c r="Z247" s="3070">
        <v>385497</v>
      </c>
      <c r="AA247" s="3070">
        <v>385497</v>
      </c>
      <c r="AB247" s="3070">
        <v>0</v>
      </c>
      <c r="AC247" s="3070">
        <v>870000</v>
      </c>
      <c r="AD247" s="3070">
        <v>870000</v>
      </c>
      <c r="AE247" s="3070">
        <v>0</v>
      </c>
      <c r="AI247" s="3070" t="s">
        <v>3227</v>
      </c>
      <c r="AJ247" s="3070">
        <v>0</v>
      </c>
      <c r="AK247" s="3070">
        <v>0</v>
      </c>
      <c r="AL247" s="3070">
        <v>0</v>
      </c>
      <c r="AM247" s="3070">
        <v>12359.69</v>
      </c>
      <c r="AN247" s="3070">
        <v>1255497</v>
      </c>
      <c r="AP247" s="3070">
        <v>1255497</v>
      </c>
      <c r="AQ247" s="3072">
        <v>45230</v>
      </c>
      <c r="AT247" s="3073">
        <v>45770</v>
      </c>
      <c r="AV247" s="3070" t="s">
        <v>5312</v>
      </c>
      <c r="AW247" s="3070" t="s">
        <v>5313</v>
      </c>
      <c r="AX247" s="3070" t="s">
        <v>5314</v>
      </c>
      <c r="AY247" s="3070" t="s">
        <v>3981</v>
      </c>
      <c r="BA247" s="3070" t="s">
        <v>3986</v>
      </c>
      <c r="BC247" s="3070" t="s">
        <v>4209</v>
      </c>
      <c r="BD247" s="3070" t="s">
        <v>3077</v>
      </c>
      <c r="BI247" s="3070" t="s">
        <v>3235</v>
      </c>
      <c r="BL247" s="3070" t="s">
        <v>5315</v>
      </c>
      <c r="BM247" s="3075">
        <v>44230</v>
      </c>
      <c r="BN247" s="3070">
        <v>2</v>
      </c>
      <c r="BO247" s="3070" t="s">
        <v>3253</v>
      </c>
      <c r="BR247" s="3070">
        <v>16</v>
      </c>
      <c r="BS247" s="3070" t="s">
        <v>3238</v>
      </c>
      <c r="BU247" s="3070" t="s">
        <v>3986</v>
      </c>
      <c r="BZ247" s="3073">
        <v>44220.747916666667</v>
      </c>
      <c r="CA247" s="3070">
        <v>2</v>
      </c>
      <c r="CD247" s="3070" t="s">
        <v>3239</v>
      </c>
      <c r="CF247" s="3070" t="s">
        <v>3091</v>
      </c>
      <c r="CH247" s="3070" t="s">
        <v>3240</v>
      </c>
      <c r="CI247" s="3070">
        <v>0</v>
      </c>
      <c r="CK247" s="3070" t="s">
        <v>3981</v>
      </c>
      <c r="CL247" s="3070" t="s">
        <v>3986</v>
      </c>
      <c r="CM247" s="3070">
        <v>1151832.1100000001</v>
      </c>
      <c r="CV247" s="3070" t="s">
        <v>3246</v>
      </c>
      <c r="CW247" s="3070" t="s">
        <v>5316</v>
      </c>
      <c r="CX247" s="3070" t="s">
        <v>3510</v>
      </c>
      <c r="CZ247" s="3070">
        <v>213894.57</v>
      </c>
      <c r="DA247" s="3070">
        <v>159426.93</v>
      </c>
      <c r="DB247" s="3070">
        <v>0</v>
      </c>
      <c r="DC247" s="3070">
        <v>0</v>
      </c>
      <c r="DD247" s="3070">
        <v>3290547602</v>
      </c>
      <c r="DE247" s="3070">
        <v>2764253109</v>
      </c>
      <c r="DF247" s="3070">
        <v>1464966739</v>
      </c>
      <c r="DG247" s="3070">
        <v>14938370</v>
      </c>
      <c r="DH247" s="3070">
        <v>1284348000</v>
      </c>
      <c r="DI247" s="3070">
        <v>1278128000</v>
      </c>
      <c r="DJ247" s="3070">
        <v>6220000</v>
      </c>
      <c r="DK247" s="3070">
        <v>0</v>
      </c>
      <c r="DL247" s="3070">
        <v>0</v>
      </c>
      <c r="DM247" s="3070">
        <v>25491817.620000001</v>
      </c>
      <c r="DN247" s="3070">
        <v>2764253109</v>
      </c>
      <c r="DP247" s="3070">
        <v>2764253109</v>
      </c>
    </row>
    <row r="248" spans="1:120">
      <c r="A248" s="3070">
        <v>247</v>
      </c>
      <c r="B248" s="3070" t="s">
        <v>3224</v>
      </c>
      <c r="C248" s="3070">
        <v>2</v>
      </c>
      <c r="E248" s="3070">
        <v>303</v>
      </c>
      <c r="F248" s="3070" t="s">
        <v>5317</v>
      </c>
      <c r="G248" s="3070" t="s">
        <v>5318</v>
      </c>
      <c r="H248" s="3070">
        <v>1322923</v>
      </c>
      <c r="I248" s="3070">
        <v>1322923</v>
      </c>
      <c r="J248" s="3070">
        <v>101.58</v>
      </c>
      <c r="K248" s="3070">
        <v>75.45</v>
      </c>
      <c r="L248" s="3070">
        <v>0</v>
      </c>
      <c r="M248" s="3070">
        <v>0</v>
      </c>
      <c r="N248" s="3070">
        <v>15194.44</v>
      </c>
      <c r="O248" s="3070">
        <v>1543451</v>
      </c>
      <c r="P248" s="3070">
        <v>13023.46</v>
      </c>
      <c r="Q248" s="3070">
        <v>1322923</v>
      </c>
      <c r="R248" s="3070" t="s">
        <v>3227</v>
      </c>
      <c r="S248" s="3070" t="s">
        <v>5319</v>
      </c>
      <c r="T248" s="3070" t="s">
        <v>3258</v>
      </c>
      <c r="U248" s="3070" t="s">
        <v>3259</v>
      </c>
      <c r="V248" s="3070" t="s">
        <v>3230</v>
      </c>
      <c r="Y248" s="3070">
        <v>722923</v>
      </c>
      <c r="Z248" s="3070">
        <v>234579</v>
      </c>
      <c r="AA248" s="3070">
        <v>722923</v>
      </c>
      <c r="AB248" s="3070">
        <v>0</v>
      </c>
      <c r="AC248" s="3070">
        <v>600000</v>
      </c>
      <c r="AD248" s="3070">
        <v>600000</v>
      </c>
      <c r="AE248" s="3070">
        <v>0</v>
      </c>
      <c r="AI248" s="3070" t="s">
        <v>3227</v>
      </c>
      <c r="AJ248" s="3070">
        <v>0</v>
      </c>
      <c r="AK248" s="3070">
        <v>0</v>
      </c>
      <c r="AL248" s="3070">
        <v>0</v>
      </c>
      <c r="AM248" s="3070">
        <v>13023.46</v>
      </c>
      <c r="AN248" s="3070">
        <v>1322923</v>
      </c>
      <c r="AP248" s="3070">
        <v>1322923</v>
      </c>
      <c r="AQ248" s="3072">
        <v>45230</v>
      </c>
      <c r="AT248" s="3073">
        <v>45770</v>
      </c>
      <c r="AV248" s="3070" t="s">
        <v>5320</v>
      </c>
      <c r="AW248" s="3070" t="s">
        <v>5321</v>
      </c>
      <c r="AX248" s="3070" t="s">
        <v>5322</v>
      </c>
      <c r="AY248" s="3070" t="s">
        <v>3607</v>
      </c>
      <c r="BA248" s="3070" t="s">
        <v>3607</v>
      </c>
      <c r="BC248" s="3070" t="s">
        <v>5323</v>
      </c>
      <c r="BD248" s="3070" t="s">
        <v>3077</v>
      </c>
      <c r="BI248" s="3070" t="s">
        <v>3235</v>
      </c>
      <c r="BJ248" s="3070" t="s">
        <v>3296</v>
      </c>
      <c r="BL248" s="3070" t="s">
        <v>5324</v>
      </c>
      <c r="BM248" s="3075">
        <v>44230</v>
      </c>
      <c r="BN248" s="3070">
        <v>3</v>
      </c>
      <c r="BO248" s="3070" t="s">
        <v>3253</v>
      </c>
      <c r="BP248" s="3070" t="s">
        <v>3253</v>
      </c>
      <c r="BR248" s="3070">
        <v>0</v>
      </c>
      <c r="BS248" s="3070" t="s">
        <v>3238</v>
      </c>
      <c r="BT248" s="3070" t="s">
        <v>3481</v>
      </c>
      <c r="BU248" s="3070" t="s">
        <v>3607</v>
      </c>
      <c r="BZ248" s="3073">
        <v>44166.862500000003</v>
      </c>
      <c r="CA248" s="3070">
        <v>2</v>
      </c>
      <c r="CB248" s="3070" t="s">
        <v>3481</v>
      </c>
      <c r="CD248" s="3070" t="s">
        <v>3239</v>
      </c>
      <c r="CF248" s="3070" t="s">
        <v>3091</v>
      </c>
      <c r="CH248" s="3070" t="s">
        <v>3240</v>
      </c>
      <c r="CI248" s="3070">
        <v>0</v>
      </c>
      <c r="CJ248" s="3070" t="s">
        <v>3259</v>
      </c>
      <c r="CK248" s="3070" t="s">
        <v>3607</v>
      </c>
      <c r="CL248" s="3070" t="s">
        <v>3607</v>
      </c>
      <c r="CM248" s="3070">
        <v>1213690.83</v>
      </c>
      <c r="CV248" s="3070" t="s">
        <v>3258</v>
      </c>
      <c r="CW248" s="3070" t="s">
        <v>5325</v>
      </c>
      <c r="CX248" s="3070" t="s">
        <v>3350</v>
      </c>
      <c r="CZ248" s="3070">
        <v>213894.57</v>
      </c>
      <c r="DA248" s="3070">
        <v>159426.93</v>
      </c>
      <c r="DB248" s="3070">
        <v>0</v>
      </c>
      <c r="DC248" s="3070">
        <v>0</v>
      </c>
      <c r="DD248" s="3070">
        <v>3290547602</v>
      </c>
      <c r="DE248" s="3070">
        <v>2764253109</v>
      </c>
      <c r="DF248" s="3070">
        <v>1464966739</v>
      </c>
      <c r="DG248" s="3070">
        <v>14938370</v>
      </c>
      <c r="DH248" s="3070">
        <v>1284348000</v>
      </c>
      <c r="DI248" s="3070">
        <v>1278128000</v>
      </c>
      <c r="DJ248" s="3070">
        <v>6220000</v>
      </c>
      <c r="DK248" s="3070">
        <v>0</v>
      </c>
      <c r="DL248" s="3070">
        <v>0</v>
      </c>
      <c r="DM248" s="3070">
        <v>25491817.620000001</v>
      </c>
      <c r="DN248" s="3070">
        <v>2764253109</v>
      </c>
      <c r="DP248" s="3070">
        <v>2764253109</v>
      </c>
    </row>
    <row r="249" spans="1:120">
      <c r="A249" s="3070">
        <v>248</v>
      </c>
      <c r="B249" s="3070" t="s">
        <v>3224</v>
      </c>
      <c r="C249" s="3070">
        <v>2</v>
      </c>
      <c r="E249" s="3070">
        <v>304</v>
      </c>
      <c r="F249" s="3070" t="s">
        <v>5326</v>
      </c>
      <c r="G249" s="3070" t="s">
        <v>5327</v>
      </c>
      <c r="H249" s="3070">
        <v>1471021</v>
      </c>
      <c r="I249" s="3070">
        <v>1471021</v>
      </c>
      <c r="J249" s="3070">
        <v>121.75</v>
      </c>
      <c r="K249" s="3070">
        <v>90.43</v>
      </c>
      <c r="L249" s="3070">
        <v>0</v>
      </c>
      <c r="M249" s="3070">
        <v>0</v>
      </c>
      <c r="N249" s="3070">
        <v>15144.44</v>
      </c>
      <c r="O249" s="3070">
        <v>1843836</v>
      </c>
      <c r="P249" s="3070">
        <v>12082.31</v>
      </c>
      <c r="Q249" s="3070">
        <v>1471021</v>
      </c>
      <c r="R249" s="3070" t="s">
        <v>3227</v>
      </c>
      <c r="S249" s="3070" t="s">
        <v>5328</v>
      </c>
      <c r="T249" s="3070" t="s">
        <v>3246</v>
      </c>
      <c r="U249" s="3070" t="s">
        <v>3279</v>
      </c>
      <c r="V249" s="3070" t="s">
        <v>3230</v>
      </c>
      <c r="Y249" s="3070">
        <v>601021</v>
      </c>
      <c r="Z249" s="3070">
        <v>451021</v>
      </c>
      <c r="AA249" s="3070">
        <v>601021</v>
      </c>
      <c r="AB249" s="3070">
        <v>0</v>
      </c>
      <c r="AC249" s="3070">
        <v>870000</v>
      </c>
      <c r="AD249" s="3070">
        <v>870000</v>
      </c>
      <c r="AE249" s="3070">
        <v>0</v>
      </c>
      <c r="AI249" s="3070" t="s">
        <v>3227</v>
      </c>
      <c r="AJ249" s="3070">
        <v>0</v>
      </c>
      <c r="AK249" s="3070">
        <v>0</v>
      </c>
      <c r="AL249" s="3070">
        <v>0</v>
      </c>
      <c r="AM249" s="3070">
        <v>12082.31</v>
      </c>
      <c r="AN249" s="3070">
        <v>1471021</v>
      </c>
      <c r="AP249" s="3070">
        <v>1471021</v>
      </c>
      <c r="AQ249" s="3072">
        <v>45230</v>
      </c>
      <c r="AT249" s="3073">
        <v>45770</v>
      </c>
      <c r="AV249" s="3070" t="s">
        <v>5329</v>
      </c>
      <c r="AW249" s="3070" t="s">
        <v>5330</v>
      </c>
      <c r="AX249" s="3070" t="s">
        <v>5331</v>
      </c>
      <c r="AY249" s="3070" t="s">
        <v>4706</v>
      </c>
      <c r="BA249" s="3070" t="s">
        <v>4706</v>
      </c>
      <c r="BC249" s="3070" t="s">
        <v>4126</v>
      </c>
      <c r="BD249" s="3070" t="s">
        <v>3075</v>
      </c>
      <c r="BI249" s="3070" t="s">
        <v>3235</v>
      </c>
      <c r="BL249" s="3070" t="s">
        <v>5332</v>
      </c>
      <c r="BM249" s="3075">
        <v>44230</v>
      </c>
      <c r="BN249" s="3070">
        <v>4</v>
      </c>
      <c r="BO249" s="3070" t="s">
        <v>3253</v>
      </c>
      <c r="BR249" s="3070">
        <v>16</v>
      </c>
      <c r="BS249" s="3070" t="s">
        <v>3238</v>
      </c>
      <c r="BU249" s="3070" t="s">
        <v>4706</v>
      </c>
      <c r="BZ249" s="3073">
        <v>44220.418055555558</v>
      </c>
      <c r="CA249" s="3070">
        <v>2</v>
      </c>
      <c r="CD249" s="3070" t="s">
        <v>3239</v>
      </c>
      <c r="CF249" s="3070" t="s">
        <v>3091</v>
      </c>
      <c r="CH249" s="3070" t="s">
        <v>3240</v>
      </c>
      <c r="CI249" s="3070">
        <v>0</v>
      </c>
      <c r="CK249" s="3070" t="s">
        <v>4706</v>
      </c>
      <c r="CL249" s="3070" t="s">
        <v>4902</v>
      </c>
      <c r="CM249" s="3070">
        <v>1349560.55</v>
      </c>
      <c r="CV249" s="3070" t="s">
        <v>3246</v>
      </c>
      <c r="CW249" s="3070" t="s">
        <v>5333</v>
      </c>
      <c r="CX249" s="3070" t="s">
        <v>3267</v>
      </c>
      <c r="CZ249" s="3070">
        <v>213894.57</v>
      </c>
      <c r="DA249" s="3070">
        <v>159426.93</v>
      </c>
      <c r="DB249" s="3070">
        <v>0</v>
      </c>
      <c r="DC249" s="3070">
        <v>0</v>
      </c>
      <c r="DD249" s="3070">
        <v>3290547602</v>
      </c>
      <c r="DE249" s="3070">
        <v>2764253109</v>
      </c>
      <c r="DF249" s="3070">
        <v>1464966739</v>
      </c>
      <c r="DG249" s="3070">
        <v>14938370</v>
      </c>
      <c r="DH249" s="3070">
        <v>1284348000</v>
      </c>
      <c r="DI249" s="3070">
        <v>1278128000</v>
      </c>
      <c r="DJ249" s="3070">
        <v>6220000</v>
      </c>
      <c r="DK249" s="3070">
        <v>0</v>
      </c>
      <c r="DL249" s="3070">
        <v>0</v>
      </c>
      <c r="DM249" s="3070">
        <v>25491817.620000001</v>
      </c>
      <c r="DN249" s="3070">
        <v>2764253109</v>
      </c>
      <c r="DP249" s="3070">
        <v>2764253109</v>
      </c>
    </row>
    <row r="250" spans="1:120">
      <c r="A250" s="3070">
        <v>249</v>
      </c>
      <c r="B250" s="3070" t="s">
        <v>3224</v>
      </c>
      <c r="C250" s="3070">
        <v>2</v>
      </c>
      <c r="E250" s="3070">
        <v>401</v>
      </c>
      <c r="F250" s="3070" t="s">
        <v>5334</v>
      </c>
      <c r="G250" s="3070" t="s">
        <v>5335</v>
      </c>
      <c r="H250" s="3070">
        <v>1423303</v>
      </c>
      <c r="I250" s="3070">
        <v>1423303</v>
      </c>
      <c r="J250" s="3070">
        <v>121.75</v>
      </c>
      <c r="K250" s="3070">
        <v>90.43</v>
      </c>
      <c r="L250" s="3070">
        <v>0</v>
      </c>
      <c r="M250" s="3070">
        <v>0</v>
      </c>
      <c r="N250" s="3070">
        <v>14994.44</v>
      </c>
      <c r="O250" s="3070">
        <v>1825573</v>
      </c>
      <c r="P250" s="3070">
        <v>11690.37</v>
      </c>
      <c r="Q250" s="3070">
        <v>1423303</v>
      </c>
      <c r="R250" s="3070" t="s">
        <v>3227</v>
      </c>
      <c r="S250" s="3070" t="s">
        <v>5336</v>
      </c>
      <c r="T250" s="3070" t="s">
        <v>3991</v>
      </c>
      <c r="V250" s="3070" t="s">
        <v>3230</v>
      </c>
      <c r="Y250" s="3070">
        <v>426991</v>
      </c>
      <c r="Z250" s="3070">
        <v>426991</v>
      </c>
      <c r="AA250" s="3070">
        <v>1423303</v>
      </c>
      <c r="AB250" s="3070">
        <v>0</v>
      </c>
      <c r="AC250" s="3070">
        <v>0</v>
      </c>
      <c r="AD250" s="3070">
        <v>0</v>
      </c>
      <c r="AE250" s="3070">
        <v>0</v>
      </c>
      <c r="AI250" s="3070" t="s">
        <v>3227</v>
      </c>
      <c r="AJ250" s="3070">
        <v>0</v>
      </c>
      <c r="AK250" s="3070">
        <v>0</v>
      </c>
      <c r="AL250" s="3070">
        <v>0</v>
      </c>
      <c r="AM250" s="3070">
        <v>11690.37</v>
      </c>
      <c r="AN250" s="3070">
        <v>1423303</v>
      </c>
      <c r="AP250" s="3070">
        <v>1423303</v>
      </c>
      <c r="AQ250" s="3072">
        <v>45230</v>
      </c>
      <c r="AT250" s="3073">
        <v>45770</v>
      </c>
      <c r="AV250" s="3074">
        <v>3.21E+17</v>
      </c>
      <c r="AW250" s="3070" t="s">
        <v>5337</v>
      </c>
      <c r="AX250" s="3070" t="s">
        <v>5338</v>
      </c>
      <c r="AY250" s="3070" t="s">
        <v>4065</v>
      </c>
      <c r="BA250" s="3070" t="s">
        <v>4242</v>
      </c>
      <c r="BC250" s="3070" t="s">
        <v>4145</v>
      </c>
      <c r="BD250" s="3070" t="s">
        <v>3075</v>
      </c>
      <c r="BI250" s="3070" t="s">
        <v>3235</v>
      </c>
      <c r="BL250" s="3070" t="s">
        <v>5339</v>
      </c>
      <c r="BM250" s="3075">
        <v>44231</v>
      </c>
      <c r="BN250" s="3070">
        <v>1</v>
      </c>
      <c r="BR250" s="3070">
        <v>16</v>
      </c>
      <c r="BS250" s="3070" t="s">
        <v>3238</v>
      </c>
      <c r="BU250" s="3070" t="s">
        <v>4242</v>
      </c>
      <c r="BZ250" s="3073">
        <v>44220.587500000001</v>
      </c>
      <c r="CA250" s="3070">
        <v>2</v>
      </c>
      <c r="CD250" s="3070" t="s">
        <v>3239</v>
      </c>
      <c r="CF250" s="3070" t="s">
        <v>3091</v>
      </c>
      <c r="CH250" s="3070" t="s">
        <v>3240</v>
      </c>
      <c r="CI250" s="3070">
        <v>0</v>
      </c>
      <c r="CK250" s="3070" t="s">
        <v>4068</v>
      </c>
      <c r="CL250" s="3070" t="s">
        <v>4242</v>
      </c>
      <c r="CM250" s="3070">
        <v>1305782.57</v>
      </c>
      <c r="CV250" s="3070" t="s">
        <v>3494</v>
      </c>
      <c r="CW250" s="3070" t="s">
        <v>5340</v>
      </c>
      <c r="CZ250" s="3070">
        <v>213894.57</v>
      </c>
      <c r="DA250" s="3070">
        <v>159426.93</v>
      </c>
      <c r="DB250" s="3070">
        <v>0</v>
      </c>
      <c r="DC250" s="3070">
        <v>0</v>
      </c>
      <c r="DD250" s="3070">
        <v>3290547602</v>
      </c>
      <c r="DE250" s="3070">
        <v>2764253109</v>
      </c>
      <c r="DF250" s="3070">
        <v>1464966739</v>
      </c>
      <c r="DG250" s="3070">
        <v>14938370</v>
      </c>
      <c r="DH250" s="3070">
        <v>1284348000</v>
      </c>
      <c r="DI250" s="3070">
        <v>1278128000</v>
      </c>
      <c r="DJ250" s="3070">
        <v>6220000</v>
      </c>
      <c r="DK250" s="3070">
        <v>0</v>
      </c>
      <c r="DL250" s="3070">
        <v>0</v>
      </c>
      <c r="DM250" s="3070">
        <v>25491817.620000001</v>
      </c>
      <c r="DN250" s="3070">
        <v>2764253109</v>
      </c>
      <c r="DP250" s="3070">
        <v>2764253109</v>
      </c>
    </row>
    <row r="251" spans="1:120">
      <c r="A251" s="3070">
        <v>250</v>
      </c>
      <c r="B251" s="3070" t="s">
        <v>3224</v>
      </c>
      <c r="C251" s="3070">
        <v>2</v>
      </c>
      <c r="E251" s="3070">
        <v>402</v>
      </c>
      <c r="F251" s="3070" t="s">
        <v>5341</v>
      </c>
      <c r="G251" s="3070" t="s">
        <v>5342</v>
      </c>
      <c r="H251" s="3070">
        <v>1224877</v>
      </c>
      <c r="I251" s="3070">
        <v>1224877</v>
      </c>
      <c r="J251" s="3070">
        <v>101.58</v>
      </c>
      <c r="K251" s="3070">
        <v>75.45</v>
      </c>
      <c r="L251" s="3070">
        <v>0</v>
      </c>
      <c r="M251" s="3070">
        <v>0</v>
      </c>
      <c r="N251" s="3070">
        <v>15094.44</v>
      </c>
      <c r="O251" s="3070">
        <v>1533293</v>
      </c>
      <c r="P251" s="3070">
        <v>12058.25</v>
      </c>
      <c r="Q251" s="3070">
        <v>1224877</v>
      </c>
      <c r="R251" s="3070" t="s">
        <v>3227</v>
      </c>
      <c r="S251" s="3070" t="s">
        <v>5343</v>
      </c>
      <c r="T251" s="3070" t="s">
        <v>3229</v>
      </c>
      <c r="V251" s="3070" t="s">
        <v>3230</v>
      </c>
      <c r="Y251" s="3070">
        <v>367463</v>
      </c>
      <c r="Z251" s="3070">
        <v>367463</v>
      </c>
      <c r="AA251" s="3070">
        <v>1224877</v>
      </c>
      <c r="AB251" s="3070">
        <v>0</v>
      </c>
      <c r="AC251" s="3070">
        <v>0</v>
      </c>
      <c r="AD251" s="3070">
        <v>0</v>
      </c>
      <c r="AE251" s="3070">
        <v>0</v>
      </c>
      <c r="AI251" s="3070" t="s">
        <v>3227</v>
      </c>
      <c r="AJ251" s="3070">
        <v>0</v>
      </c>
      <c r="AK251" s="3070">
        <v>0</v>
      </c>
      <c r="AL251" s="3070">
        <v>0</v>
      </c>
      <c r="AM251" s="3070">
        <v>12058.25</v>
      </c>
      <c r="AN251" s="3070">
        <v>1224877</v>
      </c>
      <c r="AP251" s="3070">
        <v>1224877</v>
      </c>
      <c r="AQ251" s="3072">
        <v>45230</v>
      </c>
      <c r="AT251" s="3073">
        <v>45770</v>
      </c>
      <c r="AV251" s="3070" t="s">
        <v>5344</v>
      </c>
      <c r="AW251" s="3070" t="s">
        <v>5345</v>
      </c>
      <c r="AX251" s="3070" t="s">
        <v>5346</v>
      </c>
      <c r="AY251" s="3070" t="s">
        <v>3411</v>
      </c>
      <c r="BC251" s="3070" t="s">
        <v>3792</v>
      </c>
      <c r="BD251" s="3070" t="s">
        <v>3077</v>
      </c>
      <c r="BI251" s="3070" t="s">
        <v>3295</v>
      </c>
      <c r="BL251" s="3070" t="s">
        <v>5347</v>
      </c>
      <c r="BM251" s="3075">
        <v>44231</v>
      </c>
      <c r="BN251" s="3070">
        <v>2</v>
      </c>
      <c r="BR251" s="3070">
        <v>776</v>
      </c>
      <c r="BS251" s="3070" t="s">
        <v>3238</v>
      </c>
      <c r="BT251" s="3070" t="s">
        <v>3481</v>
      </c>
      <c r="BZ251" s="3073">
        <v>44143.75</v>
      </c>
      <c r="CA251" s="3070">
        <v>2</v>
      </c>
      <c r="CB251" s="3070" t="s">
        <v>3481</v>
      </c>
      <c r="CD251" s="3070" t="s">
        <v>3239</v>
      </c>
      <c r="CF251" s="3070" t="s">
        <v>3091</v>
      </c>
      <c r="CH251" s="3070" t="s">
        <v>3240</v>
      </c>
      <c r="CI251" s="3070">
        <v>0</v>
      </c>
      <c r="CK251" s="3070" t="s">
        <v>3411</v>
      </c>
      <c r="CL251" s="3070" t="s">
        <v>3411</v>
      </c>
      <c r="CM251" s="3070">
        <v>1123740.3700000001</v>
      </c>
      <c r="CV251" s="3070" t="s">
        <v>3229</v>
      </c>
      <c r="CW251" s="3070" t="s">
        <v>5348</v>
      </c>
      <c r="CZ251" s="3070">
        <v>213894.57</v>
      </c>
      <c r="DA251" s="3070">
        <v>159426.93</v>
      </c>
      <c r="DB251" s="3070">
        <v>0</v>
      </c>
      <c r="DC251" s="3070">
        <v>0</v>
      </c>
      <c r="DD251" s="3070">
        <v>3290547602</v>
      </c>
      <c r="DE251" s="3070">
        <v>2764253109</v>
      </c>
      <c r="DF251" s="3070">
        <v>1464966739</v>
      </c>
      <c r="DG251" s="3070">
        <v>14938370</v>
      </c>
      <c r="DH251" s="3070">
        <v>1284348000</v>
      </c>
      <c r="DI251" s="3070">
        <v>1278128000</v>
      </c>
      <c r="DJ251" s="3070">
        <v>6220000</v>
      </c>
      <c r="DK251" s="3070">
        <v>0</v>
      </c>
      <c r="DL251" s="3070">
        <v>0</v>
      </c>
      <c r="DM251" s="3070">
        <v>25491817.620000001</v>
      </c>
      <c r="DN251" s="3070">
        <v>2764253109</v>
      </c>
      <c r="DP251" s="3070">
        <v>2764253109</v>
      </c>
    </row>
    <row r="252" spans="1:120">
      <c r="A252" s="3070">
        <v>251</v>
      </c>
      <c r="B252" s="3070" t="s">
        <v>3224</v>
      </c>
      <c r="C252" s="3070">
        <v>2</v>
      </c>
      <c r="E252" s="3070">
        <v>403</v>
      </c>
      <c r="F252" s="3070" t="s">
        <v>5349</v>
      </c>
      <c r="G252" s="3070" t="s">
        <v>5350</v>
      </c>
      <c r="H252" s="3070">
        <v>1237249</v>
      </c>
      <c r="I252" s="3070">
        <v>1237249</v>
      </c>
      <c r="J252" s="3070">
        <v>101.58</v>
      </c>
      <c r="K252" s="3070">
        <v>75.45</v>
      </c>
      <c r="L252" s="3070">
        <v>0</v>
      </c>
      <c r="M252" s="3070">
        <v>0</v>
      </c>
      <c r="N252" s="3070">
        <v>15094.44</v>
      </c>
      <c r="O252" s="3070">
        <v>1533293</v>
      </c>
      <c r="P252" s="3070">
        <v>12180.05</v>
      </c>
      <c r="Q252" s="3070">
        <v>1237249</v>
      </c>
      <c r="R252" s="3070" t="s">
        <v>3227</v>
      </c>
      <c r="S252" s="3070" t="s">
        <v>5351</v>
      </c>
      <c r="T252" s="3070" t="s">
        <v>3246</v>
      </c>
      <c r="U252" s="3070" t="s">
        <v>3467</v>
      </c>
      <c r="V252" s="3070" t="s">
        <v>3230</v>
      </c>
      <c r="Y252" s="3070">
        <v>407249</v>
      </c>
      <c r="Z252" s="3070">
        <v>407249</v>
      </c>
      <c r="AA252" s="3070">
        <v>407249</v>
      </c>
      <c r="AB252" s="3070">
        <v>0</v>
      </c>
      <c r="AC252" s="3070">
        <v>830000</v>
      </c>
      <c r="AD252" s="3070">
        <v>830000</v>
      </c>
      <c r="AE252" s="3070">
        <v>0</v>
      </c>
      <c r="AI252" s="3070" t="s">
        <v>3227</v>
      </c>
      <c r="AJ252" s="3070">
        <v>0</v>
      </c>
      <c r="AK252" s="3070">
        <v>0</v>
      </c>
      <c r="AL252" s="3070">
        <v>0</v>
      </c>
      <c r="AM252" s="3070">
        <v>12180.05</v>
      </c>
      <c r="AN252" s="3070">
        <v>1237249</v>
      </c>
      <c r="AP252" s="3070">
        <v>1237249</v>
      </c>
      <c r="AQ252" s="3072">
        <v>45230</v>
      </c>
      <c r="AT252" s="3073">
        <v>45770</v>
      </c>
      <c r="AV252" s="3074">
        <v>3.42E+17</v>
      </c>
      <c r="AW252" s="3070" t="s">
        <v>5352</v>
      </c>
      <c r="AX252" s="3070" t="s">
        <v>5353</v>
      </c>
      <c r="AY252" s="3070" t="s">
        <v>3233</v>
      </c>
      <c r="BC252" s="3070" t="s">
        <v>3284</v>
      </c>
      <c r="BD252" s="3070" t="s">
        <v>3077</v>
      </c>
      <c r="BI252" s="3070" t="s">
        <v>3235</v>
      </c>
      <c r="BL252" s="3070" t="s">
        <v>5354</v>
      </c>
      <c r="BM252" s="3075">
        <v>44231</v>
      </c>
      <c r="BN252" s="3070">
        <v>3</v>
      </c>
      <c r="BO252" s="3070" t="s">
        <v>3253</v>
      </c>
      <c r="BR252" s="3070">
        <v>881</v>
      </c>
      <c r="BS252" s="3070" t="s">
        <v>3238</v>
      </c>
      <c r="BZ252" s="3073">
        <v>44144.479861111111</v>
      </c>
      <c r="CA252" s="3070">
        <v>2</v>
      </c>
      <c r="CD252" s="3070" t="s">
        <v>3239</v>
      </c>
      <c r="CF252" s="3070" t="s">
        <v>3091</v>
      </c>
      <c r="CH252" s="3070" t="s">
        <v>3240</v>
      </c>
      <c r="CI252" s="3070">
        <v>0</v>
      </c>
      <c r="CK252" s="3070" t="s">
        <v>3233</v>
      </c>
      <c r="CL252" s="3070" t="s">
        <v>3233</v>
      </c>
      <c r="CM252" s="3070">
        <v>1135090.83</v>
      </c>
      <c r="CV252" s="3070" t="s">
        <v>3246</v>
      </c>
      <c r="CW252" s="3070" t="s">
        <v>5355</v>
      </c>
      <c r="CZ252" s="3070">
        <v>213894.57</v>
      </c>
      <c r="DA252" s="3070">
        <v>159426.93</v>
      </c>
      <c r="DB252" s="3070">
        <v>0</v>
      </c>
      <c r="DC252" s="3070">
        <v>0</v>
      </c>
      <c r="DD252" s="3070">
        <v>3290547602</v>
      </c>
      <c r="DE252" s="3070">
        <v>2764253109</v>
      </c>
      <c r="DF252" s="3070">
        <v>1464966739</v>
      </c>
      <c r="DG252" s="3070">
        <v>14938370</v>
      </c>
      <c r="DH252" s="3070">
        <v>1284348000</v>
      </c>
      <c r="DI252" s="3070">
        <v>1278128000</v>
      </c>
      <c r="DJ252" s="3070">
        <v>6220000</v>
      </c>
      <c r="DK252" s="3070">
        <v>0</v>
      </c>
      <c r="DL252" s="3070">
        <v>0</v>
      </c>
      <c r="DM252" s="3070">
        <v>25491817.620000001</v>
      </c>
      <c r="DN252" s="3070">
        <v>2764253109</v>
      </c>
      <c r="DP252" s="3070">
        <v>2764253109</v>
      </c>
    </row>
    <row r="253" spans="1:120">
      <c r="A253" s="3070">
        <v>252</v>
      </c>
      <c r="B253" s="3070" t="s">
        <v>3224</v>
      </c>
      <c r="C253" s="3070">
        <v>2</v>
      </c>
      <c r="E253" s="3070">
        <v>404</v>
      </c>
      <c r="F253" s="3070" t="s">
        <v>5356</v>
      </c>
      <c r="G253" s="3070" t="s">
        <v>5357</v>
      </c>
      <c r="H253" s="3070">
        <v>1618495</v>
      </c>
      <c r="I253" s="3070">
        <v>1618495</v>
      </c>
      <c r="J253" s="3070">
        <v>121.75</v>
      </c>
      <c r="K253" s="3070">
        <v>90.43</v>
      </c>
      <c r="L253" s="3070">
        <v>0</v>
      </c>
      <c r="M253" s="3070">
        <v>0</v>
      </c>
      <c r="N253" s="3070">
        <v>15044.44</v>
      </c>
      <c r="O253" s="3070">
        <v>1831661</v>
      </c>
      <c r="P253" s="3070">
        <v>13293.59</v>
      </c>
      <c r="Q253" s="3070">
        <v>1618495</v>
      </c>
      <c r="R253" s="3070" t="s">
        <v>3227</v>
      </c>
      <c r="S253" s="3070" t="s">
        <v>5358</v>
      </c>
      <c r="T253" s="3070" t="s">
        <v>3246</v>
      </c>
      <c r="U253" s="3070" t="s">
        <v>3381</v>
      </c>
      <c r="V253" s="3070" t="s">
        <v>3230</v>
      </c>
      <c r="Y253" s="3070">
        <v>498495</v>
      </c>
      <c r="Z253" s="3070">
        <v>498495</v>
      </c>
      <c r="AA253" s="3070">
        <v>498495</v>
      </c>
      <c r="AB253" s="3070">
        <v>0</v>
      </c>
      <c r="AC253" s="3070">
        <v>1120000</v>
      </c>
      <c r="AD253" s="3070">
        <v>1120000</v>
      </c>
      <c r="AE253" s="3070">
        <v>0</v>
      </c>
      <c r="AI253" s="3070" t="s">
        <v>3227</v>
      </c>
      <c r="AJ253" s="3070">
        <v>0</v>
      </c>
      <c r="AK253" s="3070">
        <v>0</v>
      </c>
      <c r="AL253" s="3070">
        <v>0</v>
      </c>
      <c r="AM253" s="3070">
        <v>13293.59</v>
      </c>
      <c r="AN253" s="3070">
        <v>1618495</v>
      </c>
      <c r="AP253" s="3070">
        <v>1618495</v>
      </c>
      <c r="AQ253" s="3072">
        <v>45230</v>
      </c>
      <c r="AT253" s="3073">
        <v>45770</v>
      </c>
      <c r="AV253" s="3074">
        <v>3.21E+17</v>
      </c>
      <c r="AW253" s="3070" t="s">
        <v>5359</v>
      </c>
      <c r="AX253" s="3070" t="s">
        <v>5360</v>
      </c>
      <c r="AY253" s="3070" t="s">
        <v>4265</v>
      </c>
      <c r="BC253" s="3070" t="s">
        <v>4175</v>
      </c>
      <c r="BD253" s="3070" t="s">
        <v>3075</v>
      </c>
      <c r="BI253" s="3070" t="s">
        <v>3235</v>
      </c>
      <c r="BJ253" s="3070" t="s">
        <v>5361</v>
      </c>
      <c r="BL253" s="3070" t="s">
        <v>5362</v>
      </c>
      <c r="BM253" s="3075">
        <v>44231</v>
      </c>
      <c r="BN253" s="3070">
        <v>4</v>
      </c>
      <c r="BO253" s="3070" t="s">
        <v>3253</v>
      </c>
      <c r="BR253" s="3070">
        <v>0</v>
      </c>
      <c r="BS253" s="3070" t="s">
        <v>3238</v>
      </c>
      <c r="BZ253" s="3073">
        <v>44236.715277777781</v>
      </c>
      <c r="CA253" s="3070">
        <v>2</v>
      </c>
      <c r="CD253" s="3070" t="s">
        <v>3239</v>
      </c>
      <c r="CF253" s="3070" t="s">
        <v>3091</v>
      </c>
      <c r="CH253" s="3070" t="s">
        <v>3240</v>
      </c>
      <c r="CI253" s="3070">
        <v>0</v>
      </c>
      <c r="CK253" s="3070" t="s">
        <v>4265</v>
      </c>
      <c r="CL253" s="3070" t="s">
        <v>4265</v>
      </c>
      <c r="CM253" s="3070">
        <v>1484857.8</v>
      </c>
      <c r="CV253" s="3070" t="s">
        <v>3246</v>
      </c>
      <c r="CW253" s="3070" t="s">
        <v>5363</v>
      </c>
      <c r="CX253" s="3070" t="s">
        <v>3267</v>
      </c>
      <c r="CZ253" s="3070">
        <v>213894.57</v>
      </c>
      <c r="DA253" s="3070">
        <v>159426.93</v>
      </c>
      <c r="DB253" s="3070">
        <v>0</v>
      </c>
      <c r="DC253" s="3070">
        <v>0</v>
      </c>
      <c r="DD253" s="3070">
        <v>3290547602</v>
      </c>
      <c r="DE253" s="3070">
        <v>2764253109</v>
      </c>
      <c r="DF253" s="3070">
        <v>1464966739</v>
      </c>
      <c r="DG253" s="3070">
        <v>14938370</v>
      </c>
      <c r="DH253" s="3070">
        <v>1284348000</v>
      </c>
      <c r="DI253" s="3070">
        <v>1278128000</v>
      </c>
      <c r="DJ253" s="3070">
        <v>6220000</v>
      </c>
      <c r="DK253" s="3070">
        <v>0</v>
      </c>
      <c r="DL253" s="3070">
        <v>0</v>
      </c>
      <c r="DM253" s="3070">
        <v>25491817.620000001</v>
      </c>
      <c r="DN253" s="3070">
        <v>2764253109</v>
      </c>
      <c r="DP253" s="3070">
        <v>2764253109</v>
      </c>
    </row>
    <row r="254" spans="1:120">
      <c r="A254" s="3070">
        <v>253</v>
      </c>
      <c r="B254" s="3070" t="s">
        <v>3224</v>
      </c>
      <c r="C254" s="3070">
        <v>2</v>
      </c>
      <c r="E254" s="3070">
        <v>501</v>
      </c>
      <c r="F254" s="3070" t="s">
        <v>5364</v>
      </c>
      <c r="G254" s="3070" t="s">
        <v>5365</v>
      </c>
      <c r="H254" s="3070">
        <v>1473819</v>
      </c>
      <c r="I254" s="3070">
        <v>1473819</v>
      </c>
      <c r="J254" s="3070">
        <v>121.75</v>
      </c>
      <c r="K254" s="3070">
        <v>90.43</v>
      </c>
      <c r="L254" s="3070">
        <v>0</v>
      </c>
      <c r="M254" s="3070">
        <v>0</v>
      </c>
      <c r="N254" s="3070">
        <v>15144.44</v>
      </c>
      <c r="O254" s="3070">
        <v>1843836</v>
      </c>
      <c r="P254" s="3070">
        <v>12105.29</v>
      </c>
      <c r="Q254" s="3070">
        <v>1473819</v>
      </c>
      <c r="R254" s="3070" t="s">
        <v>3227</v>
      </c>
      <c r="S254" s="3070" t="s">
        <v>5366</v>
      </c>
      <c r="T254" s="3070" t="s">
        <v>3229</v>
      </c>
      <c r="V254" s="3070" t="s">
        <v>3230</v>
      </c>
      <c r="Y254" s="3070">
        <v>442146</v>
      </c>
      <c r="Z254" s="3070">
        <v>442146</v>
      </c>
      <c r="AA254" s="3070">
        <v>1473819</v>
      </c>
      <c r="AB254" s="3070">
        <v>0</v>
      </c>
      <c r="AC254" s="3070">
        <v>0</v>
      </c>
      <c r="AD254" s="3070">
        <v>0</v>
      </c>
      <c r="AE254" s="3070">
        <v>0</v>
      </c>
      <c r="AI254" s="3070" t="s">
        <v>3227</v>
      </c>
      <c r="AJ254" s="3070">
        <v>0</v>
      </c>
      <c r="AK254" s="3070">
        <v>0</v>
      </c>
      <c r="AL254" s="3070">
        <v>0</v>
      </c>
      <c r="AM254" s="3070">
        <v>12105.29</v>
      </c>
      <c r="AN254" s="3070">
        <v>1473819</v>
      </c>
      <c r="AP254" s="3070">
        <v>1473819</v>
      </c>
      <c r="AQ254" s="3072">
        <v>45230</v>
      </c>
      <c r="AT254" s="3073">
        <v>45770</v>
      </c>
      <c r="AV254" s="3074">
        <v>3.21E+17</v>
      </c>
      <c r="AW254" s="3070" t="s">
        <v>5367</v>
      </c>
      <c r="AX254" s="3070" t="s">
        <v>5368</v>
      </c>
      <c r="AY254" s="3070" t="s">
        <v>4084</v>
      </c>
      <c r="BC254" s="3070" t="s">
        <v>3347</v>
      </c>
      <c r="BD254" s="3070" t="s">
        <v>3075</v>
      </c>
      <c r="BI254" s="3070" t="s">
        <v>3235</v>
      </c>
      <c r="BL254" s="3070" t="s">
        <v>5369</v>
      </c>
      <c r="BM254" s="3075">
        <v>44232</v>
      </c>
      <c r="BN254" s="3070">
        <v>1</v>
      </c>
      <c r="BR254" s="3070">
        <v>735</v>
      </c>
      <c r="BS254" s="3070" t="s">
        <v>3238</v>
      </c>
      <c r="BZ254" s="3073">
        <v>44146.742361111108</v>
      </c>
      <c r="CA254" s="3070">
        <v>2</v>
      </c>
      <c r="CD254" s="3070" t="s">
        <v>3239</v>
      </c>
      <c r="CF254" s="3070" t="s">
        <v>3091</v>
      </c>
      <c r="CH254" s="3070" t="s">
        <v>3240</v>
      </c>
      <c r="CI254" s="3070">
        <v>0</v>
      </c>
      <c r="CK254" s="3070" t="s">
        <v>4084</v>
      </c>
      <c r="CL254" s="3070" t="s">
        <v>4084</v>
      </c>
      <c r="CM254" s="3070">
        <v>1352127.52</v>
      </c>
      <c r="CV254" s="3070" t="s">
        <v>3229</v>
      </c>
      <c r="CW254" s="3070" t="s">
        <v>5370</v>
      </c>
      <c r="CZ254" s="3070">
        <v>213894.57</v>
      </c>
      <c r="DA254" s="3070">
        <v>159426.93</v>
      </c>
      <c r="DB254" s="3070">
        <v>0</v>
      </c>
      <c r="DC254" s="3070">
        <v>0</v>
      </c>
      <c r="DD254" s="3070">
        <v>3290547602</v>
      </c>
      <c r="DE254" s="3070">
        <v>2764253109</v>
      </c>
      <c r="DF254" s="3070">
        <v>1464966739</v>
      </c>
      <c r="DG254" s="3070">
        <v>14938370</v>
      </c>
      <c r="DH254" s="3070">
        <v>1284348000</v>
      </c>
      <c r="DI254" s="3070">
        <v>1278128000</v>
      </c>
      <c r="DJ254" s="3070">
        <v>6220000</v>
      </c>
      <c r="DK254" s="3070">
        <v>0</v>
      </c>
      <c r="DL254" s="3070">
        <v>0</v>
      </c>
      <c r="DM254" s="3070">
        <v>25491817.620000001</v>
      </c>
      <c r="DN254" s="3070">
        <v>2764253109</v>
      </c>
      <c r="DP254" s="3070">
        <v>2764253109</v>
      </c>
    </row>
    <row r="255" spans="1:120">
      <c r="A255" s="3070">
        <v>254</v>
      </c>
      <c r="B255" s="3070" t="s">
        <v>3224</v>
      </c>
      <c r="C255" s="3070">
        <v>2</v>
      </c>
      <c r="E255" s="3070">
        <v>502</v>
      </c>
      <c r="F255" s="3070" t="s">
        <v>5371</v>
      </c>
      <c r="G255" s="3070" t="s">
        <v>5372</v>
      </c>
      <c r="H255" s="3070">
        <v>1239216</v>
      </c>
      <c r="I255" s="3070">
        <v>1239216</v>
      </c>
      <c r="J255" s="3070">
        <v>101.58</v>
      </c>
      <c r="K255" s="3070">
        <v>75.45</v>
      </c>
      <c r="L255" s="3070">
        <v>0</v>
      </c>
      <c r="M255" s="3070">
        <v>0</v>
      </c>
      <c r="N255" s="3070">
        <v>15244.44</v>
      </c>
      <c r="O255" s="3070">
        <v>1548530</v>
      </c>
      <c r="P255" s="3070">
        <v>12199.41</v>
      </c>
      <c r="Q255" s="3070">
        <v>1239216</v>
      </c>
      <c r="R255" s="3070" t="s">
        <v>3227</v>
      </c>
      <c r="S255" s="3070" t="s">
        <v>5373</v>
      </c>
      <c r="T255" s="3070" t="s">
        <v>3229</v>
      </c>
      <c r="V255" s="3070" t="s">
        <v>3230</v>
      </c>
      <c r="Y255" s="3070">
        <v>371765</v>
      </c>
      <c r="Z255" s="3070">
        <v>371765</v>
      </c>
      <c r="AA255" s="3070">
        <v>1239216</v>
      </c>
      <c r="AB255" s="3070">
        <v>0</v>
      </c>
      <c r="AC255" s="3070">
        <v>0</v>
      </c>
      <c r="AD255" s="3070">
        <v>0</v>
      </c>
      <c r="AE255" s="3070">
        <v>0</v>
      </c>
      <c r="AI255" s="3070" t="s">
        <v>3227</v>
      </c>
      <c r="AJ255" s="3070">
        <v>0</v>
      </c>
      <c r="AK255" s="3070">
        <v>0</v>
      </c>
      <c r="AL255" s="3070">
        <v>0</v>
      </c>
      <c r="AM255" s="3070">
        <v>12199.41</v>
      </c>
      <c r="AN255" s="3070">
        <v>1239216</v>
      </c>
      <c r="AP255" s="3070">
        <v>1239216</v>
      </c>
      <c r="AQ255" s="3072">
        <v>45230</v>
      </c>
      <c r="AT255" s="3073">
        <v>45770</v>
      </c>
      <c r="AV255" s="3070" t="s">
        <v>5374</v>
      </c>
      <c r="AW255" s="3070" t="s">
        <v>5375</v>
      </c>
      <c r="AX255" s="3070" t="s">
        <v>5376</v>
      </c>
      <c r="AY255" s="3070" t="s">
        <v>3497</v>
      </c>
      <c r="BC255" s="3070" t="s">
        <v>3347</v>
      </c>
      <c r="BD255" s="3070" t="s">
        <v>3077</v>
      </c>
      <c r="BI255" s="3070" t="s">
        <v>3235</v>
      </c>
      <c r="BJ255" s="3070" t="s">
        <v>3328</v>
      </c>
      <c r="BL255" s="3070" t="s">
        <v>5377</v>
      </c>
      <c r="BM255" s="3075">
        <v>44232</v>
      </c>
      <c r="BN255" s="3070">
        <v>2</v>
      </c>
      <c r="BR255" s="3070">
        <v>426</v>
      </c>
      <c r="BS255" s="3070" t="s">
        <v>3238</v>
      </c>
      <c r="BZ255" s="3073">
        <v>44149.661805555559</v>
      </c>
      <c r="CA255" s="3070">
        <v>2</v>
      </c>
      <c r="CD255" s="3070" t="s">
        <v>3239</v>
      </c>
      <c r="CF255" s="3070" t="s">
        <v>3091</v>
      </c>
      <c r="CH255" s="3070" t="s">
        <v>3240</v>
      </c>
      <c r="CI255" s="3070">
        <v>0</v>
      </c>
      <c r="CK255" s="3070" t="s">
        <v>3497</v>
      </c>
      <c r="CL255" s="3070" t="s">
        <v>3497</v>
      </c>
      <c r="CM255" s="3070">
        <v>1136895.4099999999</v>
      </c>
      <c r="CV255" s="3070" t="s">
        <v>3229</v>
      </c>
      <c r="CW255" s="3070" t="s">
        <v>5378</v>
      </c>
      <c r="CX255" s="3070" t="s">
        <v>3242</v>
      </c>
      <c r="CZ255" s="3070">
        <v>213894.57</v>
      </c>
      <c r="DA255" s="3070">
        <v>159426.93</v>
      </c>
      <c r="DB255" s="3070">
        <v>0</v>
      </c>
      <c r="DC255" s="3070">
        <v>0</v>
      </c>
      <c r="DD255" s="3070">
        <v>3290547602</v>
      </c>
      <c r="DE255" s="3070">
        <v>2764253109</v>
      </c>
      <c r="DF255" s="3070">
        <v>1464966739</v>
      </c>
      <c r="DG255" s="3070">
        <v>14938370</v>
      </c>
      <c r="DH255" s="3070">
        <v>1284348000</v>
      </c>
      <c r="DI255" s="3070">
        <v>1278128000</v>
      </c>
      <c r="DJ255" s="3070">
        <v>6220000</v>
      </c>
      <c r="DK255" s="3070">
        <v>0</v>
      </c>
      <c r="DL255" s="3070">
        <v>0</v>
      </c>
      <c r="DM255" s="3070">
        <v>25491817.620000001</v>
      </c>
      <c r="DN255" s="3070">
        <v>2764253109</v>
      </c>
      <c r="DP255" s="3070">
        <v>2764253109</v>
      </c>
    </row>
    <row r="256" spans="1:120">
      <c r="A256" s="3070">
        <v>255</v>
      </c>
      <c r="B256" s="3070" t="s">
        <v>3224</v>
      </c>
      <c r="C256" s="3070">
        <v>2</v>
      </c>
      <c r="E256" s="3070">
        <v>503</v>
      </c>
      <c r="F256" s="3070" t="s">
        <v>5379</v>
      </c>
      <c r="G256" s="3070" t="s">
        <v>5380</v>
      </c>
      <c r="H256" s="3070">
        <v>1251733</v>
      </c>
      <c r="I256" s="3070">
        <v>1251733</v>
      </c>
      <c r="J256" s="3070">
        <v>101.58</v>
      </c>
      <c r="K256" s="3070">
        <v>75.45</v>
      </c>
      <c r="L256" s="3070">
        <v>0</v>
      </c>
      <c r="M256" s="3070">
        <v>0</v>
      </c>
      <c r="N256" s="3070">
        <v>15244.44</v>
      </c>
      <c r="O256" s="3070">
        <v>1548530</v>
      </c>
      <c r="P256" s="3070">
        <v>12322.63</v>
      </c>
      <c r="Q256" s="3070">
        <v>1251733</v>
      </c>
      <c r="R256" s="3070" t="s">
        <v>3227</v>
      </c>
      <c r="S256" s="3070" t="s">
        <v>5381</v>
      </c>
      <c r="T256" s="3070" t="s">
        <v>3246</v>
      </c>
      <c r="U256" s="3070" t="s">
        <v>3247</v>
      </c>
      <c r="V256" s="3070" t="s">
        <v>3230</v>
      </c>
      <c r="Y256" s="3070">
        <v>651733</v>
      </c>
      <c r="Z256" s="3070">
        <v>125173</v>
      </c>
      <c r="AA256" s="3070">
        <v>651733</v>
      </c>
      <c r="AB256" s="3070">
        <v>0</v>
      </c>
      <c r="AC256" s="3070">
        <v>600000</v>
      </c>
      <c r="AD256" s="3070">
        <v>600000</v>
      </c>
      <c r="AE256" s="3070">
        <v>0</v>
      </c>
      <c r="AI256" s="3070" t="s">
        <v>3227</v>
      </c>
      <c r="AJ256" s="3070">
        <v>0</v>
      </c>
      <c r="AK256" s="3070">
        <v>0</v>
      </c>
      <c r="AL256" s="3070">
        <v>0</v>
      </c>
      <c r="AM256" s="3070">
        <v>12322.63</v>
      </c>
      <c r="AN256" s="3070">
        <v>1251733</v>
      </c>
      <c r="AP256" s="3070">
        <v>1251733</v>
      </c>
      <c r="AQ256" s="3072">
        <v>45230</v>
      </c>
      <c r="AT256" s="3073">
        <v>45770</v>
      </c>
      <c r="AV256" s="3074">
        <v>3.21E+17</v>
      </c>
      <c r="AW256" s="3070" t="s">
        <v>5382</v>
      </c>
      <c r="AX256" s="3070" t="s">
        <v>5383</v>
      </c>
      <c r="AY256" s="3070" t="s">
        <v>3760</v>
      </c>
      <c r="BC256" s="3070" t="s">
        <v>3284</v>
      </c>
      <c r="BD256" s="3070" t="s">
        <v>3077</v>
      </c>
      <c r="BI256" s="3070" t="s">
        <v>3235</v>
      </c>
      <c r="BJ256" s="3070" t="s">
        <v>3296</v>
      </c>
      <c r="BL256" s="3070" t="s">
        <v>5384</v>
      </c>
      <c r="BM256" s="3075">
        <v>44232</v>
      </c>
      <c r="BN256" s="3070">
        <v>3</v>
      </c>
      <c r="BO256" s="3070" t="s">
        <v>3253</v>
      </c>
      <c r="BR256" s="3070">
        <v>0</v>
      </c>
      <c r="BS256" s="3070" t="s">
        <v>3238</v>
      </c>
      <c r="BZ256" s="3073">
        <v>44153.927777777775</v>
      </c>
      <c r="CA256" s="3070">
        <v>2</v>
      </c>
      <c r="CD256" s="3070" t="s">
        <v>3239</v>
      </c>
      <c r="CF256" s="3070" t="s">
        <v>3091</v>
      </c>
      <c r="CH256" s="3070" t="s">
        <v>3240</v>
      </c>
      <c r="CI256" s="3070">
        <v>0</v>
      </c>
      <c r="CK256" s="3070" t="s">
        <v>3497</v>
      </c>
      <c r="CL256" s="3070" t="s">
        <v>3760</v>
      </c>
      <c r="CM256" s="3070">
        <v>1148378.8999999999</v>
      </c>
      <c r="CV256" s="3070" t="s">
        <v>3246</v>
      </c>
      <c r="CW256" s="3070" t="s">
        <v>5385</v>
      </c>
      <c r="CX256" s="3070" t="s">
        <v>3267</v>
      </c>
      <c r="CZ256" s="3070">
        <v>213894.57</v>
      </c>
      <c r="DA256" s="3070">
        <v>159426.93</v>
      </c>
      <c r="DB256" s="3070">
        <v>0</v>
      </c>
      <c r="DC256" s="3070">
        <v>0</v>
      </c>
      <c r="DD256" s="3070">
        <v>3290547602</v>
      </c>
      <c r="DE256" s="3070">
        <v>2764253109</v>
      </c>
      <c r="DF256" s="3070">
        <v>1464966739</v>
      </c>
      <c r="DG256" s="3070">
        <v>14938370</v>
      </c>
      <c r="DH256" s="3070">
        <v>1284348000</v>
      </c>
      <c r="DI256" s="3070">
        <v>1278128000</v>
      </c>
      <c r="DJ256" s="3070">
        <v>6220000</v>
      </c>
      <c r="DK256" s="3070">
        <v>0</v>
      </c>
      <c r="DL256" s="3070">
        <v>0</v>
      </c>
      <c r="DM256" s="3070">
        <v>25491817.620000001</v>
      </c>
      <c r="DN256" s="3070">
        <v>2764253109</v>
      </c>
      <c r="DP256" s="3070">
        <v>2764253109</v>
      </c>
    </row>
    <row r="257" spans="1:120">
      <c r="A257" s="3070">
        <v>256</v>
      </c>
      <c r="B257" s="3070" t="s">
        <v>3224</v>
      </c>
      <c r="C257" s="3070">
        <v>2</v>
      </c>
      <c r="E257" s="3070">
        <v>504</v>
      </c>
      <c r="F257" s="3070" t="s">
        <v>5386</v>
      </c>
      <c r="G257" s="3070" t="s">
        <v>5387</v>
      </c>
      <c r="H257" s="3070">
        <v>1459974</v>
      </c>
      <c r="I257" s="3070">
        <v>1459974</v>
      </c>
      <c r="J257" s="3070">
        <v>121.75</v>
      </c>
      <c r="K257" s="3070">
        <v>90.43</v>
      </c>
      <c r="L257" s="3070">
        <v>0</v>
      </c>
      <c r="M257" s="3070">
        <v>0</v>
      </c>
      <c r="N257" s="3070">
        <v>15194.44</v>
      </c>
      <c r="O257" s="3070">
        <v>1849923</v>
      </c>
      <c r="P257" s="3070">
        <v>11991.57</v>
      </c>
      <c r="Q257" s="3070">
        <v>1459974</v>
      </c>
      <c r="R257" s="3070" t="s">
        <v>3227</v>
      </c>
      <c r="S257" s="3070" t="s">
        <v>5388</v>
      </c>
      <c r="T257" s="3070" t="s">
        <v>3246</v>
      </c>
      <c r="U257" s="3070" t="s">
        <v>3259</v>
      </c>
      <c r="V257" s="3070" t="s">
        <v>3230</v>
      </c>
      <c r="Y257" s="3070">
        <v>439974</v>
      </c>
      <c r="Z257" s="3070">
        <v>439974</v>
      </c>
      <c r="AA257" s="3070">
        <v>439974</v>
      </c>
      <c r="AB257" s="3070">
        <v>0</v>
      </c>
      <c r="AC257" s="3070">
        <v>1020000</v>
      </c>
      <c r="AD257" s="3070">
        <v>1020000</v>
      </c>
      <c r="AE257" s="3070">
        <v>0</v>
      </c>
      <c r="AI257" s="3070" t="s">
        <v>3227</v>
      </c>
      <c r="AJ257" s="3070">
        <v>0</v>
      </c>
      <c r="AK257" s="3070">
        <v>0</v>
      </c>
      <c r="AL257" s="3070">
        <v>0</v>
      </c>
      <c r="AM257" s="3070">
        <v>11991.57</v>
      </c>
      <c r="AN257" s="3070">
        <v>1459974</v>
      </c>
      <c r="AP257" s="3070">
        <v>1459974</v>
      </c>
      <c r="AQ257" s="3072">
        <v>45230</v>
      </c>
      <c r="AT257" s="3073">
        <v>45770</v>
      </c>
      <c r="AV257" s="3070" t="s">
        <v>5389</v>
      </c>
      <c r="AW257" s="3070" t="s">
        <v>5390</v>
      </c>
      <c r="AX257" s="3070" t="s">
        <v>5391</v>
      </c>
      <c r="AY257" s="3070" t="s">
        <v>4065</v>
      </c>
      <c r="BA257" s="3070" t="s">
        <v>4065</v>
      </c>
      <c r="BC257" s="3070" t="s">
        <v>5392</v>
      </c>
      <c r="BD257" s="3070" t="s">
        <v>3075</v>
      </c>
      <c r="BI257" s="3070" t="s">
        <v>3295</v>
      </c>
      <c r="BL257" s="3070" t="s">
        <v>5393</v>
      </c>
      <c r="BM257" s="3075">
        <v>44232</v>
      </c>
      <c r="BN257" s="3070">
        <v>4</v>
      </c>
      <c r="BO257" s="3070" t="s">
        <v>3253</v>
      </c>
      <c r="BR257" s="3070">
        <v>19</v>
      </c>
      <c r="BS257" s="3070" t="s">
        <v>3238</v>
      </c>
      <c r="BU257" s="3070" t="s">
        <v>4065</v>
      </c>
      <c r="BZ257" s="3073">
        <v>44213.910416666666</v>
      </c>
      <c r="CA257" s="3070">
        <v>2</v>
      </c>
      <c r="CD257" s="3070" t="s">
        <v>3239</v>
      </c>
      <c r="CF257" s="3070" t="s">
        <v>3091</v>
      </c>
      <c r="CH257" s="3070" t="s">
        <v>3240</v>
      </c>
      <c r="CI257" s="3070">
        <v>0</v>
      </c>
      <c r="CK257" s="3070" t="s">
        <v>4068</v>
      </c>
      <c r="CL257" s="3070" t="s">
        <v>4242</v>
      </c>
      <c r="CM257" s="3070">
        <v>1339425.69</v>
      </c>
      <c r="CV257" s="3070" t="s">
        <v>3246</v>
      </c>
      <c r="CW257" s="3070" t="s">
        <v>5394</v>
      </c>
      <c r="CZ257" s="3070">
        <v>213894.57</v>
      </c>
      <c r="DA257" s="3070">
        <v>159426.93</v>
      </c>
      <c r="DB257" s="3070">
        <v>0</v>
      </c>
      <c r="DC257" s="3070">
        <v>0</v>
      </c>
      <c r="DD257" s="3070">
        <v>3290547602</v>
      </c>
      <c r="DE257" s="3070">
        <v>2764253109</v>
      </c>
      <c r="DF257" s="3070">
        <v>1464966739</v>
      </c>
      <c r="DG257" s="3070">
        <v>14938370</v>
      </c>
      <c r="DH257" s="3070">
        <v>1284348000</v>
      </c>
      <c r="DI257" s="3070">
        <v>1278128000</v>
      </c>
      <c r="DJ257" s="3070">
        <v>6220000</v>
      </c>
      <c r="DK257" s="3070">
        <v>0</v>
      </c>
      <c r="DL257" s="3070">
        <v>0</v>
      </c>
      <c r="DM257" s="3070">
        <v>25491817.620000001</v>
      </c>
      <c r="DN257" s="3070">
        <v>2764253109</v>
      </c>
      <c r="DP257" s="3070">
        <v>2764253109</v>
      </c>
    </row>
    <row r="258" spans="1:120">
      <c r="A258" s="3070">
        <v>257</v>
      </c>
      <c r="B258" s="3070" t="s">
        <v>3224</v>
      </c>
      <c r="C258" s="3070">
        <v>2</v>
      </c>
      <c r="E258" s="3070">
        <v>601</v>
      </c>
      <c r="F258" s="3070" t="s">
        <v>5395</v>
      </c>
      <c r="G258" s="3070" t="s">
        <v>5396</v>
      </c>
      <c r="H258" s="3070">
        <v>1494493</v>
      </c>
      <c r="I258" s="3070">
        <v>1494493</v>
      </c>
      <c r="J258" s="3070">
        <v>121.75</v>
      </c>
      <c r="K258" s="3070">
        <v>90.43</v>
      </c>
      <c r="L258" s="3070">
        <v>0</v>
      </c>
      <c r="M258" s="3070">
        <v>0</v>
      </c>
      <c r="N258" s="3070">
        <v>15194.44</v>
      </c>
      <c r="O258" s="3070">
        <v>1849923</v>
      </c>
      <c r="P258" s="3070">
        <v>12275.1</v>
      </c>
      <c r="Q258" s="3070">
        <v>1494493</v>
      </c>
      <c r="R258" s="3070" t="s">
        <v>3227</v>
      </c>
      <c r="S258" s="3070" t="s">
        <v>5397</v>
      </c>
      <c r="T258" s="3070" t="s">
        <v>3246</v>
      </c>
      <c r="U258" s="3070" t="s">
        <v>3247</v>
      </c>
      <c r="V258" s="3070" t="s">
        <v>3230</v>
      </c>
      <c r="Y258" s="3070">
        <v>494493</v>
      </c>
      <c r="Z258" s="3070">
        <v>494493</v>
      </c>
      <c r="AA258" s="3070">
        <v>494493</v>
      </c>
      <c r="AB258" s="3070">
        <v>0</v>
      </c>
      <c r="AC258" s="3070">
        <v>1000000</v>
      </c>
      <c r="AD258" s="3070">
        <v>1000000</v>
      </c>
      <c r="AE258" s="3070">
        <v>0</v>
      </c>
      <c r="AI258" s="3070" t="s">
        <v>3227</v>
      </c>
      <c r="AJ258" s="3070">
        <v>0</v>
      </c>
      <c r="AK258" s="3070">
        <v>0</v>
      </c>
      <c r="AL258" s="3070">
        <v>0</v>
      </c>
      <c r="AM258" s="3070">
        <v>12275.1</v>
      </c>
      <c r="AN258" s="3070">
        <v>1494493</v>
      </c>
      <c r="AP258" s="3070">
        <v>1494493</v>
      </c>
      <c r="AQ258" s="3072">
        <v>45230</v>
      </c>
      <c r="AT258" s="3073">
        <v>45770</v>
      </c>
      <c r="AV258" s="3070" t="s">
        <v>5398</v>
      </c>
      <c r="AW258" s="3070" t="s">
        <v>5399</v>
      </c>
      <c r="AX258" s="3070" t="s">
        <v>5400</v>
      </c>
      <c r="AY258" s="3070" t="s">
        <v>3419</v>
      </c>
      <c r="BC258" s="3070" t="s">
        <v>3284</v>
      </c>
      <c r="BD258" s="3070" t="s">
        <v>3075</v>
      </c>
      <c r="BI258" s="3070" t="s">
        <v>3235</v>
      </c>
      <c r="BJ258" s="3070" t="s">
        <v>3338</v>
      </c>
      <c r="BL258" s="3070" t="s">
        <v>5401</v>
      </c>
      <c r="BM258" s="3075">
        <v>44233</v>
      </c>
      <c r="BN258" s="3070">
        <v>1</v>
      </c>
      <c r="BO258" s="3070" t="s">
        <v>3253</v>
      </c>
      <c r="BR258" s="3070">
        <v>22</v>
      </c>
      <c r="BS258" s="3070" t="s">
        <v>3238</v>
      </c>
      <c r="BZ258" s="3073">
        <v>44142.59375</v>
      </c>
      <c r="CA258" s="3070">
        <v>2</v>
      </c>
      <c r="CD258" s="3070" t="s">
        <v>3239</v>
      </c>
      <c r="CF258" s="3070" t="s">
        <v>3091</v>
      </c>
      <c r="CH258" s="3070" t="s">
        <v>3240</v>
      </c>
      <c r="CI258" s="3070">
        <v>0</v>
      </c>
      <c r="CK258" s="3070" t="s">
        <v>3419</v>
      </c>
      <c r="CL258" s="3070" t="s">
        <v>3419</v>
      </c>
      <c r="CM258" s="3070">
        <v>1371094.5</v>
      </c>
      <c r="CV258" s="3070" t="s">
        <v>3246</v>
      </c>
      <c r="CW258" s="3070" t="s">
        <v>5402</v>
      </c>
      <c r="CZ258" s="3070">
        <v>213894.57</v>
      </c>
      <c r="DA258" s="3070">
        <v>159426.93</v>
      </c>
      <c r="DB258" s="3070">
        <v>0</v>
      </c>
      <c r="DC258" s="3070">
        <v>0</v>
      </c>
      <c r="DD258" s="3070">
        <v>3290547602</v>
      </c>
      <c r="DE258" s="3070">
        <v>2764253109</v>
      </c>
      <c r="DF258" s="3070">
        <v>1464966739</v>
      </c>
      <c r="DG258" s="3070">
        <v>14938370</v>
      </c>
      <c r="DH258" s="3070">
        <v>1284348000</v>
      </c>
      <c r="DI258" s="3070">
        <v>1278128000</v>
      </c>
      <c r="DJ258" s="3070">
        <v>6220000</v>
      </c>
      <c r="DK258" s="3070">
        <v>0</v>
      </c>
      <c r="DL258" s="3070">
        <v>0</v>
      </c>
      <c r="DM258" s="3070">
        <v>25491817.620000001</v>
      </c>
      <c r="DN258" s="3070">
        <v>2764253109</v>
      </c>
      <c r="DP258" s="3070">
        <v>2764253109</v>
      </c>
    </row>
    <row r="259" spans="1:120">
      <c r="A259" s="3070">
        <v>258</v>
      </c>
      <c r="B259" s="3070" t="s">
        <v>3224</v>
      </c>
      <c r="C259" s="3070">
        <v>2</v>
      </c>
      <c r="E259" s="3070">
        <v>602</v>
      </c>
      <c r="F259" s="3070" t="s">
        <v>5403</v>
      </c>
      <c r="G259" s="3070" t="s">
        <v>5404</v>
      </c>
      <c r="H259" s="3070">
        <v>1306339</v>
      </c>
      <c r="I259" s="3070">
        <v>1306339</v>
      </c>
      <c r="J259" s="3070">
        <v>101.58</v>
      </c>
      <c r="K259" s="3070">
        <v>75.45</v>
      </c>
      <c r="L259" s="3070">
        <v>0</v>
      </c>
      <c r="M259" s="3070">
        <v>0</v>
      </c>
      <c r="N259" s="3070">
        <v>15294.44</v>
      </c>
      <c r="O259" s="3070">
        <v>1553609</v>
      </c>
      <c r="P259" s="3070">
        <v>12860.2</v>
      </c>
      <c r="Q259" s="3070">
        <v>1306339</v>
      </c>
      <c r="R259" s="3070" t="s">
        <v>3227</v>
      </c>
      <c r="S259" s="3070" t="s">
        <v>5405</v>
      </c>
      <c r="T259" s="3070" t="s">
        <v>3246</v>
      </c>
      <c r="U259" s="3070" t="s">
        <v>3247</v>
      </c>
      <c r="V259" s="3070" t="s">
        <v>3230</v>
      </c>
      <c r="Y259" s="3070">
        <v>396339</v>
      </c>
      <c r="Z259" s="3070">
        <v>130634</v>
      </c>
      <c r="AA259" s="3070">
        <v>396339</v>
      </c>
      <c r="AB259" s="3070">
        <v>0</v>
      </c>
      <c r="AC259" s="3070">
        <v>910000</v>
      </c>
      <c r="AD259" s="3070">
        <v>910000</v>
      </c>
      <c r="AE259" s="3070">
        <v>0</v>
      </c>
      <c r="AI259" s="3070" t="s">
        <v>3227</v>
      </c>
      <c r="AJ259" s="3070">
        <v>0</v>
      </c>
      <c r="AK259" s="3070">
        <v>0</v>
      </c>
      <c r="AL259" s="3070">
        <v>0</v>
      </c>
      <c r="AM259" s="3070">
        <v>12860.2</v>
      </c>
      <c r="AN259" s="3070">
        <v>1306339</v>
      </c>
      <c r="AP259" s="3070">
        <v>1306339</v>
      </c>
      <c r="AQ259" s="3072">
        <v>45230</v>
      </c>
      <c r="AT259" s="3073">
        <v>45770</v>
      </c>
      <c r="AV259" s="3074">
        <v>5.1E+17</v>
      </c>
      <c r="AW259" s="3070" t="s">
        <v>5406</v>
      </c>
      <c r="AX259" s="3070" t="s">
        <v>5407</v>
      </c>
      <c r="AY259" s="3070" t="s">
        <v>3429</v>
      </c>
      <c r="BC259" s="3070" t="s">
        <v>5408</v>
      </c>
      <c r="BD259" s="3070" t="s">
        <v>3077</v>
      </c>
      <c r="BI259" s="3070" t="s">
        <v>3235</v>
      </c>
      <c r="BL259" s="3070" t="s">
        <v>5409</v>
      </c>
      <c r="BM259" s="3075">
        <v>44233</v>
      </c>
      <c r="BN259" s="3070">
        <v>2</v>
      </c>
      <c r="BO259" s="3070" t="s">
        <v>3253</v>
      </c>
      <c r="BR259" s="3070">
        <v>0</v>
      </c>
      <c r="BS259" s="3070" t="s">
        <v>3238</v>
      </c>
      <c r="BZ259" s="3073">
        <v>44156.486805555556</v>
      </c>
      <c r="CA259" s="3070">
        <v>2</v>
      </c>
      <c r="CD259" s="3070" t="s">
        <v>3239</v>
      </c>
      <c r="CF259" s="3070" t="s">
        <v>3091</v>
      </c>
      <c r="CH259" s="3070" t="s">
        <v>3240</v>
      </c>
      <c r="CI259" s="3070">
        <v>0</v>
      </c>
      <c r="CK259" s="3070" t="s">
        <v>3429</v>
      </c>
      <c r="CL259" s="3070" t="s">
        <v>3429</v>
      </c>
      <c r="CM259" s="3070">
        <v>1198476.1499999999</v>
      </c>
      <c r="CV259" s="3070" t="s">
        <v>3246</v>
      </c>
      <c r="CW259" s="3070" t="s">
        <v>5410</v>
      </c>
      <c r="CX259" s="3070" t="s">
        <v>3242</v>
      </c>
      <c r="CZ259" s="3070">
        <v>213894.57</v>
      </c>
      <c r="DA259" s="3070">
        <v>159426.93</v>
      </c>
      <c r="DB259" s="3070">
        <v>0</v>
      </c>
      <c r="DC259" s="3070">
        <v>0</v>
      </c>
      <c r="DD259" s="3070">
        <v>3290547602</v>
      </c>
      <c r="DE259" s="3070">
        <v>2764253109</v>
      </c>
      <c r="DF259" s="3070">
        <v>1464966739</v>
      </c>
      <c r="DG259" s="3070">
        <v>14938370</v>
      </c>
      <c r="DH259" s="3070">
        <v>1284348000</v>
      </c>
      <c r="DI259" s="3070">
        <v>1278128000</v>
      </c>
      <c r="DJ259" s="3070">
        <v>6220000</v>
      </c>
      <c r="DK259" s="3070">
        <v>0</v>
      </c>
      <c r="DL259" s="3070">
        <v>0</v>
      </c>
      <c r="DM259" s="3070">
        <v>25491817.620000001</v>
      </c>
      <c r="DN259" s="3070">
        <v>2764253109</v>
      </c>
      <c r="DP259" s="3070">
        <v>2764253109</v>
      </c>
    </row>
    <row r="260" spans="1:120">
      <c r="A260" s="3070">
        <v>259</v>
      </c>
      <c r="B260" s="3070" t="s">
        <v>3224</v>
      </c>
      <c r="C260" s="3070">
        <v>2</v>
      </c>
      <c r="E260" s="3070">
        <v>603</v>
      </c>
      <c r="F260" s="3070" t="s">
        <v>5411</v>
      </c>
      <c r="G260" s="3070" t="s">
        <v>5412</v>
      </c>
      <c r="H260" s="3070">
        <v>1256561</v>
      </c>
      <c r="I260" s="3070">
        <v>1256561</v>
      </c>
      <c r="J260" s="3070">
        <v>101.58</v>
      </c>
      <c r="K260" s="3070">
        <v>75.45</v>
      </c>
      <c r="L260" s="3070">
        <v>0</v>
      </c>
      <c r="M260" s="3070">
        <v>0</v>
      </c>
      <c r="N260" s="3070">
        <v>15294.44</v>
      </c>
      <c r="O260" s="3070">
        <v>1553609</v>
      </c>
      <c r="P260" s="3070">
        <v>12370.16</v>
      </c>
      <c r="Q260" s="3070">
        <v>1256561</v>
      </c>
      <c r="R260" s="3070" t="s">
        <v>3227</v>
      </c>
      <c r="S260" s="3070" t="s">
        <v>5413</v>
      </c>
      <c r="T260" s="3070" t="s">
        <v>3258</v>
      </c>
      <c r="U260" s="3070" t="s">
        <v>3259</v>
      </c>
      <c r="V260" s="3070" t="s">
        <v>3230</v>
      </c>
      <c r="Y260" s="3070">
        <v>406561</v>
      </c>
      <c r="Z260" s="3070">
        <v>386561</v>
      </c>
      <c r="AA260" s="3070">
        <v>406561</v>
      </c>
      <c r="AB260" s="3070">
        <v>0</v>
      </c>
      <c r="AC260" s="3070">
        <v>850000</v>
      </c>
      <c r="AD260" s="3070">
        <v>850000</v>
      </c>
      <c r="AE260" s="3070">
        <v>0</v>
      </c>
      <c r="AI260" s="3070" t="s">
        <v>3227</v>
      </c>
      <c r="AJ260" s="3070">
        <v>0</v>
      </c>
      <c r="AK260" s="3070">
        <v>0</v>
      </c>
      <c r="AL260" s="3070">
        <v>0</v>
      </c>
      <c r="AM260" s="3070">
        <v>12370.16</v>
      </c>
      <c r="AN260" s="3070">
        <v>1256561</v>
      </c>
      <c r="AP260" s="3070">
        <v>1256561</v>
      </c>
      <c r="AQ260" s="3072">
        <v>45230</v>
      </c>
      <c r="AT260" s="3073">
        <v>45770</v>
      </c>
      <c r="AV260" s="3070" t="s">
        <v>5414</v>
      </c>
      <c r="AW260" s="3070" t="s">
        <v>5415</v>
      </c>
      <c r="AX260" s="3070" t="s">
        <v>5416</v>
      </c>
      <c r="AY260" s="3070" t="s">
        <v>3722</v>
      </c>
      <c r="BC260" s="3070" t="s">
        <v>3263</v>
      </c>
      <c r="BD260" s="3070" t="s">
        <v>3077</v>
      </c>
      <c r="BI260" s="3070" t="s">
        <v>3235</v>
      </c>
      <c r="BJ260" s="3070" t="s">
        <v>3236</v>
      </c>
      <c r="BL260" s="3070" t="s">
        <v>5417</v>
      </c>
      <c r="BM260" s="3075">
        <v>44233</v>
      </c>
      <c r="BN260" s="3070">
        <v>3</v>
      </c>
      <c r="BO260" s="3070" t="s">
        <v>3253</v>
      </c>
      <c r="BP260" s="3070" t="s">
        <v>3253</v>
      </c>
      <c r="BR260" s="3070">
        <v>143</v>
      </c>
      <c r="BS260" s="3070" t="s">
        <v>3238</v>
      </c>
      <c r="BZ260" s="3073">
        <v>44144.53125</v>
      </c>
      <c r="CA260" s="3070">
        <v>2</v>
      </c>
      <c r="CD260" s="3070" t="s">
        <v>3239</v>
      </c>
      <c r="CF260" s="3070" t="s">
        <v>3091</v>
      </c>
      <c r="CH260" s="3070" t="s">
        <v>3240</v>
      </c>
      <c r="CI260" s="3070">
        <v>0</v>
      </c>
      <c r="CJ260" s="3070" t="s">
        <v>3259</v>
      </c>
      <c r="CK260" s="3070" t="s">
        <v>3722</v>
      </c>
      <c r="CL260" s="3070" t="s">
        <v>3722</v>
      </c>
      <c r="CM260" s="3070">
        <v>1152808.26</v>
      </c>
      <c r="CV260" s="3070" t="s">
        <v>3258</v>
      </c>
      <c r="CW260" s="3070" t="s">
        <v>5418</v>
      </c>
      <c r="CX260" s="3070" t="s">
        <v>3510</v>
      </c>
      <c r="CZ260" s="3070">
        <v>213894.57</v>
      </c>
      <c r="DA260" s="3070">
        <v>159426.93</v>
      </c>
      <c r="DB260" s="3070">
        <v>0</v>
      </c>
      <c r="DC260" s="3070">
        <v>0</v>
      </c>
      <c r="DD260" s="3070">
        <v>3290547602</v>
      </c>
      <c r="DE260" s="3070">
        <v>2764253109</v>
      </c>
      <c r="DF260" s="3070">
        <v>1464966739</v>
      </c>
      <c r="DG260" s="3070">
        <v>14938370</v>
      </c>
      <c r="DH260" s="3070">
        <v>1284348000</v>
      </c>
      <c r="DI260" s="3070">
        <v>1278128000</v>
      </c>
      <c r="DJ260" s="3070">
        <v>6220000</v>
      </c>
      <c r="DK260" s="3070">
        <v>0</v>
      </c>
      <c r="DL260" s="3070">
        <v>0</v>
      </c>
      <c r="DM260" s="3070">
        <v>25491817.620000001</v>
      </c>
      <c r="DN260" s="3070">
        <v>2764253109</v>
      </c>
      <c r="DP260" s="3070">
        <v>2764253109</v>
      </c>
    </row>
    <row r="261" spans="1:120">
      <c r="A261" s="3070">
        <v>260</v>
      </c>
      <c r="B261" s="3070" t="s">
        <v>3224</v>
      </c>
      <c r="C261" s="3070">
        <v>2</v>
      </c>
      <c r="E261" s="3070">
        <v>604</v>
      </c>
      <c r="F261" s="3070" t="s">
        <v>5419</v>
      </c>
      <c r="G261" s="3070" t="s">
        <v>5420</v>
      </c>
      <c r="H261" s="3070">
        <v>1500280</v>
      </c>
      <c r="I261" s="3070">
        <v>1500280</v>
      </c>
      <c r="J261" s="3070">
        <v>121.75</v>
      </c>
      <c r="K261" s="3070">
        <v>90.43</v>
      </c>
      <c r="L261" s="3070">
        <v>0</v>
      </c>
      <c r="M261" s="3070">
        <v>0</v>
      </c>
      <c r="N261" s="3070">
        <v>15244.44</v>
      </c>
      <c r="O261" s="3070">
        <v>1856011</v>
      </c>
      <c r="P261" s="3070">
        <v>12322.63</v>
      </c>
      <c r="Q261" s="3070">
        <v>1500280</v>
      </c>
      <c r="R261" s="3070" t="s">
        <v>3227</v>
      </c>
      <c r="S261" s="3070" t="s">
        <v>5421</v>
      </c>
      <c r="T261" s="3070" t="s">
        <v>3246</v>
      </c>
      <c r="U261" s="3070" t="s">
        <v>3467</v>
      </c>
      <c r="V261" s="3070" t="s">
        <v>3230</v>
      </c>
      <c r="Y261" s="3070">
        <v>450280</v>
      </c>
      <c r="Z261" s="3070">
        <v>450280</v>
      </c>
      <c r="AA261" s="3070">
        <v>450280</v>
      </c>
      <c r="AB261" s="3070">
        <v>0</v>
      </c>
      <c r="AC261" s="3070">
        <v>1050000</v>
      </c>
      <c r="AD261" s="3070">
        <v>1050000</v>
      </c>
      <c r="AE261" s="3070">
        <v>0</v>
      </c>
      <c r="AI261" s="3070" t="s">
        <v>3227</v>
      </c>
      <c r="AJ261" s="3070">
        <v>0</v>
      </c>
      <c r="AK261" s="3070">
        <v>0</v>
      </c>
      <c r="AL261" s="3070">
        <v>0</v>
      </c>
      <c r="AM261" s="3070">
        <v>12322.63</v>
      </c>
      <c r="AN261" s="3070">
        <v>1500280</v>
      </c>
      <c r="AP261" s="3070">
        <v>1500280</v>
      </c>
      <c r="AQ261" s="3072">
        <v>45230</v>
      </c>
      <c r="AT261" s="3073">
        <v>45770</v>
      </c>
      <c r="AV261" s="3070" t="s">
        <v>5422</v>
      </c>
      <c r="AW261" s="3070" t="s">
        <v>5423</v>
      </c>
      <c r="AX261" s="3070" t="s">
        <v>5424</v>
      </c>
      <c r="AY261" s="3070" t="s">
        <v>3294</v>
      </c>
      <c r="BC261" s="3070" t="s">
        <v>3284</v>
      </c>
      <c r="BD261" s="3070" t="s">
        <v>3075</v>
      </c>
      <c r="BI261" s="3070" t="s">
        <v>3235</v>
      </c>
      <c r="BJ261" s="3070" t="s">
        <v>3338</v>
      </c>
      <c r="BL261" s="3070" t="s">
        <v>5425</v>
      </c>
      <c r="BM261" s="3075">
        <v>44233</v>
      </c>
      <c r="BN261" s="3070">
        <v>4</v>
      </c>
      <c r="BO261" s="3070" t="s">
        <v>3253</v>
      </c>
      <c r="BR261" s="3070">
        <v>533</v>
      </c>
      <c r="BS261" s="3070" t="s">
        <v>3238</v>
      </c>
      <c r="BZ261" s="3073">
        <v>44150.646527777775</v>
      </c>
      <c r="CA261" s="3070">
        <v>2</v>
      </c>
      <c r="CD261" s="3070" t="s">
        <v>3239</v>
      </c>
      <c r="CF261" s="3070" t="s">
        <v>3091</v>
      </c>
      <c r="CH261" s="3070" t="s">
        <v>3240</v>
      </c>
      <c r="CI261" s="3070">
        <v>0</v>
      </c>
      <c r="CK261" s="3070" t="s">
        <v>3294</v>
      </c>
      <c r="CL261" s="3070" t="s">
        <v>3294</v>
      </c>
      <c r="CM261" s="3070">
        <v>1376403.67</v>
      </c>
      <c r="CV261" s="3070" t="s">
        <v>3246</v>
      </c>
      <c r="CW261" s="3070" t="s">
        <v>5426</v>
      </c>
      <c r="CZ261" s="3070">
        <v>213894.57</v>
      </c>
      <c r="DA261" s="3070">
        <v>159426.93</v>
      </c>
      <c r="DB261" s="3070">
        <v>0</v>
      </c>
      <c r="DC261" s="3070">
        <v>0</v>
      </c>
      <c r="DD261" s="3070">
        <v>3290547602</v>
      </c>
      <c r="DE261" s="3070">
        <v>2764253109</v>
      </c>
      <c r="DF261" s="3070">
        <v>1464966739</v>
      </c>
      <c r="DG261" s="3070">
        <v>14938370</v>
      </c>
      <c r="DH261" s="3070">
        <v>1284348000</v>
      </c>
      <c r="DI261" s="3070">
        <v>1278128000</v>
      </c>
      <c r="DJ261" s="3070">
        <v>6220000</v>
      </c>
      <c r="DK261" s="3070">
        <v>0</v>
      </c>
      <c r="DL261" s="3070">
        <v>0</v>
      </c>
      <c r="DM261" s="3070">
        <v>25491817.620000001</v>
      </c>
      <c r="DN261" s="3070">
        <v>2764253109</v>
      </c>
      <c r="DP261" s="3070">
        <v>2764253109</v>
      </c>
    </row>
    <row r="262" spans="1:120">
      <c r="A262" s="3070">
        <v>261</v>
      </c>
      <c r="B262" s="3070" t="s">
        <v>3224</v>
      </c>
      <c r="C262" s="3070">
        <v>2</v>
      </c>
      <c r="E262" s="3070">
        <v>701</v>
      </c>
      <c r="F262" s="3070" t="s">
        <v>5427</v>
      </c>
      <c r="G262" s="3070" t="s">
        <v>3385</v>
      </c>
      <c r="H262" s="3070">
        <v>1500280</v>
      </c>
      <c r="I262" s="3070">
        <v>1500280</v>
      </c>
      <c r="J262" s="3070">
        <v>121.75</v>
      </c>
      <c r="K262" s="3070">
        <v>90.43</v>
      </c>
      <c r="L262" s="3070">
        <v>0</v>
      </c>
      <c r="M262" s="3070">
        <v>0</v>
      </c>
      <c r="N262" s="3070">
        <v>15244.44</v>
      </c>
      <c r="O262" s="3070">
        <v>1856011</v>
      </c>
      <c r="P262" s="3070">
        <v>12322.63</v>
      </c>
      <c r="Q262" s="3070">
        <v>1500280</v>
      </c>
      <c r="R262" s="3070" t="s">
        <v>3227</v>
      </c>
      <c r="S262" s="3070" t="s">
        <v>5428</v>
      </c>
      <c r="T262" s="3070" t="s">
        <v>3258</v>
      </c>
      <c r="U262" s="3070" t="s">
        <v>3259</v>
      </c>
      <c r="V262" s="3070" t="s">
        <v>3230</v>
      </c>
      <c r="Y262" s="3070">
        <v>900280</v>
      </c>
      <c r="Z262" s="3070">
        <v>900280</v>
      </c>
      <c r="AA262" s="3070">
        <v>900280</v>
      </c>
      <c r="AB262" s="3070">
        <v>0</v>
      </c>
      <c r="AC262" s="3070">
        <v>600000</v>
      </c>
      <c r="AD262" s="3070">
        <v>600000</v>
      </c>
      <c r="AE262" s="3070">
        <v>0</v>
      </c>
      <c r="AI262" s="3070" t="s">
        <v>3227</v>
      </c>
      <c r="AJ262" s="3070">
        <v>0</v>
      </c>
      <c r="AK262" s="3070">
        <v>0</v>
      </c>
      <c r="AL262" s="3070">
        <v>0</v>
      </c>
      <c r="AM262" s="3070">
        <v>12322.63</v>
      </c>
      <c r="AN262" s="3070">
        <v>1500280</v>
      </c>
      <c r="AP262" s="3070">
        <v>1500280</v>
      </c>
      <c r="AQ262" s="3072">
        <v>45230</v>
      </c>
      <c r="AT262" s="3073">
        <v>45770</v>
      </c>
      <c r="AV262" s="3074">
        <v>3.21E+17</v>
      </c>
      <c r="AW262" s="3070" t="s">
        <v>5429</v>
      </c>
      <c r="AX262" s="3070" t="s">
        <v>5430</v>
      </c>
      <c r="AY262" s="3070" t="s">
        <v>3607</v>
      </c>
      <c r="BC262" s="3070" t="s">
        <v>3263</v>
      </c>
      <c r="BD262" s="3070" t="s">
        <v>3075</v>
      </c>
      <c r="BI262" s="3070" t="s">
        <v>3235</v>
      </c>
      <c r="BL262" s="3070" t="s">
        <v>5431</v>
      </c>
      <c r="BM262" s="3075">
        <v>44234</v>
      </c>
      <c r="BN262" s="3070">
        <v>1</v>
      </c>
      <c r="BO262" s="3070" t="s">
        <v>3253</v>
      </c>
      <c r="BP262" s="3070" t="s">
        <v>3253</v>
      </c>
      <c r="BR262" s="3070">
        <v>597</v>
      </c>
      <c r="BS262" s="3070" t="s">
        <v>3238</v>
      </c>
      <c r="BZ262" s="3073">
        <v>44142.616666666669</v>
      </c>
      <c r="CA262" s="3070">
        <v>2</v>
      </c>
      <c r="CD262" s="3070" t="s">
        <v>3239</v>
      </c>
      <c r="CF262" s="3070" t="s">
        <v>3091</v>
      </c>
      <c r="CH262" s="3070" t="s">
        <v>3240</v>
      </c>
      <c r="CI262" s="3070">
        <v>0</v>
      </c>
      <c r="CJ262" s="3070" t="s">
        <v>3259</v>
      </c>
      <c r="CK262" s="3070" t="s">
        <v>3607</v>
      </c>
      <c r="CL262" s="3070" t="s">
        <v>3607</v>
      </c>
      <c r="CM262" s="3070">
        <v>1376403.67</v>
      </c>
      <c r="CV262" s="3070" t="s">
        <v>3258</v>
      </c>
      <c r="CW262" s="3070" t="s">
        <v>5432</v>
      </c>
      <c r="CX262" s="3070" t="s">
        <v>3267</v>
      </c>
      <c r="CZ262" s="3070">
        <v>213894.57</v>
      </c>
      <c r="DA262" s="3070">
        <v>159426.93</v>
      </c>
      <c r="DB262" s="3070">
        <v>0</v>
      </c>
      <c r="DC262" s="3070">
        <v>0</v>
      </c>
      <c r="DD262" s="3070">
        <v>3290547602</v>
      </c>
      <c r="DE262" s="3070">
        <v>2764253109</v>
      </c>
      <c r="DF262" s="3070">
        <v>1464966739</v>
      </c>
      <c r="DG262" s="3070">
        <v>14938370</v>
      </c>
      <c r="DH262" s="3070">
        <v>1284348000</v>
      </c>
      <c r="DI262" s="3070">
        <v>1278128000</v>
      </c>
      <c r="DJ262" s="3070">
        <v>6220000</v>
      </c>
      <c r="DK262" s="3070">
        <v>0</v>
      </c>
      <c r="DL262" s="3070">
        <v>0</v>
      </c>
      <c r="DM262" s="3070">
        <v>25491817.620000001</v>
      </c>
      <c r="DN262" s="3070">
        <v>2764253109</v>
      </c>
      <c r="DP262" s="3070">
        <v>2764253109</v>
      </c>
    </row>
    <row r="263" spans="1:120">
      <c r="A263" s="3070">
        <v>262</v>
      </c>
      <c r="B263" s="3070" t="s">
        <v>3224</v>
      </c>
      <c r="C263" s="3070">
        <v>2</v>
      </c>
      <c r="E263" s="3070">
        <v>702</v>
      </c>
      <c r="F263" s="3070" t="s">
        <v>5433</v>
      </c>
      <c r="G263" s="3070" t="s">
        <v>5434</v>
      </c>
      <c r="H263" s="3070">
        <v>1261389</v>
      </c>
      <c r="I263" s="3070">
        <v>1261389</v>
      </c>
      <c r="J263" s="3070">
        <v>101.58</v>
      </c>
      <c r="K263" s="3070">
        <v>75.45</v>
      </c>
      <c r="L263" s="3070">
        <v>0</v>
      </c>
      <c r="M263" s="3070">
        <v>0</v>
      </c>
      <c r="N263" s="3070">
        <v>15344.44</v>
      </c>
      <c r="O263" s="3070">
        <v>1558688</v>
      </c>
      <c r="P263" s="3070">
        <v>12417.69</v>
      </c>
      <c r="Q263" s="3070">
        <v>1261389</v>
      </c>
      <c r="R263" s="3070" t="s">
        <v>3227</v>
      </c>
      <c r="S263" s="3070" t="s">
        <v>5435</v>
      </c>
      <c r="T263" s="3070" t="s">
        <v>3246</v>
      </c>
      <c r="U263" s="3070" t="s">
        <v>3259</v>
      </c>
      <c r="V263" s="3070" t="s">
        <v>3230</v>
      </c>
      <c r="Y263" s="3070">
        <v>381389</v>
      </c>
      <c r="Z263" s="3070">
        <v>126139</v>
      </c>
      <c r="AA263" s="3070">
        <v>381389</v>
      </c>
      <c r="AB263" s="3070">
        <v>0</v>
      </c>
      <c r="AC263" s="3070">
        <v>880000</v>
      </c>
      <c r="AD263" s="3070">
        <v>880000</v>
      </c>
      <c r="AE263" s="3070">
        <v>0</v>
      </c>
      <c r="AI263" s="3070" t="s">
        <v>3227</v>
      </c>
      <c r="AJ263" s="3070">
        <v>0</v>
      </c>
      <c r="AK263" s="3070">
        <v>0</v>
      </c>
      <c r="AL263" s="3070">
        <v>0</v>
      </c>
      <c r="AM263" s="3070">
        <v>12417.69</v>
      </c>
      <c r="AN263" s="3070">
        <v>1261389</v>
      </c>
      <c r="AP263" s="3070">
        <v>1261389</v>
      </c>
      <c r="AQ263" s="3072">
        <v>45230</v>
      </c>
      <c r="AT263" s="3073">
        <v>45770</v>
      </c>
      <c r="AV263" s="3070" t="s">
        <v>5436</v>
      </c>
      <c r="AW263" s="3070" t="s">
        <v>5437</v>
      </c>
      <c r="AX263" s="3070" t="s">
        <v>5438</v>
      </c>
      <c r="AY263" s="3070" t="s">
        <v>3337</v>
      </c>
      <c r="BC263" s="3070" t="s">
        <v>3284</v>
      </c>
      <c r="BD263" s="3070" t="s">
        <v>3077</v>
      </c>
      <c r="BI263" s="3070" t="s">
        <v>3235</v>
      </c>
      <c r="BJ263" s="3070" t="s">
        <v>3328</v>
      </c>
      <c r="BL263" s="3070" t="s">
        <v>5439</v>
      </c>
      <c r="BM263" s="3075">
        <v>44234</v>
      </c>
      <c r="BN263" s="3070">
        <v>2</v>
      </c>
      <c r="BO263" s="3070" t="s">
        <v>3253</v>
      </c>
      <c r="BR263" s="3070">
        <v>0</v>
      </c>
      <c r="BS263" s="3070" t="s">
        <v>3238</v>
      </c>
      <c r="BZ263" s="3073">
        <v>44153.886111111111</v>
      </c>
      <c r="CA263" s="3070">
        <v>2</v>
      </c>
      <c r="CD263" s="3070" t="s">
        <v>3239</v>
      </c>
      <c r="CF263" s="3070" t="s">
        <v>3091</v>
      </c>
      <c r="CH263" s="3070" t="s">
        <v>3240</v>
      </c>
      <c r="CI263" s="3070">
        <v>0</v>
      </c>
      <c r="CK263" s="3070" t="s">
        <v>3337</v>
      </c>
      <c r="CL263" s="3070" t="s">
        <v>3337</v>
      </c>
      <c r="CM263" s="3070">
        <v>1157237.6100000001</v>
      </c>
      <c r="CV263" s="3070" t="s">
        <v>3246</v>
      </c>
      <c r="CW263" s="3070" t="s">
        <v>5440</v>
      </c>
      <c r="CX263" s="3070" t="s">
        <v>3311</v>
      </c>
      <c r="CZ263" s="3070">
        <v>213894.57</v>
      </c>
      <c r="DA263" s="3070">
        <v>159426.93</v>
      </c>
      <c r="DB263" s="3070">
        <v>0</v>
      </c>
      <c r="DC263" s="3070">
        <v>0</v>
      </c>
      <c r="DD263" s="3070">
        <v>3290547602</v>
      </c>
      <c r="DE263" s="3070">
        <v>2764253109</v>
      </c>
      <c r="DF263" s="3070">
        <v>1464966739</v>
      </c>
      <c r="DG263" s="3070">
        <v>14938370</v>
      </c>
      <c r="DH263" s="3070">
        <v>1284348000</v>
      </c>
      <c r="DI263" s="3070">
        <v>1278128000</v>
      </c>
      <c r="DJ263" s="3070">
        <v>6220000</v>
      </c>
      <c r="DK263" s="3070">
        <v>0</v>
      </c>
      <c r="DL263" s="3070">
        <v>0</v>
      </c>
      <c r="DM263" s="3070">
        <v>25491817.620000001</v>
      </c>
      <c r="DN263" s="3070">
        <v>2764253109</v>
      </c>
      <c r="DP263" s="3070">
        <v>2764253109</v>
      </c>
    </row>
    <row r="264" spans="1:120">
      <c r="A264" s="3070">
        <v>263</v>
      </c>
      <c r="B264" s="3070" t="s">
        <v>3224</v>
      </c>
      <c r="C264" s="3070">
        <v>2</v>
      </c>
      <c r="E264" s="3070">
        <v>703</v>
      </c>
      <c r="F264" s="3070" t="s">
        <v>5441</v>
      </c>
      <c r="G264" s="3070" t="s">
        <v>5442</v>
      </c>
      <c r="H264" s="3070">
        <v>1248775</v>
      </c>
      <c r="I264" s="3070">
        <v>1248775</v>
      </c>
      <c r="J264" s="3070">
        <v>101.58</v>
      </c>
      <c r="K264" s="3070">
        <v>75.45</v>
      </c>
      <c r="L264" s="3070">
        <v>0</v>
      </c>
      <c r="M264" s="3070">
        <v>0</v>
      </c>
      <c r="N264" s="3070">
        <v>15344.44</v>
      </c>
      <c r="O264" s="3070">
        <v>1558688</v>
      </c>
      <c r="P264" s="3070">
        <v>12293.51</v>
      </c>
      <c r="Q264" s="3070">
        <v>1248775</v>
      </c>
      <c r="R264" s="3070" t="s">
        <v>3227</v>
      </c>
      <c r="S264" s="3070" t="s">
        <v>5443</v>
      </c>
      <c r="T264" s="3070" t="s">
        <v>3229</v>
      </c>
      <c r="V264" s="3070" t="s">
        <v>3230</v>
      </c>
      <c r="Y264" s="3070">
        <v>374633</v>
      </c>
      <c r="Z264" s="3070">
        <v>374633</v>
      </c>
      <c r="AA264" s="3070">
        <v>1248775</v>
      </c>
      <c r="AB264" s="3070">
        <v>0</v>
      </c>
      <c r="AC264" s="3070">
        <v>0</v>
      </c>
      <c r="AD264" s="3070">
        <v>0</v>
      </c>
      <c r="AE264" s="3070">
        <v>0</v>
      </c>
      <c r="AI264" s="3070" t="s">
        <v>3227</v>
      </c>
      <c r="AJ264" s="3070">
        <v>0</v>
      </c>
      <c r="AK264" s="3070">
        <v>0</v>
      </c>
      <c r="AL264" s="3070">
        <v>0</v>
      </c>
      <c r="AM264" s="3070">
        <v>12293.51</v>
      </c>
      <c r="AN264" s="3070">
        <v>1248775</v>
      </c>
      <c r="AP264" s="3070">
        <v>1248775</v>
      </c>
      <c r="AQ264" s="3072">
        <v>45230</v>
      </c>
      <c r="AT264" s="3073">
        <v>45770</v>
      </c>
      <c r="AV264" s="3070" t="s">
        <v>5444</v>
      </c>
      <c r="AW264" s="3070" t="s">
        <v>5445</v>
      </c>
      <c r="AX264" s="3070" t="s">
        <v>5446</v>
      </c>
      <c r="AY264" s="3070" t="s">
        <v>3318</v>
      </c>
      <c r="BC264" s="3070" t="s">
        <v>3347</v>
      </c>
      <c r="BD264" s="3070" t="s">
        <v>3077</v>
      </c>
      <c r="BI264" s="3070" t="s">
        <v>3235</v>
      </c>
      <c r="BJ264" s="3070" t="s">
        <v>3598</v>
      </c>
      <c r="BL264" s="3070" t="s">
        <v>5447</v>
      </c>
      <c r="BM264" s="3075">
        <v>44234</v>
      </c>
      <c r="BN264" s="3070">
        <v>3</v>
      </c>
      <c r="BR264" s="3070">
        <v>194</v>
      </c>
      <c r="BS264" s="3070" t="s">
        <v>3238</v>
      </c>
      <c r="BZ264" s="3073">
        <v>44142.60833333333</v>
      </c>
      <c r="CA264" s="3070">
        <v>2</v>
      </c>
      <c r="CD264" s="3070" t="s">
        <v>3239</v>
      </c>
      <c r="CF264" s="3070" t="s">
        <v>3091</v>
      </c>
      <c r="CH264" s="3070" t="s">
        <v>3240</v>
      </c>
      <c r="CI264" s="3070">
        <v>0</v>
      </c>
      <c r="CK264" s="3070" t="s">
        <v>3318</v>
      </c>
      <c r="CL264" s="3070" t="s">
        <v>3318</v>
      </c>
      <c r="CM264" s="3070">
        <v>1145665.1399999999</v>
      </c>
      <c r="CV264" s="3070" t="s">
        <v>3229</v>
      </c>
      <c r="CW264" s="3070" t="s">
        <v>5448</v>
      </c>
      <c r="CZ264" s="3070">
        <v>213894.57</v>
      </c>
      <c r="DA264" s="3070">
        <v>159426.93</v>
      </c>
      <c r="DB264" s="3070">
        <v>0</v>
      </c>
      <c r="DC264" s="3070">
        <v>0</v>
      </c>
      <c r="DD264" s="3070">
        <v>3290547602</v>
      </c>
      <c r="DE264" s="3070">
        <v>2764253109</v>
      </c>
      <c r="DF264" s="3070">
        <v>1464966739</v>
      </c>
      <c r="DG264" s="3070">
        <v>14938370</v>
      </c>
      <c r="DH264" s="3070">
        <v>1284348000</v>
      </c>
      <c r="DI264" s="3070">
        <v>1278128000</v>
      </c>
      <c r="DJ264" s="3070">
        <v>6220000</v>
      </c>
      <c r="DK264" s="3070">
        <v>0</v>
      </c>
      <c r="DL264" s="3070">
        <v>0</v>
      </c>
      <c r="DM264" s="3070">
        <v>25491817.620000001</v>
      </c>
      <c r="DN264" s="3070">
        <v>2764253109</v>
      </c>
      <c r="DP264" s="3070">
        <v>2764253109</v>
      </c>
    </row>
    <row r="265" spans="1:120">
      <c r="A265" s="3070">
        <v>264</v>
      </c>
      <c r="B265" s="3070" t="s">
        <v>3224</v>
      </c>
      <c r="C265" s="3070">
        <v>2</v>
      </c>
      <c r="E265" s="3070">
        <v>704</v>
      </c>
      <c r="F265" s="3070" t="s">
        <v>5449</v>
      </c>
      <c r="G265" s="3070" t="s">
        <v>5450</v>
      </c>
      <c r="H265" s="3070">
        <v>1106960</v>
      </c>
      <c r="I265" s="3070">
        <v>1475946</v>
      </c>
      <c r="J265" s="3070">
        <v>121.75</v>
      </c>
      <c r="K265" s="3070">
        <v>90.43</v>
      </c>
      <c r="L265" s="3070">
        <v>0</v>
      </c>
      <c r="M265" s="3070">
        <v>0</v>
      </c>
      <c r="N265" s="3070">
        <v>15294.44</v>
      </c>
      <c r="O265" s="3070">
        <v>1862098</v>
      </c>
      <c r="P265" s="3070">
        <v>12122.76</v>
      </c>
      <c r="Q265" s="3070">
        <v>1475946</v>
      </c>
      <c r="R265" s="3070" t="s">
        <v>3227</v>
      </c>
      <c r="S265" s="3070" t="s">
        <v>5451</v>
      </c>
      <c r="T265" s="3070" t="s">
        <v>3302</v>
      </c>
      <c r="V265" s="3070" t="s">
        <v>3230</v>
      </c>
      <c r="Y265" s="3070">
        <v>147595</v>
      </c>
      <c r="Z265" s="3070">
        <v>147595</v>
      </c>
      <c r="AA265" s="3070">
        <v>1106960</v>
      </c>
      <c r="AB265" s="3070">
        <v>368986</v>
      </c>
      <c r="AC265" s="3070">
        <v>0</v>
      </c>
      <c r="AD265" s="3070">
        <v>0</v>
      </c>
      <c r="AE265" s="3070">
        <v>0</v>
      </c>
      <c r="AI265" s="3070" t="s">
        <v>3227</v>
      </c>
      <c r="AJ265" s="3070">
        <v>0</v>
      </c>
      <c r="AK265" s="3070">
        <v>0</v>
      </c>
      <c r="AL265" s="3070">
        <v>0</v>
      </c>
      <c r="AM265" s="3070">
        <v>12122.76</v>
      </c>
      <c r="AN265" s="3070">
        <v>1475946</v>
      </c>
      <c r="AP265" s="3070">
        <v>1475946</v>
      </c>
      <c r="AQ265" s="3072">
        <v>45230</v>
      </c>
      <c r="AT265" s="3073">
        <v>45770</v>
      </c>
      <c r="AV265" s="3070" t="s">
        <v>5452</v>
      </c>
      <c r="AW265" s="3070" t="s">
        <v>5453</v>
      </c>
      <c r="AX265" s="3070" t="s">
        <v>5454</v>
      </c>
      <c r="AY265" s="3070" t="s">
        <v>3648</v>
      </c>
      <c r="BC265" s="3070" t="s">
        <v>4285</v>
      </c>
      <c r="BD265" s="3070" t="s">
        <v>3075</v>
      </c>
      <c r="BI265" s="3070" t="s">
        <v>3235</v>
      </c>
      <c r="BJ265" s="3070" t="s">
        <v>3236</v>
      </c>
      <c r="BL265" s="3070" t="s">
        <v>5455</v>
      </c>
      <c r="BM265" s="3075">
        <v>44234</v>
      </c>
      <c r="BN265" s="3070">
        <v>4</v>
      </c>
      <c r="BR265" s="3070">
        <v>144</v>
      </c>
      <c r="BS265" s="3070" t="s">
        <v>3238</v>
      </c>
      <c r="BZ265" s="3073">
        <v>44142.6</v>
      </c>
      <c r="CA265" s="3070">
        <v>2</v>
      </c>
      <c r="CD265" s="3070" t="s">
        <v>3239</v>
      </c>
      <c r="CF265" s="3070" t="s">
        <v>3091</v>
      </c>
      <c r="CH265" s="3070" t="s">
        <v>3240</v>
      </c>
      <c r="CI265" s="3070">
        <v>0</v>
      </c>
      <c r="CK265" s="3070" t="s">
        <v>3648</v>
      </c>
      <c r="CL265" s="3070" t="s">
        <v>3648</v>
      </c>
      <c r="CM265" s="3070">
        <v>1354078.9</v>
      </c>
      <c r="CV265" s="3070" t="s">
        <v>3309</v>
      </c>
      <c r="CW265" s="3070" t="s">
        <v>5456</v>
      </c>
      <c r="CX265" s="3070" t="s">
        <v>3242</v>
      </c>
      <c r="CZ265" s="3070">
        <v>213894.57</v>
      </c>
      <c r="DA265" s="3070">
        <v>159426.93</v>
      </c>
      <c r="DB265" s="3070">
        <v>0</v>
      </c>
      <c r="DC265" s="3070">
        <v>0</v>
      </c>
      <c r="DD265" s="3070">
        <v>3290547602</v>
      </c>
      <c r="DE265" s="3070">
        <v>2764253109</v>
      </c>
      <c r="DF265" s="3070">
        <v>1464966739</v>
      </c>
      <c r="DG265" s="3070">
        <v>14938370</v>
      </c>
      <c r="DH265" s="3070">
        <v>1284348000</v>
      </c>
      <c r="DI265" s="3070">
        <v>1278128000</v>
      </c>
      <c r="DJ265" s="3070">
        <v>6220000</v>
      </c>
      <c r="DK265" s="3070">
        <v>0</v>
      </c>
      <c r="DL265" s="3070">
        <v>0</v>
      </c>
      <c r="DM265" s="3070">
        <v>25491817.620000001</v>
      </c>
      <c r="DN265" s="3070">
        <v>2764253109</v>
      </c>
      <c r="DP265" s="3070">
        <v>2764253109</v>
      </c>
    </row>
    <row r="266" spans="1:120">
      <c r="A266" s="3070">
        <v>265</v>
      </c>
      <c r="B266" s="3070" t="s">
        <v>3224</v>
      </c>
      <c r="C266" s="3070">
        <v>2</v>
      </c>
      <c r="E266" s="3070">
        <v>801</v>
      </c>
      <c r="F266" s="3070" t="s">
        <v>5457</v>
      </c>
      <c r="G266" s="3070" t="s">
        <v>5458</v>
      </c>
      <c r="H266" s="3070">
        <v>1506067</v>
      </c>
      <c r="I266" s="3070">
        <v>1506067</v>
      </c>
      <c r="J266" s="3070">
        <v>121.75</v>
      </c>
      <c r="K266" s="3070">
        <v>90.43</v>
      </c>
      <c r="L266" s="3070">
        <v>0</v>
      </c>
      <c r="M266" s="3070">
        <v>0</v>
      </c>
      <c r="N266" s="3070">
        <v>15294.44</v>
      </c>
      <c r="O266" s="3070">
        <v>1862098</v>
      </c>
      <c r="P266" s="3070">
        <v>12370.16</v>
      </c>
      <c r="Q266" s="3070">
        <v>1506067</v>
      </c>
      <c r="R266" s="3070" t="s">
        <v>3227</v>
      </c>
      <c r="S266" s="3070" t="s">
        <v>5459</v>
      </c>
      <c r="T266" s="3070" t="s">
        <v>3258</v>
      </c>
      <c r="U266" s="3070" t="s">
        <v>3259</v>
      </c>
      <c r="V266" s="3070" t="s">
        <v>3230</v>
      </c>
      <c r="Y266" s="3070">
        <v>506067</v>
      </c>
      <c r="Z266" s="3070">
        <v>506067</v>
      </c>
      <c r="AA266" s="3070">
        <v>506067</v>
      </c>
      <c r="AB266" s="3070">
        <v>0</v>
      </c>
      <c r="AC266" s="3070">
        <v>1000000</v>
      </c>
      <c r="AD266" s="3070">
        <v>1000000</v>
      </c>
      <c r="AE266" s="3070">
        <v>0</v>
      </c>
      <c r="AI266" s="3070" t="s">
        <v>3227</v>
      </c>
      <c r="AJ266" s="3070">
        <v>0</v>
      </c>
      <c r="AK266" s="3070">
        <v>0</v>
      </c>
      <c r="AL266" s="3070">
        <v>0</v>
      </c>
      <c r="AM266" s="3070">
        <v>12370.16</v>
      </c>
      <c r="AN266" s="3070">
        <v>1506067</v>
      </c>
      <c r="AP266" s="3070">
        <v>1506067</v>
      </c>
      <c r="AQ266" s="3072">
        <v>45230</v>
      </c>
      <c r="AT266" s="3073">
        <v>45770</v>
      </c>
      <c r="AV266" s="3070" t="s">
        <v>5460</v>
      </c>
      <c r="AW266" s="3070" t="s">
        <v>5461</v>
      </c>
      <c r="AX266" s="3070" t="s">
        <v>5462</v>
      </c>
      <c r="AY266" s="3070" t="s">
        <v>3429</v>
      </c>
      <c r="BC266" s="3070" t="s">
        <v>3365</v>
      </c>
      <c r="BD266" s="3070" t="s">
        <v>3075</v>
      </c>
      <c r="BI266" s="3070" t="s">
        <v>3235</v>
      </c>
      <c r="BL266" s="3070" t="s">
        <v>5463</v>
      </c>
      <c r="BM266" s="3075">
        <v>44235</v>
      </c>
      <c r="BN266" s="3070">
        <v>1</v>
      </c>
      <c r="BO266" s="3070" t="s">
        <v>3253</v>
      </c>
      <c r="BP266" s="3070" t="s">
        <v>3253</v>
      </c>
      <c r="BR266" s="3070">
        <v>693</v>
      </c>
      <c r="BS266" s="3070" t="s">
        <v>3238</v>
      </c>
      <c r="BZ266" s="3073">
        <v>44142.654166666667</v>
      </c>
      <c r="CA266" s="3070">
        <v>2</v>
      </c>
      <c r="CD266" s="3070" t="s">
        <v>3239</v>
      </c>
      <c r="CF266" s="3070" t="s">
        <v>3091</v>
      </c>
      <c r="CH266" s="3070" t="s">
        <v>3240</v>
      </c>
      <c r="CI266" s="3070">
        <v>0</v>
      </c>
      <c r="CJ266" s="3070" t="s">
        <v>3259</v>
      </c>
      <c r="CK266" s="3070" t="s">
        <v>3429</v>
      </c>
      <c r="CL266" s="3070" t="s">
        <v>3429</v>
      </c>
      <c r="CM266" s="3070">
        <v>1381712.84</v>
      </c>
      <c r="CV266" s="3070" t="s">
        <v>3258</v>
      </c>
      <c r="CW266" s="3070" t="s">
        <v>5464</v>
      </c>
      <c r="CX266" s="3070" t="s">
        <v>3510</v>
      </c>
      <c r="CZ266" s="3070">
        <v>213894.57</v>
      </c>
      <c r="DA266" s="3070">
        <v>159426.93</v>
      </c>
      <c r="DB266" s="3070">
        <v>0</v>
      </c>
      <c r="DC266" s="3070">
        <v>0</v>
      </c>
      <c r="DD266" s="3070">
        <v>3290547602</v>
      </c>
      <c r="DE266" s="3070">
        <v>2764253109</v>
      </c>
      <c r="DF266" s="3070">
        <v>1464966739</v>
      </c>
      <c r="DG266" s="3070">
        <v>14938370</v>
      </c>
      <c r="DH266" s="3070">
        <v>1284348000</v>
      </c>
      <c r="DI266" s="3070">
        <v>1278128000</v>
      </c>
      <c r="DJ266" s="3070">
        <v>6220000</v>
      </c>
      <c r="DK266" s="3070">
        <v>0</v>
      </c>
      <c r="DL266" s="3070">
        <v>0</v>
      </c>
      <c r="DM266" s="3070">
        <v>25491817.620000001</v>
      </c>
      <c r="DN266" s="3070">
        <v>2764253109</v>
      </c>
      <c r="DP266" s="3070">
        <v>2764253109</v>
      </c>
    </row>
    <row r="267" spans="1:120">
      <c r="A267" s="3070">
        <v>266</v>
      </c>
      <c r="B267" s="3070" t="s">
        <v>3224</v>
      </c>
      <c r="C267" s="3070">
        <v>2</v>
      </c>
      <c r="E267" s="3070">
        <v>802</v>
      </c>
      <c r="F267" s="3070" t="s">
        <v>5465</v>
      </c>
      <c r="G267" s="3070" t="s">
        <v>5466</v>
      </c>
      <c r="H267" s="3070">
        <v>1266217</v>
      </c>
      <c r="I267" s="3070">
        <v>1266217</v>
      </c>
      <c r="J267" s="3070">
        <v>101.58</v>
      </c>
      <c r="K267" s="3070">
        <v>75.45</v>
      </c>
      <c r="L267" s="3070">
        <v>0</v>
      </c>
      <c r="M267" s="3070">
        <v>0</v>
      </c>
      <c r="N267" s="3070">
        <v>15394.44</v>
      </c>
      <c r="O267" s="3070">
        <v>1563767</v>
      </c>
      <c r="P267" s="3070">
        <v>12465.22</v>
      </c>
      <c r="Q267" s="3070">
        <v>1266217</v>
      </c>
      <c r="R267" s="3070" t="s">
        <v>3227</v>
      </c>
      <c r="S267" s="3070" t="s">
        <v>5467</v>
      </c>
      <c r="T267" s="3070" t="s">
        <v>3246</v>
      </c>
      <c r="U267" s="3070" t="s">
        <v>3247</v>
      </c>
      <c r="V267" s="3070" t="s">
        <v>3230</v>
      </c>
      <c r="Y267" s="3070">
        <v>626217</v>
      </c>
      <c r="Z267" s="3070">
        <v>626217</v>
      </c>
      <c r="AA267" s="3070">
        <v>626217</v>
      </c>
      <c r="AB267" s="3070">
        <v>0</v>
      </c>
      <c r="AC267" s="3070">
        <v>640000</v>
      </c>
      <c r="AD267" s="3070">
        <v>640000</v>
      </c>
      <c r="AE267" s="3070">
        <v>0</v>
      </c>
      <c r="AI267" s="3070" t="s">
        <v>3227</v>
      </c>
      <c r="AJ267" s="3070">
        <v>0</v>
      </c>
      <c r="AK267" s="3070">
        <v>0</v>
      </c>
      <c r="AL267" s="3070">
        <v>0</v>
      </c>
      <c r="AM267" s="3070">
        <v>12465.22</v>
      </c>
      <c r="AN267" s="3070">
        <v>1266217</v>
      </c>
      <c r="AP267" s="3070">
        <v>1266217</v>
      </c>
      <c r="AQ267" s="3072">
        <v>45230</v>
      </c>
      <c r="AT267" s="3073">
        <v>45770</v>
      </c>
      <c r="AV267" s="3070" t="s">
        <v>5468</v>
      </c>
      <c r="AW267" s="3070" t="s">
        <v>5469</v>
      </c>
      <c r="AX267" s="3070" t="s">
        <v>5470</v>
      </c>
      <c r="AY267" s="3070" t="s">
        <v>3273</v>
      </c>
      <c r="BA267" s="3070" t="s">
        <v>3273</v>
      </c>
      <c r="BC267" s="3070" t="s">
        <v>3284</v>
      </c>
      <c r="BD267" s="3070" t="s">
        <v>3077</v>
      </c>
      <c r="BI267" s="3070" t="s">
        <v>3235</v>
      </c>
      <c r="BJ267" s="3070" t="s">
        <v>3338</v>
      </c>
      <c r="BL267" s="3070" t="s">
        <v>5471</v>
      </c>
      <c r="BM267" s="3075">
        <v>44235</v>
      </c>
      <c r="BN267" s="3070">
        <v>2</v>
      </c>
      <c r="BO267" s="3070" t="s">
        <v>3253</v>
      </c>
      <c r="BR267" s="3070">
        <v>240</v>
      </c>
      <c r="BS267" s="3070" t="s">
        <v>3238</v>
      </c>
      <c r="BU267" s="3070" t="s">
        <v>3273</v>
      </c>
      <c r="BZ267" s="3073">
        <v>44149.656944444447</v>
      </c>
      <c r="CA267" s="3070">
        <v>2</v>
      </c>
      <c r="CD267" s="3070" t="s">
        <v>3239</v>
      </c>
      <c r="CF267" s="3070" t="s">
        <v>3091</v>
      </c>
      <c r="CH267" s="3070" t="s">
        <v>3240</v>
      </c>
      <c r="CI267" s="3070">
        <v>0</v>
      </c>
      <c r="CK267" s="3070" t="s">
        <v>3273</v>
      </c>
      <c r="CL267" s="3070" t="s">
        <v>3273</v>
      </c>
      <c r="CM267" s="3070">
        <v>1161666.97</v>
      </c>
      <c r="CV267" s="3070" t="s">
        <v>3246</v>
      </c>
      <c r="CW267" s="3070" t="s">
        <v>5472</v>
      </c>
      <c r="CZ267" s="3070">
        <v>213894.57</v>
      </c>
      <c r="DA267" s="3070">
        <v>159426.93</v>
      </c>
      <c r="DB267" s="3070">
        <v>0</v>
      </c>
      <c r="DC267" s="3070">
        <v>0</v>
      </c>
      <c r="DD267" s="3070">
        <v>3290547602</v>
      </c>
      <c r="DE267" s="3070">
        <v>2764253109</v>
      </c>
      <c r="DF267" s="3070">
        <v>1464966739</v>
      </c>
      <c r="DG267" s="3070">
        <v>14938370</v>
      </c>
      <c r="DH267" s="3070">
        <v>1284348000</v>
      </c>
      <c r="DI267" s="3070">
        <v>1278128000</v>
      </c>
      <c r="DJ267" s="3070">
        <v>6220000</v>
      </c>
      <c r="DK267" s="3070">
        <v>0</v>
      </c>
      <c r="DL267" s="3070">
        <v>0</v>
      </c>
      <c r="DM267" s="3070">
        <v>25491817.620000001</v>
      </c>
      <c r="DN267" s="3070">
        <v>2764253109</v>
      </c>
      <c r="DP267" s="3070">
        <v>2764253109</v>
      </c>
    </row>
    <row r="268" spans="1:120">
      <c r="A268" s="3070">
        <v>267</v>
      </c>
      <c r="B268" s="3070" t="s">
        <v>3224</v>
      </c>
      <c r="C268" s="3070">
        <v>2</v>
      </c>
      <c r="E268" s="3070">
        <v>803</v>
      </c>
      <c r="F268" s="3070" t="s">
        <v>5473</v>
      </c>
      <c r="G268" s="3070" t="s">
        <v>5474</v>
      </c>
      <c r="H268" s="3070">
        <v>1266217</v>
      </c>
      <c r="I268" s="3070">
        <v>1266217</v>
      </c>
      <c r="J268" s="3070">
        <v>101.58</v>
      </c>
      <c r="K268" s="3070">
        <v>75.45</v>
      </c>
      <c r="L268" s="3070">
        <v>0</v>
      </c>
      <c r="M268" s="3070">
        <v>0</v>
      </c>
      <c r="N268" s="3070">
        <v>15394.44</v>
      </c>
      <c r="O268" s="3070">
        <v>1563767</v>
      </c>
      <c r="P268" s="3070">
        <v>12465.22</v>
      </c>
      <c r="Q268" s="3070">
        <v>1266217</v>
      </c>
      <c r="R268" s="3070" t="s">
        <v>3227</v>
      </c>
      <c r="S268" s="3070" t="s">
        <v>5475</v>
      </c>
      <c r="T268" s="3070" t="s">
        <v>3246</v>
      </c>
      <c r="U268" s="3070" t="s">
        <v>3247</v>
      </c>
      <c r="V268" s="3070" t="s">
        <v>3230</v>
      </c>
      <c r="Y268" s="3070">
        <v>466217</v>
      </c>
      <c r="Z268" s="3070">
        <v>466217</v>
      </c>
      <c r="AA268" s="3070">
        <v>466217</v>
      </c>
      <c r="AB268" s="3070">
        <v>0</v>
      </c>
      <c r="AC268" s="3070">
        <v>800000</v>
      </c>
      <c r="AD268" s="3070">
        <v>800000</v>
      </c>
      <c r="AE268" s="3070">
        <v>0</v>
      </c>
      <c r="AI268" s="3070" t="s">
        <v>3227</v>
      </c>
      <c r="AJ268" s="3070">
        <v>0</v>
      </c>
      <c r="AK268" s="3070">
        <v>0</v>
      </c>
      <c r="AL268" s="3070">
        <v>0</v>
      </c>
      <c r="AM268" s="3070">
        <v>12465.22</v>
      </c>
      <c r="AN268" s="3070">
        <v>1266217</v>
      </c>
      <c r="AP268" s="3070">
        <v>1266217</v>
      </c>
      <c r="AQ268" s="3072">
        <v>45230</v>
      </c>
      <c r="AT268" s="3073">
        <v>45770</v>
      </c>
      <c r="AV268" s="3070" t="s">
        <v>5476</v>
      </c>
      <c r="AW268" s="3070" t="s">
        <v>5477</v>
      </c>
      <c r="AX268" s="3070" t="s">
        <v>5478</v>
      </c>
      <c r="AY268" s="3070" t="s">
        <v>3385</v>
      </c>
      <c r="BC268" s="3070" t="s">
        <v>3284</v>
      </c>
      <c r="BD268" s="3070" t="s">
        <v>3077</v>
      </c>
      <c r="BI268" s="3070" t="s">
        <v>3235</v>
      </c>
      <c r="BJ268" s="3070" t="s">
        <v>3338</v>
      </c>
      <c r="BL268" s="3070" t="s">
        <v>5479</v>
      </c>
      <c r="BM268" s="3075">
        <v>44235</v>
      </c>
      <c r="BN268" s="3070">
        <v>3</v>
      </c>
      <c r="BO268" s="3070" t="s">
        <v>3253</v>
      </c>
      <c r="BR268" s="3070">
        <v>246</v>
      </c>
      <c r="BS268" s="3070" t="s">
        <v>3238</v>
      </c>
      <c r="BZ268" s="3073">
        <v>44142.609722222223</v>
      </c>
      <c r="CA268" s="3070">
        <v>2</v>
      </c>
      <c r="CD268" s="3070" t="s">
        <v>3239</v>
      </c>
      <c r="CF268" s="3070" t="s">
        <v>3091</v>
      </c>
      <c r="CH268" s="3070" t="s">
        <v>3240</v>
      </c>
      <c r="CI268" s="3070">
        <v>0</v>
      </c>
      <c r="CK268" s="3070" t="s">
        <v>3385</v>
      </c>
      <c r="CL268" s="3070" t="s">
        <v>3385</v>
      </c>
      <c r="CM268" s="3070">
        <v>1161666.97</v>
      </c>
      <c r="CV268" s="3070" t="s">
        <v>3246</v>
      </c>
      <c r="CW268" s="3070" t="s">
        <v>5480</v>
      </c>
      <c r="CZ268" s="3070">
        <v>213894.57</v>
      </c>
      <c r="DA268" s="3070">
        <v>159426.93</v>
      </c>
      <c r="DB268" s="3070">
        <v>0</v>
      </c>
      <c r="DC268" s="3070">
        <v>0</v>
      </c>
      <c r="DD268" s="3070">
        <v>3290547602</v>
      </c>
      <c r="DE268" s="3070">
        <v>2764253109</v>
      </c>
      <c r="DF268" s="3070">
        <v>1464966739</v>
      </c>
      <c r="DG268" s="3070">
        <v>14938370</v>
      </c>
      <c r="DH268" s="3070">
        <v>1284348000</v>
      </c>
      <c r="DI268" s="3070">
        <v>1278128000</v>
      </c>
      <c r="DJ268" s="3070">
        <v>6220000</v>
      </c>
      <c r="DK268" s="3070">
        <v>0</v>
      </c>
      <c r="DL268" s="3070">
        <v>0</v>
      </c>
      <c r="DM268" s="3070">
        <v>25491817.620000001</v>
      </c>
      <c r="DN268" s="3070">
        <v>2764253109</v>
      </c>
      <c r="DP268" s="3070">
        <v>2764253109</v>
      </c>
    </row>
    <row r="269" spans="1:120">
      <c r="A269" s="3070">
        <v>268</v>
      </c>
      <c r="B269" s="3070" t="s">
        <v>3224</v>
      </c>
      <c r="C269" s="3070">
        <v>2</v>
      </c>
      <c r="E269" s="3070">
        <v>804</v>
      </c>
      <c r="F269" s="3070" t="s">
        <v>5481</v>
      </c>
      <c r="G269" s="3070" t="s">
        <v>5482</v>
      </c>
      <c r="H269" s="3070">
        <v>1511853</v>
      </c>
      <c r="I269" s="3070">
        <v>1511853</v>
      </c>
      <c r="J269" s="3070">
        <v>121.75</v>
      </c>
      <c r="K269" s="3070">
        <v>90.43</v>
      </c>
      <c r="L269" s="3070">
        <v>0</v>
      </c>
      <c r="M269" s="3070">
        <v>0</v>
      </c>
      <c r="N269" s="3070">
        <v>15344.44</v>
      </c>
      <c r="O269" s="3070">
        <v>1868186</v>
      </c>
      <c r="P269" s="3070">
        <v>12417.68</v>
      </c>
      <c r="Q269" s="3070">
        <v>1511853</v>
      </c>
      <c r="R269" s="3070" t="s">
        <v>3227</v>
      </c>
      <c r="S269" s="3070" t="s">
        <v>5483</v>
      </c>
      <c r="T269" s="3070" t="s">
        <v>3246</v>
      </c>
      <c r="U269" s="3070" t="s">
        <v>3259</v>
      </c>
      <c r="V269" s="3070" t="s">
        <v>3230</v>
      </c>
      <c r="Y269" s="3070">
        <v>601853</v>
      </c>
      <c r="Z269" s="3070">
        <v>601853</v>
      </c>
      <c r="AA269" s="3070">
        <v>601853</v>
      </c>
      <c r="AB269" s="3070">
        <v>0</v>
      </c>
      <c r="AC269" s="3070">
        <v>910000</v>
      </c>
      <c r="AD269" s="3070">
        <v>910000</v>
      </c>
      <c r="AE269" s="3070">
        <v>0</v>
      </c>
      <c r="AI269" s="3070" t="s">
        <v>3227</v>
      </c>
      <c r="AJ269" s="3070">
        <v>0</v>
      </c>
      <c r="AK269" s="3070">
        <v>0</v>
      </c>
      <c r="AL269" s="3070">
        <v>0</v>
      </c>
      <c r="AM269" s="3070">
        <v>12417.68</v>
      </c>
      <c r="AN269" s="3070">
        <v>1511853</v>
      </c>
      <c r="AP269" s="3070">
        <v>1511853</v>
      </c>
      <c r="AQ269" s="3072">
        <v>45230</v>
      </c>
      <c r="AT269" s="3073">
        <v>45770</v>
      </c>
      <c r="AV269" s="3074">
        <v>3.21E+17</v>
      </c>
      <c r="AW269" s="3070" t="s">
        <v>5484</v>
      </c>
      <c r="AX269" s="3070" t="s">
        <v>5485</v>
      </c>
      <c r="AY269" s="3070" t="s">
        <v>3497</v>
      </c>
      <c r="BC269" s="3070" t="s">
        <v>3284</v>
      </c>
      <c r="BD269" s="3070" t="s">
        <v>3075</v>
      </c>
      <c r="BI269" s="3070" t="s">
        <v>3235</v>
      </c>
      <c r="BJ269" s="3070" t="s">
        <v>3236</v>
      </c>
      <c r="BL269" s="3070" t="s">
        <v>5486</v>
      </c>
      <c r="BM269" s="3075">
        <v>44235</v>
      </c>
      <c r="BN269" s="3070">
        <v>4</v>
      </c>
      <c r="BO269" s="3070" t="s">
        <v>3253</v>
      </c>
      <c r="BR269" s="3070">
        <v>474</v>
      </c>
      <c r="BS269" s="3070" t="s">
        <v>3238</v>
      </c>
      <c r="BZ269" s="3073">
        <v>44143.679861111108</v>
      </c>
      <c r="CA269" s="3070">
        <v>2</v>
      </c>
      <c r="CD269" s="3070" t="s">
        <v>3239</v>
      </c>
      <c r="CF269" s="3070" t="s">
        <v>3091</v>
      </c>
      <c r="CH269" s="3070" t="s">
        <v>3240</v>
      </c>
      <c r="CI269" s="3070">
        <v>0</v>
      </c>
      <c r="CK269" s="3070" t="s">
        <v>3497</v>
      </c>
      <c r="CL269" s="3070" t="s">
        <v>3497</v>
      </c>
      <c r="CM269" s="3070">
        <v>1387021.1</v>
      </c>
      <c r="CV269" s="3070" t="s">
        <v>3246</v>
      </c>
      <c r="CW269" s="3070" t="s">
        <v>5487</v>
      </c>
      <c r="CX269" s="3070" t="s">
        <v>3510</v>
      </c>
      <c r="CZ269" s="3070">
        <v>213894.57</v>
      </c>
      <c r="DA269" s="3070">
        <v>159426.93</v>
      </c>
      <c r="DB269" s="3070">
        <v>0</v>
      </c>
      <c r="DC269" s="3070">
        <v>0</v>
      </c>
      <c r="DD269" s="3070">
        <v>3290547602</v>
      </c>
      <c r="DE269" s="3070">
        <v>2764253109</v>
      </c>
      <c r="DF269" s="3070">
        <v>1464966739</v>
      </c>
      <c r="DG269" s="3070">
        <v>14938370</v>
      </c>
      <c r="DH269" s="3070">
        <v>1284348000</v>
      </c>
      <c r="DI269" s="3070">
        <v>1278128000</v>
      </c>
      <c r="DJ269" s="3070">
        <v>6220000</v>
      </c>
      <c r="DK269" s="3070">
        <v>0</v>
      </c>
      <c r="DL269" s="3070">
        <v>0</v>
      </c>
      <c r="DM269" s="3070">
        <v>25491817.620000001</v>
      </c>
      <c r="DN269" s="3070">
        <v>2764253109</v>
      </c>
      <c r="DP269" s="3070">
        <v>2764253109</v>
      </c>
    </row>
    <row r="270" spans="1:120">
      <c r="A270" s="3070">
        <v>269</v>
      </c>
      <c r="B270" s="3070" t="s">
        <v>3224</v>
      </c>
      <c r="C270" s="3070">
        <v>2</v>
      </c>
      <c r="E270" s="3070">
        <v>901</v>
      </c>
      <c r="F270" s="3070" t="s">
        <v>5488</v>
      </c>
      <c r="G270" s="3070" t="s">
        <v>5489</v>
      </c>
      <c r="H270" s="3070">
        <v>1511853</v>
      </c>
      <c r="I270" s="3070">
        <v>1511853</v>
      </c>
      <c r="J270" s="3070">
        <v>121.75</v>
      </c>
      <c r="K270" s="3070">
        <v>90.43</v>
      </c>
      <c r="L270" s="3070">
        <v>0</v>
      </c>
      <c r="M270" s="3070">
        <v>0</v>
      </c>
      <c r="N270" s="3070">
        <v>15344.44</v>
      </c>
      <c r="O270" s="3070">
        <v>1868186</v>
      </c>
      <c r="P270" s="3070">
        <v>12417.68</v>
      </c>
      <c r="Q270" s="3070">
        <v>1511853</v>
      </c>
      <c r="R270" s="3070" t="s">
        <v>3227</v>
      </c>
      <c r="S270" s="3070" t="s">
        <v>5490</v>
      </c>
      <c r="T270" s="3070" t="s">
        <v>3246</v>
      </c>
      <c r="U270" s="3070" t="s">
        <v>3381</v>
      </c>
      <c r="V270" s="3070" t="s">
        <v>3230</v>
      </c>
      <c r="Y270" s="3070">
        <v>461853</v>
      </c>
      <c r="Z270" s="3070">
        <v>461853</v>
      </c>
      <c r="AA270" s="3070">
        <v>461853</v>
      </c>
      <c r="AB270" s="3070">
        <v>0</v>
      </c>
      <c r="AC270" s="3070">
        <v>1050000</v>
      </c>
      <c r="AD270" s="3070">
        <v>1050000</v>
      </c>
      <c r="AE270" s="3070">
        <v>0</v>
      </c>
      <c r="AI270" s="3070" t="s">
        <v>3227</v>
      </c>
      <c r="AJ270" s="3070">
        <v>0</v>
      </c>
      <c r="AK270" s="3070">
        <v>0</v>
      </c>
      <c r="AL270" s="3070">
        <v>0</v>
      </c>
      <c r="AM270" s="3070">
        <v>12417.68</v>
      </c>
      <c r="AN270" s="3070">
        <v>1511853</v>
      </c>
      <c r="AP270" s="3070">
        <v>1511853</v>
      </c>
      <c r="AQ270" s="3072">
        <v>45230</v>
      </c>
      <c r="AT270" s="3073">
        <v>45770</v>
      </c>
      <c r="AV270" s="3070" t="s">
        <v>5491</v>
      </c>
      <c r="AW270" s="3070" t="s">
        <v>5492</v>
      </c>
      <c r="AX270" s="3070" t="s">
        <v>5493</v>
      </c>
      <c r="AY270" s="3070" t="s">
        <v>4084</v>
      </c>
      <c r="BC270" s="3070" t="s">
        <v>3284</v>
      </c>
      <c r="BD270" s="3070" t="s">
        <v>3075</v>
      </c>
      <c r="BI270" s="3070" t="s">
        <v>3235</v>
      </c>
      <c r="BJ270" s="3070" t="s">
        <v>3338</v>
      </c>
      <c r="BL270" s="3070" t="s">
        <v>5494</v>
      </c>
      <c r="BM270" s="3075">
        <v>44236</v>
      </c>
      <c r="BN270" s="3070">
        <v>1</v>
      </c>
      <c r="BO270" s="3070" t="s">
        <v>3253</v>
      </c>
      <c r="BR270" s="3070">
        <v>662</v>
      </c>
      <c r="BS270" s="3070" t="s">
        <v>3238</v>
      </c>
      <c r="BZ270" s="3073">
        <v>44142.602083333331</v>
      </c>
      <c r="CA270" s="3070">
        <v>2</v>
      </c>
      <c r="CD270" s="3070" t="s">
        <v>3239</v>
      </c>
      <c r="CF270" s="3070" t="s">
        <v>3091</v>
      </c>
      <c r="CH270" s="3070" t="s">
        <v>3240</v>
      </c>
      <c r="CI270" s="3070">
        <v>0</v>
      </c>
      <c r="CK270" s="3070" t="s">
        <v>4084</v>
      </c>
      <c r="CL270" s="3070" t="s">
        <v>4084</v>
      </c>
      <c r="CM270" s="3070">
        <v>1387021.1</v>
      </c>
      <c r="CV270" s="3070" t="s">
        <v>3246</v>
      </c>
      <c r="CW270" s="3070" t="s">
        <v>5495</v>
      </c>
      <c r="CZ270" s="3070">
        <v>213894.57</v>
      </c>
      <c r="DA270" s="3070">
        <v>159426.93</v>
      </c>
      <c r="DB270" s="3070">
        <v>0</v>
      </c>
      <c r="DC270" s="3070">
        <v>0</v>
      </c>
      <c r="DD270" s="3070">
        <v>3290547602</v>
      </c>
      <c r="DE270" s="3070">
        <v>2764253109</v>
      </c>
      <c r="DF270" s="3070">
        <v>1464966739</v>
      </c>
      <c r="DG270" s="3070">
        <v>14938370</v>
      </c>
      <c r="DH270" s="3070">
        <v>1284348000</v>
      </c>
      <c r="DI270" s="3070">
        <v>1278128000</v>
      </c>
      <c r="DJ270" s="3070">
        <v>6220000</v>
      </c>
      <c r="DK270" s="3070">
        <v>0</v>
      </c>
      <c r="DL270" s="3070">
        <v>0</v>
      </c>
      <c r="DM270" s="3070">
        <v>25491817.620000001</v>
      </c>
      <c r="DN270" s="3070">
        <v>2764253109</v>
      </c>
      <c r="DP270" s="3070">
        <v>2764253109</v>
      </c>
    </row>
    <row r="271" spans="1:120">
      <c r="A271" s="3070">
        <v>270</v>
      </c>
      <c r="B271" s="3070" t="s">
        <v>3224</v>
      </c>
      <c r="C271" s="3070">
        <v>2</v>
      </c>
      <c r="E271" s="3070">
        <v>902</v>
      </c>
      <c r="F271" s="3070" t="s">
        <v>5496</v>
      </c>
      <c r="G271" s="3070" t="s">
        <v>5497</v>
      </c>
      <c r="H271" s="3070">
        <v>1346327</v>
      </c>
      <c r="I271" s="3070">
        <v>1346327</v>
      </c>
      <c r="J271" s="3070">
        <v>101.58</v>
      </c>
      <c r="K271" s="3070">
        <v>75.45</v>
      </c>
      <c r="L271" s="3070">
        <v>0</v>
      </c>
      <c r="M271" s="3070">
        <v>0</v>
      </c>
      <c r="N271" s="3070">
        <v>15444.44</v>
      </c>
      <c r="O271" s="3070">
        <v>1568846</v>
      </c>
      <c r="P271" s="3070">
        <v>13253.86</v>
      </c>
      <c r="Q271" s="3070">
        <v>1346327</v>
      </c>
      <c r="R271" s="3070" t="s">
        <v>3227</v>
      </c>
      <c r="S271" s="3070" t="s">
        <v>5498</v>
      </c>
      <c r="T271" s="3070" t="s">
        <v>3246</v>
      </c>
      <c r="U271" s="3070" t="s">
        <v>3539</v>
      </c>
      <c r="V271" s="3070" t="s">
        <v>3230</v>
      </c>
      <c r="Y271" s="3070">
        <v>646327</v>
      </c>
      <c r="Z271" s="3070">
        <v>134633</v>
      </c>
      <c r="AA271" s="3070">
        <v>646327</v>
      </c>
      <c r="AB271" s="3070">
        <v>0</v>
      </c>
      <c r="AC271" s="3070">
        <v>700000</v>
      </c>
      <c r="AD271" s="3070">
        <v>700000</v>
      </c>
      <c r="AE271" s="3070">
        <v>0</v>
      </c>
      <c r="AI271" s="3070" t="s">
        <v>3227</v>
      </c>
      <c r="AJ271" s="3070">
        <v>0</v>
      </c>
      <c r="AK271" s="3070">
        <v>0</v>
      </c>
      <c r="AL271" s="3070">
        <v>0</v>
      </c>
      <c r="AM271" s="3070">
        <v>13253.86</v>
      </c>
      <c r="AN271" s="3070">
        <v>1346327</v>
      </c>
      <c r="AP271" s="3070">
        <v>1346327</v>
      </c>
      <c r="AQ271" s="3072">
        <v>45230</v>
      </c>
      <c r="AT271" s="3073">
        <v>45770</v>
      </c>
      <c r="AV271" s="3070" t="s">
        <v>5499</v>
      </c>
      <c r="AW271" s="3070" t="s">
        <v>5500</v>
      </c>
      <c r="AX271" s="3070" t="s">
        <v>5501</v>
      </c>
      <c r="AY271" s="3070" t="s">
        <v>3346</v>
      </c>
      <c r="BA271" s="3070" t="s">
        <v>3346</v>
      </c>
      <c r="BC271" s="3070" t="s">
        <v>5502</v>
      </c>
      <c r="BD271" s="3070" t="s">
        <v>3077</v>
      </c>
      <c r="BI271" s="3070" t="s">
        <v>3295</v>
      </c>
      <c r="BL271" s="3070" t="s">
        <v>5503</v>
      </c>
      <c r="BM271" s="3075">
        <v>44236</v>
      </c>
      <c r="BN271" s="3070">
        <v>2</v>
      </c>
      <c r="BO271" s="3070" t="s">
        <v>3253</v>
      </c>
      <c r="BR271" s="3070">
        <v>13</v>
      </c>
      <c r="BS271" s="3070" t="s">
        <v>3238</v>
      </c>
      <c r="BT271" s="3070" t="s">
        <v>3481</v>
      </c>
      <c r="BU271" s="3070" t="s">
        <v>3346</v>
      </c>
      <c r="BZ271" s="3073">
        <v>44170.775000000001</v>
      </c>
      <c r="CA271" s="3070">
        <v>2</v>
      </c>
      <c r="CB271" s="3070" t="s">
        <v>3481</v>
      </c>
      <c r="CD271" s="3070" t="s">
        <v>3239</v>
      </c>
      <c r="CF271" s="3070" t="s">
        <v>3091</v>
      </c>
      <c r="CH271" s="3070" t="s">
        <v>3240</v>
      </c>
      <c r="CI271" s="3070">
        <v>0</v>
      </c>
      <c r="CK271" s="3070" t="s">
        <v>3346</v>
      </c>
      <c r="CL271" s="3070" t="s">
        <v>3346</v>
      </c>
      <c r="CM271" s="3070">
        <v>1235162.3799999999</v>
      </c>
      <c r="CV271" s="3070" t="s">
        <v>3246</v>
      </c>
      <c r="CW271" s="3070" t="s">
        <v>5504</v>
      </c>
      <c r="CZ271" s="3070">
        <v>213894.57</v>
      </c>
      <c r="DA271" s="3070">
        <v>159426.93</v>
      </c>
      <c r="DB271" s="3070">
        <v>0</v>
      </c>
      <c r="DC271" s="3070">
        <v>0</v>
      </c>
      <c r="DD271" s="3070">
        <v>3290547602</v>
      </c>
      <c r="DE271" s="3070">
        <v>2764253109</v>
      </c>
      <c r="DF271" s="3070">
        <v>1464966739</v>
      </c>
      <c r="DG271" s="3070">
        <v>14938370</v>
      </c>
      <c r="DH271" s="3070">
        <v>1284348000</v>
      </c>
      <c r="DI271" s="3070">
        <v>1278128000</v>
      </c>
      <c r="DJ271" s="3070">
        <v>6220000</v>
      </c>
      <c r="DK271" s="3070">
        <v>0</v>
      </c>
      <c r="DL271" s="3070">
        <v>0</v>
      </c>
      <c r="DM271" s="3070">
        <v>25491817.620000001</v>
      </c>
      <c r="DN271" s="3070">
        <v>2764253109</v>
      </c>
      <c r="DP271" s="3070">
        <v>2764253109</v>
      </c>
    </row>
    <row r="272" spans="1:120">
      <c r="A272" s="3070">
        <v>271</v>
      </c>
      <c r="B272" s="3070" t="s">
        <v>3224</v>
      </c>
      <c r="C272" s="3070">
        <v>2</v>
      </c>
      <c r="E272" s="3070">
        <v>903</v>
      </c>
      <c r="F272" s="3070" t="s">
        <v>5505</v>
      </c>
      <c r="G272" s="3070" t="s">
        <v>5506</v>
      </c>
      <c r="H272" s="3070">
        <v>1315123</v>
      </c>
      <c r="I272" s="3070">
        <v>1315123</v>
      </c>
      <c r="J272" s="3070">
        <v>101.58</v>
      </c>
      <c r="K272" s="3070">
        <v>75.45</v>
      </c>
      <c r="L272" s="3070">
        <v>0</v>
      </c>
      <c r="M272" s="3070">
        <v>0</v>
      </c>
      <c r="N272" s="3070">
        <v>15444.44</v>
      </c>
      <c r="O272" s="3070">
        <v>1568846</v>
      </c>
      <c r="P272" s="3070">
        <v>12946.67</v>
      </c>
      <c r="Q272" s="3070">
        <v>1315123</v>
      </c>
      <c r="R272" s="3070" t="s">
        <v>3227</v>
      </c>
      <c r="S272" s="3070" t="s">
        <v>5507</v>
      </c>
      <c r="T272" s="3070" t="s">
        <v>3229</v>
      </c>
      <c r="V272" s="3070" t="s">
        <v>3230</v>
      </c>
      <c r="Y272" s="3070">
        <v>395123</v>
      </c>
      <c r="Z272" s="3070">
        <v>395123</v>
      </c>
      <c r="AA272" s="3070">
        <v>1315123</v>
      </c>
      <c r="AB272" s="3070">
        <v>0</v>
      </c>
      <c r="AC272" s="3070">
        <v>0</v>
      </c>
      <c r="AD272" s="3070">
        <v>0</v>
      </c>
      <c r="AE272" s="3070">
        <v>0</v>
      </c>
      <c r="AI272" s="3070" t="s">
        <v>3227</v>
      </c>
      <c r="AJ272" s="3070">
        <v>0</v>
      </c>
      <c r="AK272" s="3070">
        <v>0</v>
      </c>
      <c r="AL272" s="3070">
        <v>0</v>
      </c>
      <c r="AM272" s="3070">
        <v>12946.67</v>
      </c>
      <c r="AN272" s="3070">
        <v>1315123</v>
      </c>
      <c r="AP272" s="3070">
        <v>1315123</v>
      </c>
      <c r="AQ272" s="3072">
        <v>45230</v>
      </c>
      <c r="AT272" s="3073">
        <v>45770</v>
      </c>
      <c r="AV272" s="3074">
        <v>3.21E+17</v>
      </c>
      <c r="AW272" s="3070" t="s">
        <v>5508</v>
      </c>
      <c r="AX272" s="3070" t="s">
        <v>5509</v>
      </c>
      <c r="AY272" s="3070" t="s">
        <v>3337</v>
      </c>
      <c r="BC272" s="3070" t="s">
        <v>5510</v>
      </c>
      <c r="BD272" s="3070" t="s">
        <v>3077</v>
      </c>
      <c r="BI272" s="3070" t="s">
        <v>3295</v>
      </c>
      <c r="BJ272" s="3070" t="s">
        <v>3296</v>
      </c>
      <c r="BL272" s="3070" t="s">
        <v>5511</v>
      </c>
      <c r="BM272" s="3075">
        <v>44236</v>
      </c>
      <c r="BN272" s="3070">
        <v>3</v>
      </c>
      <c r="BR272" s="3070">
        <v>63</v>
      </c>
      <c r="BS272" s="3070" t="s">
        <v>3238</v>
      </c>
      <c r="BZ272" s="3073">
        <v>44156.684027777781</v>
      </c>
      <c r="CA272" s="3070">
        <v>2</v>
      </c>
      <c r="CD272" s="3070" t="s">
        <v>3239</v>
      </c>
      <c r="CF272" s="3070" t="s">
        <v>3091</v>
      </c>
      <c r="CH272" s="3070" t="s">
        <v>3240</v>
      </c>
      <c r="CI272" s="3070">
        <v>0</v>
      </c>
      <c r="CK272" s="3070" t="s">
        <v>3337</v>
      </c>
      <c r="CL272" s="3070" t="s">
        <v>3337</v>
      </c>
      <c r="CM272" s="3070">
        <v>1206534.8600000001</v>
      </c>
      <c r="CV272" s="3070" t="s">
        <v>3229</v>
      </c>
      <c r="CW272" s="3070" t="s">
        <v>5512</v>
      </c>
      <c r="CZ272" s="3070">
        <v>213894.57</v>
      </c>
      <c r="DA272" s="3070">
        <v>159426.93</v>
      </c>
      <c r="DB272" s="3070">
        <v>0</v>
      </c>
      <c r="DC272" s="3070">
        <v>0</v>
      </c>
      <c r="DD272" s="3070">
        <v>3290547602</v>
      </c>
      <c r="DE272" s="3070">
        <v>2764253109</v>
      </c>
      <c r="DF272" s="3070">
        <v>1464966739</v>
      </c>
      <c r="DG272" s="3070">
        <v>14938370</v>
      </c>
      <c r="DH272" s="3070">
        <v>1284348000</v>
      </c>
      <c r="DI272" s="3070">
        <v>1278128000</v>
      </c>
      <c r="DJ272" s="3070">
        <v>6220000</v>
      </c>
      <c r="DK272" s="3070">
        <v>0</v>
      </c>
      <c r="DL272" s="3070">
        <v>0</v>
      </c>
      <c r="DM272" s="3070">
        <v>25491817.620000001</v>
      </c>
      <c r="DN272" s="3070">
        <v>2764253109</v>
      </c>
      <c r="DP272" s="3070">
        <v>2764253109</v>
      </c>
    </row>
    <row r="273" spans="1:120">
      <c r="A273" s="3070">
        <v>272</v>
      </c>
      <c r="B273" s="3070" t="s">
        <v>3224</v>
      </c>
      <c r="C273" s="3070">
        <v>2</v>
      </c>
      <c r="E273" s="3070">
        <v>904</v>
      </c>
      <c r="F273" s="3070" t="s">
        <v>5513</v>
      </c>
      <c r="G273" s="3070" t="s">
        <v>5514</v>
      </c>
      <c r="H273" s="3070">
        <v>1602019</v>
      </c>
      <c r="I273" s="3070">
        <v>1602019</v>
      </c>
      <c r="J273" s="3070">
        <v>121.75</v>
      </c>
      <c r="K273" s="3070">
        <v>90.43</v>
      </c>
      <c r="L273" s="3070">
        <v>0</v>
      </c>
      <c r="M273" s="3070">
        <v>0</v>
      </c>
      <c r="N273" s="3070">
        <v>15394.44</v>
      </c>
      <c r="O273" s="3070">
        <v>1874273</v>
      </c>
      <c r="P273" s="3070">
        <v>13158.27</v>
      </c>
      <c r="Q273" s="3070">
        <v>1602019</v>
      </c>
      <c r="R273" s="3070" t="s">
        <v>3227</v>
      </c>
      <c r="S273" s="3070" t="s">
        <v>5515</v>
      </c>
      <c r="T273" s="3070" t="s">
        <v>3476</v>
      </c>
      <c r="U273" s="3070" t="s">
        <v>3279</v>
      </c>
      <c r="V273" s="3070" t="s">
        <v>3230</v>
      </c>
      <c r="Y273" s="3070">
        <v>192242</v>
      </c>
      <c r="Z273" s="3070">
        <v>192242</v>
      </c>
      <c r="AA273" s="3070">
        <v>502019</v>
      </c>
      <c r="AB273" s="3070">
        <v>0</v>
      </c>
      <c r="AC273" s="3070">
        <v>1100000</v>
      </c>
      <c r="AD273" s="3070">
        <v>1100000</v>
      </c>
      <c r="AE273" s="3070">
        <v>0</v>
      </c>
      <c r="AI273" s="3070" t="s">
        <v>3227</v>
      </c>
      <c r="AJ273" s="3070">
        <v>0</v>
      </c>
      <c r="AK273" s="3070">
        <v>0</v>
      </c>
      <c r="AL273" s="3070">
        <v>0</v>
      </c>
      <c r="AM273" s="3070">
        <v>13158.27</v>
      </c>
      <c r="AN273" s="3070">
        <v>1602019</v>
      </c>
      <c r="AP273" s="3070">
        <v>1602019</v>
      </c>
      <c r="AQ273" s="3072">
        <v>45230</v>
      </c>
      <c r="AT273" s="3073">
        <v>45770</v>
      </c>
      <c r="AV273" s="3070" t="s">
        <v>5516</v>
      </c>
      <c r="AW273" s="3070" t="s">
        <v>5517</v>
      </c>
      <c r="AX273" s="3070" t="s">
        <v>5518</v>
      </c>
      <c r="AY273" s="3070" t="s">
        <v>4618</v>
      </c>
      <c r="BC273" s="3070" t="s">
        <v>5519</v>
      </c>
      <c r="BD273" s="3070" t="s">
        <v>3075</v>
      </c>
      <c r="BI273" s="3070" t="s">
        <v>3235</v>
      </c>
      <c r="BL273" s="3070" t="s">
        <v>5520</v>
      </c>
      <c r="BM273" s="3075">
        <v>44236</v>
      </c>
      <c r="BN273" s="3070">
        <v>4</v>
      </c>
      <c r="BO273" s="3070" t="s">
        <v>3253</v>
      </c>
      <c r="BR273" s="3070">
        <v>18</v>
      </c>
      <c r="BS273" s="3070" t="s">
        <v>3238</v>
      </c>
      <c r="BT273" s="3070" t="s">
        <v>3481</v>
      </c>
      <c r="BV273" s="3070" t="s">
        <v>5521</v>
      </c>
      <c r="BZ273" s="3073">
        <v>44185.789583333331</v>
      </c>
      <c r="CA273" s="3070">
        <v>2</v>
      </c>
      <c r="CB273" s="3070" t="s">
        <v>3481</v>
      </c>
      <c r="CD273" s="3070" t="s">
        <v>3239</v>
      </c>
      <c r="CF273" s="3070" t="s">
        <v>3091</v>
      </c>
      <c r="CH273" s="3070" t="s">
        <v>3240</v>
      </c>
      <c r="CI273" s="3070">
        <v>0</v>
      </c>
      <c r="CK273" s="3070" t="s">
        <v>4618</v>
      </c>
      <c r="CL273" s="3070" t="s">
        <v>4618</v>
      </c>
      <c r="CM273" s="3070">
        <v>1469742.2</v>
      </c>
      <c r="CV273" s="3070" t="s">
        <v>3482</v>
      </c>
      <c r="CW273" s="3070" t="s">
        <v>5522</v>
      </c>
      <c r="CX273" s="3070" t="s">
        <v>3510</v>
      </c>
      <c r="CZ273" s="3070">
        <v>213894.57</v>
      </c>
      <c r="DA273" s="3070">
        <v>159426.93</v>
      </c>
      <c r="DB273" s="3070">
        <v>0</v>
      </c>
      <c r="DC273" s="3070">
        <v>0</v>
      </c>
      <c r="DD273" s="3070">
        <v>3290547602</v>
      </c>
      <c r="DE273" s="3070">
        <v>2764253109</v>
      </c>
      <c r="DF273" s="3070">
        <v>1464966739</v>
      </c>
      <c r="DG273" s="3070">
        <v>14938370</v>
      </c>
      <c r="DH273" s="3070">
        <v>1284348000</v>
      </c>
      <c r="DI273" s="3070">
        <v>1278128000</v>
      </c>
      <c r="DJ273" s="3070">
        <v>6220000</v>
      </c>
      <c r="DK273" s="3070">
        <v>0</v>
      </c>
      <c r="DL273" s="3070">
        <v>0</v>
      </c>
      <c r="DM273" s="3070">
        <v>25491817.620000001</v>
      </c>
      <c r="DN273" s="3070">
        <v>2764253109</v>
      </c>
      <c r="DP273" s="3070">
        <v>2764253109</v>
      </c>
    </row>
    <row r="274" spans="1:120">
      <c r="A274" s="3070">
        <v>273</v>
      </c>
      <c r="B274" s="3070" t="s">
        <v>3224</v>
      </c>
      <c r="C274" s="3070">
        <v>3</v>
      </c>
      <c r="E274" s="3070">
        <v>1001</v>
      </c>
      <c r="F274" s="3070" t="s">
        <v>5523</v>
      </c>
      <c r="G274" s="3070" t="s">
        <v>5524</v>
      </c>
      <c r="H274" s="3070">
        <v>1457926</v>
      </c>
      <c r="I274" s="3070">
        <v>1457926</v>
      </c>
      <c r="J274" s="3070">
        <v>114.02</v>
      </c>
      <c r="K274" s="3070">
        <v>82.85</v>
      </c>
      <c r="L274" s="3070">
        <v>0</v>
      </c>
      <c r="M274" s="3070">
        <v>0</v>
      </c>
      <c r="N274" s="3070">
        <v>15444.44</v>
      </c>
      <c r="O274" s="3070">
        <v>1760975</v>
      </c>
      <c r="P274" s="3070">
        <v>12786.58</v>
      </c>
      <c r="Q274" s="3070">
        <v>1457926</v>
      </c>
      <c r="R274" s="3070" t="s">
        <v>3227</v>
      </c>
      <c r="S274" s="3070" t="s">
        <v>5525</v>
      </c>
      <c r="T274" s="3070" t="s">
        <v>3246</v>
      </c>
      <c r="U274" s="3070" t="s">
        <v>3279</v>
      </c>
      <c r="V274" s="3070" t="s">
        <v>3230</v>
      </c>
      <c r="Y274" s="3070">
        <v>707926</v>
      </c>
      <c r="Z274" s="3070">
        <v>145793</v>
      </c>
      <c r="AA274" s="3070">
        <v>707926</v>
      </c>
      <c r="AB274" s="3070">
        <v>0</v>
      </c>
      <c r="AC274" s="3070">
        <v>750000</v>
      </c>
      <c r="AD274" s="3070">
        <v>750000</v>
      </c>
      <c r="AE274" s="3070">
        <v>0</v>
      </c>
      <c r="AI274" s="3070" t="s">
        <v>3227</v>
      </c>
      <c r="AJ274" s="3070">
        <v>0</v>
      </c>
      <c r="AK274" s="3070">
        <v>0</v>
      </c>
      <c r="AL274" s="3070">
        <v>0</v>
      </c>
      <c r="AM274" s="3070">
        <v>12786.58</v>
      </c>
      <c r="AN274" s="3070">
        <v>1457926</v>
      </c>
      <c r="AP274" s="3070">
        <v>1457926</v>
      </c>
      <c r="AQ274" s="3072">
        <v>45138</v>
      </c>
      <c r="AT274" s="3073">
        <v>45678</v>
      </c>
      <c r="AV274" s="3074">
        <v>3.21E+17</v>
      </c>
      <c r="AW274" s="3070" t="s">
        <v>5526</v>
      </c>
      <c r="AX274" s="3070" t="s">
        <v>5527</v>
      </c>
      <c r="AY274" s="3070" t="s">
        <v>3306</v>
      </c>
      <c r="BA274" s="3070" t="s">
        <v>3306</v>
      </c>
      <c r="BC274" s="3070" t="s">
        <v>5528</v>
      </c>
      <c r="BD274" s="3070" t="s">
        <v>3077</v>
      </c>
      <c r="BI274" s="3070" t="s">
        <v>3235</v>
      </c>
      <c r="BL274" s="3070" t="s">
        <v>5529</v>
      </c>
      <c r="BM274" s="3075">
        <v>44256</v>
      </c>
      <c r="BN274" s="3070">
        <v>1</v>
      </c>
      <c r="BO274" s="3070" t="s">
        <v>3253</v>
      </c>
      <c r="BR274" s="3070">
        <v>15</v>
      </c>
      <c r="BS274" s="3070" t="s">
        <v>3238</v>
      </c>
      <c r="BT274" s="3070" t="s">
        <v>3481</v>
      </c>
      <c r="BU274" s="3070" t="s">
        <v>3306</v>
      </c>
      <c r="BW274" s="3070" t="s">
        <v>5530</v>
      </c>
      <c r="BZ274" s="3073">
        <v>44170.762499999997</v>
      </c>
      <c r="CA274" s="3070">
        <v>3</v>
      </c>
      <c r="CB274" s="3070" t="s">
        <v>3481</v>
      </c>
      <c r="CD274" s="3070" t="s">
        <v>3239</v>
      </c>
      <c r="CF274" s="3070" t="s">
        <v>3091</v>
      </c>
      <c r="CH274" s="3070" t="s">
        <v>3240</v>
      </c>
      <c r="CI274" s="3070">
        <v>0</v>
      </c>
      <c r="CK274" s="3070" t="s">
        <v>3306</v>
      </c>
      <c r="CL274" s="3070" t="s">
        <v>3306</v>
      </c>
      <c r="CM274" s="3070">
        <v>1337546.79</v>
      </c>
      <c r="CV274" s="3070" t="s">
        <v>3246</v>
      </c>
      <c r="CW274" s="3070" t="s">
        <v>5531</v>
      </c>
      <c r="CX274" s="3070" t="s">
        <v>3510</v>
      </c>
      <c r="CZ274" s="3070">
        <v>213894.57</v>
      </c>
      <c r="DA274" s="3070">
        <v>159426.93</v>
      </c>
      <c r="DB274" s="3070">
        <v>0</v>
      </c>
      <c r="DC274" s="3070">
        <v>0</v>
      </c>
      <c r="DD274" s="3070">
        <v>3290547602</v>
      </c>
      <c r="DE274" s="3070">
        <v>2764253109</v>
      </c>
      <c r="DF274" s="3070">
        <v>1464966739</v>
      </c>
      <c r="DG274" s="3070">
        <v>14938370</v>
      </c>
      <c r="DH274" s="3070">
        <v>1284348000</v>
      </c>
      <c r="DI274" s="3070">
        <v>1278128000</v>
      </c>
      <c r="DJ274" s="3070">
        <v>6220000</v>
      </c>
      <c r="DK274" s="3070">
        <v>0</v>
      </c>
      <c r="DL274" s="3070">
        <v>0</v>
      </c>
      <c r="DM274" s="3070">
        <v>25491817.620000001</v>
      </c>
      <c r="DN274" s="3070">
        <v>2764253109</v>
      </c>
      <c r="DP274" s="3070">
        <v>2764253109</v>
      </c>
    </row>
    <row r="275" spans="1:120">
      <c r="A275" s="3070">
        <v>274</v>
      </c>
      <c r="B275" s="3070" t="s">
        <v>3224</v>
      </c>
      <c r="C275" s="3070">
        <v>3</v>
      </c>
      <c r="E275" s="3070">
        <v>1002</v>
      </c>
      <c r="F275" s="3070" t="s">
        <v>5532</v>
      </c>
      <c r="G275" s="3070" t="s">
        <v>5533</v>
      </c>
      <c r="H275" s="3070">
        <v>1291161</v>
      </c>
      <c r="I275" s="3070">
        <v>1291161</v>
      </c>
      <c r="J275" s="3070">
        <v>102.67</v>
      </c>
      <c r="K275" s="3070">
        <v>74.61</v>
      </c>
      <c r="L275" s="3070">
        <v>0</v>
      </c>
      <c r="M275" s="3070">
        <v>0</v>
      </c>
      <c r="N275" s="3070">
        <v>15644.44</v>
      </c>
      <c r="O275" s="3070">
        <v>1606215</v>
      </c>
      <c r="P275" s="3070">
        <v>12575.84</v>
      </c>
      <c r="Q275" s="3070">
        <v>1291161</v>
      </c>
      <c r="R275" s="3070" t="s">
        <v>3227</v>
      </c>
      <c r="S275" s="3070" t="s">
        <v>5534</v>
      </c>
      <c r="T275" s="3070" t="s">
        <v>3229</v>
      </c>
      <c r="V275" s="3070" t="s">
        <v>3230</v>
      </c>
      <c r="Y275" s="3070">
        <v>387348</v>
      </c>
      <c r="Z275" s="3070">
        <v>387348</v>
      </c>
      <c r="AA275" s="3070">
        <v>1291161</v>
      </c>
      <c r="AB275" s="3070">
        <v>0</v>
      </c>
      <c r="AC275" s="3070">
        <v>0</v>
      </c>
      <c r="AD275" s="3070">
        <v>0</v>
      </c>
      <c r="AE275" s="3070">
        <v>0</v>
      </c>
      <c r="AI275" s="3070" t="s">
        <v>3227</v>
      </c>
      <c r="AJ275" s="3070">
        <v>0</v>
      </c>
      <c r="AK275" s="3070">
        <v>0</v>
      </c>
      <c r="AL275" s="3070">
        <v>0</v>
      </c>
      <c r="AM275" s="3070">
        <v>12575.84</v>
      </c>
      <c r="AN275" s="3070">
        <v>1291161</v>
      </c>
      <c r="AP275" s="3070">
        <v>1291161</v>
      </c>
      <c r="AQ275" s="3072">
        <v>45138</v>
      </c>
      <c r="AT275" s="3073">
        <v>45678</v>
      </c>
      <c r="AV275" s="3074">
        <v>3.21E+17</v>
      </c>
      <c r="AW275" s="3070" t="s">
        <v>5535</v>
      </c>
      <c r="AX275" s="3070" t="s">
        <v>5536</v>
      </c>
      <c r="AY275" s="3070" t="s">
        <v>3346</v>
      </c>
      <c r="BC275" s="3070" t="s">
        <v>3347</v>
      </c>
      <c r="BD275" s="3070" t="s">
        <v>3077</v>
      </c>
      <c r="BI275" s="3070" t="s">
        <v>3295</v>
      </c>
      <c r="BJ275" s="3070" t="s">
        <v>3296</v>
      </c>
      <c r="BL275" s="3070" t="s">
        <v>5537</v>
      </c>
      <c r="BM275" s="3075">
        <v>44256</v>
      </c>
      <c r="BN275" s="3070">
        <v>2</v>
      </c>
      <c r="BR275" s="3070">
        <v>423</v>
      </c>
      <c r="BS275" s="3070" t="s">
        <v>3238</v>
      </c>
      <c r="BZ275" s="3073">
        <v>44142.602777777778</v>
      </c>
      <c r="CA275" s="3070">
        <v>3</v>
      </c>
      <c r="CD275" s="3070" t="s">
        <v>3239</v>
      </c>
      <c r="CF275" s="3070" t="s">
        <v>3091</v>
      </c>
      <c r="CH275" s="3070" t="s">
        <v>3240</v>
      </c>
      <c r="CI275" s="3070">
        <v>0</v>
      </c>
      <c r="CK275" s="3070" t="s">
        <v>3346</v>
      </c>
      <c r="CL275" s="3070" t="s">
        <v>3346</v>
      </c>
      <c r="CM275" s="3070">
        <v>1184551.3799999999</v>
      </c>
      <c r="CV275" s="3070" t="s">
        <v>3229</v>
      </c>
      <c r="CW275" s="3070" t="s">
        <v>5538</v>
      </c>
      <c r="CZ275" s="3070">
        <v>213894.57</v>
      </c>
      <c r="DA275" s="3070">
        <v>159426.93</v>
      </c>
      <c r="DB275" s="3070">
        <v>0</v>
      </c>
      <c r="DC275" s="3070">
        <v>0</v>
      </c>
      <c r="DD275" s="3070">
        <v>3290547602</v>
      </c>
      <c r="DE275" s="3070">
        <v>2764253109</v>
      </c>
      <c r="DF275" s="3070">
        <v>1464966739</v>
      </c>
      <c r="DG275" s="3070">
        <v>14938370</v>
      </c>
      <c r="DH275" s="3070">
        <v>1284348000</v>
      </c>
      <c r="DI275" s="3070">
        <v>1278128000</v>
      </c>
      <c r="DJ275" s="3070">
        <v>6220000</v>
      </c>
      <c r="DK275" s="3070">
        <v>0</v>
      </c>
      <c r="DL275" s="3070">
        <v>0</v>
      </c>
      <c r="DM275" s="3070">
        <v>25491817.620000001</v>
      </c>
      <c r="DN275" s="3070">
        <v>2764253109</v>
      </c>
      <c r="DP275" s="3070">
        <v>2764253109</v>
      </c>
    </row>
    <row r="276" spans="1:120">
      <c r="A276" s="3070">
        <v>275</v>
      </c>
      <c r="B276" s="3070" t="s">
        <v>3224</v>
      </c>
      <c r="C276" s="3070">
        <v>3</v>
      </c>
      <c r="E276" s="3070">
        <v>1003</v>
      </c>
      <c r="F276" s="3070" t="s">
        <v>5539</v>
      </c>
      <c r="G276" s="3070" t="s">
        <v>5540</v>
      </c>
      <c r="H276" s="3070">
        <v>1304203</v>
      </c>
      <c r="I276" s="3070">
        <v>1304203</v>
      </c>
      <c r="J276" s="3070">
        <v>102.67</v>
      </c>
      <c r="K276" s="3070">
        <v>74.61</v>
      </c>
      <c r="L276" s="3070">
        <v>0</v>
      </c>
      <c r="M276" s="3070">
        <v>0</v>
      </c>
      <c r="N276" s="3070">
        <v>15644.44</v>
      </c>
      <c r="O276" s="3070">
        <v>1606215</v>
      </c>
      <c r="P276" s="3070">
        <v>12702.86</v>
      </c>
      <c r="Q276" s="3070">
        <v>1304203</v>
      </c>
      <c r="R276" s="3070" t="s">
        <v>3227</v>
      </c>
      <c r="S276" s="3070" t="s">
        <v>5541</v>
      </c>
      <c r="T276" s="3070" t="s">
        <v>3246</v>
      </c>
      <c r="U276" s="3070" t="s">
        <v>3247</v>
      </c>
      <c r="V276" s="3070" t="s">
        <v>3230</v>
      </c>
      <c r="Y276" s="3070">
        <v>394203</v>
      </c>
      <c r="Z276" s="3070">
        <v>394203</v>
      </c>
      <c r="AA276" s="3070">
        <v>394203</v>
      </c>
      <c r="AB276" s="3070">
        <v>0</v>
      </c>
      <c r="AC276" s="3070">
        <v>910000</v>
      </c>
      <c r="AD276" s="3070">
        <v>910000</v>
      </c>
      <c r="AE276" s="3070">
        <v>0</v>
      </c>
      <c r="AI276" s="3070" t="s">
        <v>3227</v>
      </c>
      <c r="AJ276" s="3070">
        <v>0</v>
      </c>
      <c r="AK276" s="3070">
        <v>0</v>
      </c>
      <c r="AL276" s="3070">
        <v>0</v>
      </c>
      <c r="AM276" s="3070">
        <v>12702.86</v>
      </c>
      <c r="AN276" s="3070">
        <v>1304203</v>
      </c>
      <c r="AP276" s="3070">
        <v>1304203</v>
      </c>
      <c r="AQ276" s="3072">
        <v>45138</v>
      </c>
      <c r="AT276" s="3073">
        <v>45678</v>
      </c>
      <c r="AV276" s="3074">
        <v>3.43E+17</v>
      </c>
      <c r="AW276" s="3070" t="s">
        <v>5542</v>
      </c>
      <c r="AX276" s="3070" t="s">
        <v>5543</v>
      </c>
      <c r="AY276" s="3070" t="s">
        <v>3607</v>
      </c>
      <c r="BC276" s="3070" t="s">
        <v>3284</v>
      </c>
      <c r="BD276" s="3070" t="s">
        <v>3077</v>
      </c>
      <c r="BI276" s="3070" t="s">
        <v>3235</v>
      </c>
      <c r="BJ276" s="3070" t="s">
        <v>3296</v>
      </c>
      <c r="BL276" s="3070" t="s">
        <v>5544</v>
      </c>
      <c r="BM276" s="3075">
        <v>44256</v>
      </c>
      <c r="BN276" s="3070">
        <v>3</v>
      </c>
      <c r="BO276" s="3070" t="s">
        <v>3253</v>
      </c>
      <c r="BR276" s="3070">
        <v>15</v>
      </c>
      <c r="BS276" s="3070" t="s">
        <v>3238</v>
      </c>
      <c r="BZ276" s="3073">
        <v>44142.602777777778</v>
      </c>
      <c r="CA276" s="3070">
        <v>3</v>
      </c>
      <c r="CD276" s="3070" t="s">
        <v>3239</v>
      </c>
      <c r="CF276" s="3070" t="s">
        <v>3091</v>
      </c>
      <c r="CH276" s="3070" t="s">
        <v>3240</v>
      </c>
      <c r="CI276" s="3070">
        <v>0</v>
      </c>
      <c r="CK276" s="3070" t="s">
        <v>3607</v>
      </c>
      <c r="CL276" s="3070" t="s">
        <v>3607</v>
      </c>
      <c r="CM276" s="3070">
        <v>1196516.51</v>
      </c>
      <c r="CV276" s="3070" t="s">
        <v>3246</v>
      </c>
      <c r="CW276" s="3070" t="s">
        <v>5545</v>
      </c>
      <c r="CX276" s="3070" t="s">
        <v>3267</v>
      </c>
      <c r="CZ276" s="3070">
        <v>213894.57</v>
      </c>
      <c r="DA276" s="3070">
        <v>159426.93</v>
      </c>
      <c r="DB276" s="3070">
        <v>0</v>
      </c>
      <c r="DC276" s="3070">
        <v>0</v>
      </c>
      <c r="DD276" s="3070">
        <v>3290547602</v>
      </c>
      <c r="DE276" s="3070">
        <v>2764253109</v>
      </c>
      <c r="DF276" s="3070">
        <v>1464966739</v>
      </c>
      <c r="DG276" s="3070">
        <v>14938370</v>
      </c>
      <c r="DH276" s="3070">
        <v>1284348000</v>
      </c>
      <c r="DI276" s="3070">
        <v>1278128000</v>
      </c>
      <c r="DJ276" s="3070">
        <v>6220000</v>
      </c>
      <c r="DK276" s="3070">
        <v>0</v>
      </c>
      <c r="DL276" s="3070">
        <v>0</v>
      </c>
      <c r="DM276" s="3070">
        <v>25491817.620000001</v>
      </c>
      <c r="DN276" s="3070">
        <v>2764253109</v>
      </c>
      <c r="DP276" s="3070">
        <v>2764253109</v>
      </c>
    </row>
    <row r="277" spans="1:120">
      <c r="A277" s="3070">
        <v>276</v>
      </c>
      <c r="B277" s="3070" t="s">
        <v>3224</v>
      </c>
      <c r="C277" s="3070">
        <v>3</v>
      </c>
      <c r="E277" s="3070">
        <v>1004</v>
      </c>
      <c r="F277" s="3070" t="s">
        <v>5546</v>
      </c>
      <c r="G277" s="3070" t="s">
        <v>5547</v>
      </c>
      <c r="H277" s="3070">
        <v>1407071</v>
      </c>
      <c r="I277" s="3070">
        <v>1407071</v>
      </c>
      <c r="J277" s="3070">
        <v>114.02</v>
      </c>
      <c r="K277" s="3070">
        <v>82.85</v>
      </c>
      <c r="L277" s="3070">
        <v>0</v>
      </c>
      <c r="M277" s="3070">
        <v>0</v>
      </c>
      <c r="N277" s="3070">
        <v>15394.44</v>
      </c>
      <c r="O277" s="3070">
        <v>1755274</v>
      </c>
      <c r="P277" s="3070">
        <v>12340.56</v>
      </c>
      <c r="Q277" s="3070">
        <v>1407071</v>
      </c>
      <c r="R277" s="3070" t="s">
        <v>3227</v>
      </c>
      <c r="S277" s="3070" t="s">
        <v>5548</v>
      </c>
      <c r="T277" s="3070" t="s">
        <v>3229</v>
      </c>
      <c r="V277" s="3070" t="s">
        <v>3230</v>
      </c>
      <c r="Y277" s="3070">
        <v>427071</v>
      </c>
      <c r="Z277" s="3070">
        <v>427071</v>
      </c>
      <c r="AA277" s="3070">
        <v>1407071</v>
      </c>
      <c r="AB277" s="3070">
        <v>0</v>
      </c>
      <c r="AC277" s="3070">
        <v>0</v>
      </c>
      <c r="AD277" s="3070">
        <v>0</v>
      </c>
      <c r="AE277" s="3070">
        <v>0</v>
      </c>
      <c r="AI277" s="3070" t="s">
        <v>3227</v>
      </c>
      <c r="AJ277" s="3070">
        <v>0</v>
      </c>
      <c r="AK277" s="3070">
        <v>0</v>
      </c>
      <c r="AL277" s="3070">
        <v>0</v>
      </c>
      <c r="AM277" s="3070">
        <v>12340.56</v>
      </c>
      <c r="AN277" s="3070">
        <v>1407071</v>
      </c>
      <c r="AP277" s="3070">
        <v>1407071</v>
      </c>
      <c r="AQ277" s="3072">
        <v>45138</v>
      </c>
      <c r="AT277" s="3073">
        <v>45678</v>
      </c>
      <c r="AV277" s="3074">
        <v>3.21E+17</v>
      </c>
      <c r="AW277" s="3070" t="s">
        <v>5549</v>
      </c>
      <c r="AX277" s="3070" t="s">
        <v>5550</v>
      </c>
      <c r="AY277" s="3070" t="s">
        <v>3607</v>
      </c>
      <c r="BC277" s="3070" t="s">
        <v>3347</v>
      </c>
      <c r="BD277" s="3070" t="s">
        <v>3077</v>
      </c>
      <c r="BI277" s="3070" t="s">
        <v>3295</v>
      </c>
      <c r="BJ277" s="3070" t="s">
        <v>3296</v>
      </c>
      <c r="BL277" s="3070" t="s">
        <v>5551</v>
      </c>
      <c r="BM277" s="3075">
        <v>44256</v>
      </c>
      <c r="BN277" s="3070">
        <v>4</v>
      </c>
      <c r="BR277" s="3070">
        <v>8</v>
      </c>
      <c r="BS277" s="3070" t="s">
        <v>3238</v>
      </c>
      <c r="BZ277" s="3073">
        <v>44148.636805555558</v>
      </c>
      <c r="CA277" s="3070">
        <v>3</v>
      </c>
      <c r="CD277" s="3070" t="s">
        <v>3239</v>
      </c>
      <c r="CF277" s="3070" t="s">
        <v>3091</v>
      </c>
      <c r="CH277" s="3070" t="s">
        <v>3240</v>
      </c>
      <c r="CI277" s="3070">
        <v>0</v>
      </c>
      <c r="CK277" s="3070" t="s">
        <v>3607</v>
      </c>
      <c r="CL277" s="3070" t="s">
        <v>3607</v>
      </c>
      <c r="CM277" s="3070">
        <v>1290890.83</v>
      </c>
      <c r="CV277" s="3070" t="s">
        <v>3229</v>
      </c>
      <c r="CW277" s="3070" t="s">
        <v>5552</v>
      </c>
      <c r="CZ277" s="3070">
        <v>213894.57</v>
      </c>
      <c r="DA277" s="3070">
        <v>159426.93</v>
      </c>
      <c r="DB277" s="3070">
        <v>0</v>
      </c>
      <c r="DC277" s="3070">
        <v>0</v>
      </c>
      <c r="DD277" s="3070">
        <v>3290547602</v>
      </c>
      <c r="DE277" s="3070">
        <v>2764253109</v>
      </c>
      <c r="DF277" s="3070">
        <v>1464966739</v>
      </c>
      <c r="DG277" s="3070">
        <v>14938370</v>
      </c>
      <c r="DH277" s="3070">
        <v>1284348000</v>
      </c>
      <c r="DI277" s="3070">
        <v>1278128000</v>
      </c>
      <c r="DJ277" s="3070">
        <v>6220000</v>
      </c>
      <c r="DK277" s="3070">
        <v>0</v>
      </c>
      <c r="DL277" s="3070">
        <v>0</v>
      </c>
      <c r="DM277" s="3070">
        <v>25491817.620000001</v>
      </c>
      <c r="DN277" s="3070">
        <v>2764253109</v>
      </c>
      <c r="DP277" s="3070">
        <v>2764253109</v>
      </c>
    </row>
    <row r="278" spans="1:120">
      <c r="A278" s="3070">
        <v>277</v>
      </c>
      <c r="B278" s="3070" t="s">
        <v>3224</v>
      </c>
      <c r="C278" s="3070">
        <v>3</v>
      </c>
      <c r="E278" s="3070">
        <v>101</v>
      </c>
      <c r="F278" s="3070" t="s">
        <v>5553</v>
      </c>
      <c r="G278" s="3070" t="s">
        <v>5554</v>
      </c>
      <c r="H278" s="3070">
        <v>1040938</v>
      </c>
      <c r="I278" s="3070">
        <v>1040938</v>
      </c>
      <c r="J278" s="3070">
        <v>114.13</v>
      </c>
      <c r="K278" s="3070">
        <v>82.93</v>
      </c>
      <c r="L278" s="3070">
        <v>0</v>
      </c>
      <c r="M278" s="3070">
        <v>0</v>
      </c>
      <c r="N278" s="3070">
        <v>14894.44</v>
      </c>
      <c r="O278" s="3070">
        <v>1699902</v>
      </c>
      <c r="P278" s="3070">
        <v>9120.6299999999992</v>
      </c>
      <c r="Q278" s="3070">
        <v>1040938</v>
      </c>
      <c r="R278" s="3070" t="s">
        <v>3227</v>
      </c>
      <c r="S278" s="3070" t="s">
        <v>5555</v>
      </c>
      <c r="T278" s="3070" t="s">
        <v>3878</v>
      </c>
      <c r="U278" s="3070" t="s">
        <v>3279</v>
      </c>
      <c r="V278" s="3070" t="s">
        <v>3230</v>
      </c>
      <c r="Y278" s="3070">
        <v>520938</v>
      </c>
      <c r="Z278" s="3070">
        <v>520938</v>
      </c>
      <c r="AA278" s="3070">
        <v>520938</v>
      </c>
      <c r="AB278" s="3070">
        <v>0</v>
      </c>
      <c r="AC278" s="3070">
        <v>520000</v>
      </c>
      <c r="AD278" s="3070">
        <v>520000</v>
      </c>
      <c r="AE278" s="3070">
        <v>0</v>
      </c>
      <c r="AI278" s="3070" t="s">
        <v>3227</v>
      </c>
      <c r="AJ278" s="3070">
        <v>0</v>
      </c>
      <c r="AK278" s="3070">
        <v>0</v>
      </c>
      <c r="AL278" s="3070">
        <v>0</v>
      </c>
      <c r="AM278" s="3070">
        <v>9120.6299999999992</v>
      </c>
      <c r="AN278" s="3070">
        <v>1040938</v>
      </c>
      <c r="AP278" s="3070">
        <v>1040938</v>
      </c>
      <c r="AQ278" s="3072">
        <v>45138</v>
      </c>
      <c r="AT278" s="3073">
        <v>45678</v>
      </c>
      <c r="AV278" s="3074">
        <v>3.21E+17</v>
      </c>
      <c r="AW278" s="3070" t="s">
        <v>5556</v>
      </c>
      <c r="AX278" s="3070" t="s">
        <v>5557</v>
      </c>
      <c r="AY278" s="3070" t="s">
        <v>3587</v>
      </c>
      <c r="BC278" s="3070" t="s">
        <v>3881</v>
      </c>
      <c r="BD278" s="3070" t="s">
        <v>3077</v>
      </c>
      <c r="BI278" s="3070" t="s">
        <v>3235</v>
      </c>
      <c r="BJ278" s="3070" t="s">
        <v>3296</v>
      </c>
      <c r="BL278" s="3070" t="s">
        <v>5558</v>
      </c>
      <c r="BM278" s="3075">
        <v>44256</v>
      </c>
      <c r="BN278" s="3070">
        <v>1</v>
      </c>
      <c r="BO278" s="3070" t="s">
        <v>3253</v>
      </c>
      <c r="BR278" s="3070">
        <v>0</v>
      </c>
      <c r="BS278" s="3070" t="s">
        <v>3238</v>
      </c>
      <c r="BZ278" s="3073">
        <v>44270.615277777775</v>
      </c>
      <c r="CA278" s="3070">
        <v>3</v>
      </c>
      <c r="CD278" s="3070" t="s">
        <v>3239</v>
      </c>
      <c r="CF278" s="3070" t="s">
        <v>3091</v>
      </c>
      <c r="CH278" s="3070" t="s">
        <v>3240</v>
      </c>
      <c r="CI278" s="3070">
        <v>0</v>
      </c>
      <c r="CK278" s="3070" t="s">
        <v>4736</v>
      </c>
      <c r="CL278" s="3070" t="s">
        <v>3587</v>
      </c>
      <c r="CM278" s="3070">
        <v>954988.99</v>
      </c>
      <c r="CV278" s="3070" t="s">
        <v>3246</v>
      </c>
      <c r="CW278" s="3070" t="s">
        <v>5559</v>
      </c>
      <c r="CX278" s="3070" t="s">
        <v>3311</v>
      </c>
      <c r="CZ278" s="3070">
        <v>213894.57</v>
      </c>
      <c r="DA278" s="3070">
        <v>159426.93</v>
      </c>
      <c r="DB278" s="3070">
        <v>0</v>
      </c>
      <c r="DC278" s="3070">
        <v>0</v>
      </c>
      <c r="DD278" s="3070">
        <v>3290547602</v>
      </c>
      <c r="DE278" s="3070">
        <v>2764253109</v>
      </c>
      <c r="DF278" s="3070">
        <v>1464966739</v>
      </c>
      <c r="DG278" s="3070">
        <v>14938370</v>
      </c>
      <c r="DH278" s="3070">
        <v>1284348000</v>
      </c>
      <c r="DI278" s="3070">
        <v>1278128000</v>
      </c>
      <c r="DJ278" s="3070">
        <v>6220000</v>
      </c>
      <c r="DK278" s="3070">
        <v>0</v>
      </c>
      <c r="DL278" s="3070">
        <v>0</v>
      </c>
      <c r="DM278" s="3070">
        <v>25491817.620000001</v>
      </c>
      <c r="DN278" s="3070">
        <v>2764253109</v>
      </c>
      <c r="DP278" s="3070">
        <v>2764253109</v>
      </c>
    </row>
    <row r="279" spans="1:120">
      <c r="A279" s="3070">
        <v>278</v>
      </c>
      <c r="B279" s="3070" t="s">
        <v>3224</v>
      </c>
      <c r="C279" s="3070">
        <v>3</v>
      </c>
      <c r="E279" s="3070">
        <v>104</v>
      </c>
      <c r="F279" s="3070" t="s">
        <v>5560</v>
      </c>
      <c r="G279" s="3070" t="s">
        <v>5561</v>
      </c>
      <c r="H279" s="3070">
        <v>1086722</v>
      </c>
      <c r="I279" s="3070">
        <v>1086722</v>
      </c>
      <c r="J279" s="3070">
        <v>119.41</v>
      </c>
      <c r="K279" s="3070">
        <v>86.77</v>
      </c>
      <c r="L279" s="3070">
        <v>0</v>
      </c>
      <c r="M279" s="3070">
        <v>0</v>
      </c>
      <c r="N279" s="3070">
        <v>14844.44</v>
      </c>
      <c r="O279" s="3070">
        <v>1772575</v>
      </c>
      <c r="P279" s="3070">
        <v>9100.76</v>
      </c>
      <c r="Q279" s="3070">
        <v>1086722</v>
      </c>
      <c r="R279" s="3070" t="s">
        <v>3227</v>
      </c>
      <c r="S279" s="3070" t="s">
        <v>5562</v>
      </c>
      <c r="T279" s="3070" t="s">
        <v>3878</v>
      </c>
      <c r="U279" s="3070" t="s">
        <v>3279</v>
      </c>
      <c r="V279" s="3070" t="s">
        <v>3230</v>
      </c>
      <c r="Y279" s="3070">
        <v>546722</v>
      </c>
      <c r="Z279" s="3070">
        <v>546722</v>
      </c>
      <c r="AA279" s="3070">
        <v>546722</v>
      </c>
      <c r="AB279" s="3070">
        <v>0</v>
      </c>
      <c r="AC279" s="3070">
        <v>540000</v>
      </c>
      <c r="AD279" s="3070">
        <v>540000</v>
      </c>
      <c r="AE279" s="3070">
        <v>0</v>
      </c>
      <c r="AI279" s="3070" t="s">
        <v>3227</v>
      </c>
      <c r="AJ279" s="3070">
        <v>0</v>
      </c>
      <c r="AK279" s="3070">
        <v>0</v>
      </c>
      <c r="AL279" s="3070">
        <v>0</v>
      </c>
      <c r="AM279" s="3070">
        <v>9100.76</v>
      </c>
      <c r="AN279" s="3070">
        <v>1086722</v>
      </c>
      <c r="AP279" s="3070">
        <v>1086722</v>
      </c>
      <c r="AQ279" s="3072">
        <v>45138</v>
      </c>
      <c r="AT279" s="3073">
        <v>45678</v>
      </c>
      <c r="AV279" s="3070" t="s">
        <v>5563</v>
      </c>
      <c r="AW279" s="3070" t="s">
        <v>5564</v>
      </c>
      <c r="AX279" s="3070" t="s">
        <v>5565</v>
      </c>
      <c r="AY279" s="3070" t="s">
        <v>3587</v>
      </c>
      <c r="BC279" s="3070" t="s">
        <v>3881</v>
      </c>
      <c r="BD279" s="3070" t="s">
        <v>3077</v>
      </c>
      <c r="BI279" s="3070" t="s">
        <v>3235</v>
      </c>
      <c r="BJ279" s="3070" t="s">
        <v>3296</v>
      </c>
      <c r="BL279" s="3070" t="s">
        <v>5566</v>
      </c>
      <c r="BM279" s="3075">
        <v>44256</v>
      </c>
      <c r="BN279" s="3070">
        <v>4</v>
      </c>
      <c r="BO279" s="3070" t="s">
        <v>3253</v>
      </c>
      <c r="BR279" s="3070">
        <v>0</v>
      </c>
      <c r="BS279" s="3070" t="s">
        <v>3238</v>
      </c>
      <c r="BZ279" s="3073">
        <v>44271.477083333331</v>
      </c>
      <c r="CA279" s="3070">
        <v>3</v>
      </c>
      <c r="CD279" s="3070" t="s">
        <v>3239</v>
      </c>
      <c r="CF279" s="3070" t="s">
        <v>3091</v>
      </c>
      <c r="CH279" s="3070" t="s">
        <v>3240</v>
      </c>
      <c r="CI279" s="3070">
        <v>0</v>
      </c>
      <c r="CK279" s="3070" t="s">
        <v>4736</v>
      </c>
      <c r="CL279" s="3070" t="s">
        <v>3587</v>
      </c>
      <c r="CM279" s="3070">
        <v>996992.66</v>
      </c>
      <c r="CV279" s="3070" t="s">
        <v>3246</v>
      </c>
      <c r="CW279" s="3070" t="s">
        <v>5567</v>
      </c>
      <c r="CX279" s="3070" t="s">
        <v>3311</v>
      </c>
      <c r="CZ279" s="3070">
        <v>213894.57</v>
      </c>
      <c r="DA279" s="3070">
        <v>159426.93</v>
      </c>
      <c r="DB279" s="3070">
        <v>0</v>
      </c>
      <c r="DC279" s="3070">
        <v>0</v>
      </c>
      <c r="DD279" s="3070">
        <v>3290547602</v>
      </c>
      <c r="DE279" s="3070">
        <v>2764253109</v>
      </c>
      <c r="DF279" s="3070">
        <v>1464966739</v>
      </c>
      <c r="DG279" s="3070">
        <v>14938370</v>
      </c>
      <c r="DH279" s="3070">
        <v>1284348000</v>
      </c>
      <c r="DI279" s="3070">
        <v>1278128000</v>
      </c>
      <c r="DJ279" s="3070">
        <v>6220000</v>
      </c>
      <c r="DK279" s="3070">
        <v>0</v>
      </c>
      <c r="DL279" s="3070">
        <v>0</v>
      </c>
      <c r="DM279" s="3070">
        <v>25491817.620000001</v>
      </c>
      <c r="DN279" s="3070">
        <v>2764253109</v>
      </c>
      <c r="DP279" s="3070">
        <v>2764253109</v>
      </c>
    </row>
    <row r="280" spans="1:120">
      <c r="A280" s="3070">
        <v>279</v>
      </c>
      <c r="B280" s="3070" t="s">
        <v>3224</v>
      </c>
      <c r="C280" s="3070">
        <v>3</v>
      </c>
      <c r="E280" s="3070">
        <v>1101</v>
      </c>
      <c r="F280" s="3070" t="s">
        <v>5568</v>
      </c>
      <c r="G280" s="3070" t="s">
        <v>5569</v>
      </c>
      <c r="H280" s="3070">
        <v>1508909</v>
      </c>
      <c r="I280" s="3070">
        <v>1508909</v>
      </c>
      <c r="J280" s="3070">
        <v>114.02</v>
      </c>
      <c r="K280" s="3070">
        <v>82.85</v>
      </c>
      <c r="L280" s="3070">
        <v>0</v>
      </c>
      <c r="M280" s="3070">
        <v>0</v>
      </c>
      <c r="N280" s="3070">
        <v>15494.44</v>
      </c>
      <c r="O280" s="3070">
        <v>1766676</v>
      </c>
      <c r="P280" s="3070">
        <v>13233.72</v>
      </c>
      <c r="Q280" s="3070">
        <v>1508909</v>
      </c>
      <c r="R280" s="3070" t="s">
        <v>3227</v>
      </c>
      <c r="S280" s="3070" t="s">
        <v>5570</v>
      </c>
      <c r="T280" s="3070" t="s">
        <v>3494</v>
      </c>
      <c r="V280" s="3070" t="s">
        <v>3230</v>
      </c>
      <c r="Y280" s="3070">
        <v>150891</v>
      </c>
      <c r="Z280" s="3070">
        <v>150891</v>
      </c>
      <c r="AA280" s="3070">
        <v>1508909</v>
      </c>
      <c r="AB280" s="3070">
        <v>0</v>
      </c>
      <c r="AC280" s="3070">
        <v>0</v>
      </c>
      <c r="AD280" s="3070">
        <v>0</v>
      </c>
      <c r="AE280" s="3070">
        <v>0</v>
      </c>
      <c r="AI280" s="3070" t="s">
        <v>3227</v>
      </c>
      <c r="AJ280" s="3070">
        <v>0</v>
      </c>
      <c r="AK280" s="3070">
        <v>0</v>
      </c>
      <c r="AL280" s="3070">
        <v>0</v>
      </c>
      <c r="AM280" s="3070">
        <v>13233.72</v>
      </c>
      <c r="AN280" s="3070">
        <v>1508909</v>
      </c>
      <c r="AP280" s="3070">
        <v>1508909</v>
      </c>
      <c r="AQ280" s="3072">
        <v>45138</v>
      </c>
      <c r="AT280" s="3073">
        <v>45678</v>
      </c>
      <c r="AV280" s="3070" t="s">
        <v>5571</v>
      </c>
      <c r="AW280" s="3070" t="s">
        <v>5572</v>
      </c>
      <c r="AX280" s="3070" t="s">
        <v>5573</v>
      </c>
      <c r="AY280" s="3070" t="s">
        <v>3892</v>
      </c>
      <c r="BC280" s="3070" t="s">
        <v>4117</v>
      </c>
      <c r="BD280" s="3070" t="s">
        <v>3077</v>
      </c>
      <c r="BI280" s="3070" t="s">
        <v>3235</v>
      </c>
      <c r="BL280" s="3070" t="s">
        <v>5574</v>
      </c>
      <c r="BM280" s="3075">
        <v>44256</v>
      </c>
      <c r="BN280" s="3070">
        <v>101</v>
      </c>
      <c r="BR280" s="3070">
        <v>16</v>
      </c>
      <c r="BS280" s="3070" t="s">
        <v>3238</v>
      </c>
      <c r="BV280" s="3070" t="s">
        <v>5575</v>
      </c>
      <c r="BZ280" s="3073">
        <v>44187.647916666669</v>
      </c>
      <c r="CA280" s="3070">
        <v>3</v>
      </c>
      <c r="CD280" s="3070" t="s">
        <v>3239</v>
      </c>
      <c r="CF280" s="3070" t="s">
        <v>3091</v>
      </c>
      <c r="CH280" s="3070" t="s">
        <v>3240</v>
      </c>
      <c r="CI280" s="3070">
        <v>0</v>
      </c>
      <c r="CK280" s="3070" t="s">
        <v>4056</v>
      </c>
      <c r="CL280" s="3070" t="s">
        <v>4056</v>
      </c>
      <c r="CM280" s="3070">
        <v>1384320.18</v>
      </c>
      <c r="CV280" s="3070" t="s">
        <v>3494</v>
      </c>
      <c r="CW280" s="3070" t="s">
        <v>5576</v>
      </c>
      <c r="CZ280" s="3070">
        <v>213894.57</v>
      </c>
      <c r="DA280" s="3070">
        <v>159426.93</v>
      </c>
      <c r="DB280" s="3070">
        <v>0</v>
      </c>
      <c r="DC280" s="3070">
        <v>0</v>
      </c>
      <c r="DD280" s="3070">
        <v>3290547602</v>
      </c>
      <c r="DE280" s="3070">
        <v>2764253109</v>
      </c>
      <c r="DF280" s="3070">
        <v>1464966739</v>
      </c>
      <c r="DG280" s="3070">
        <v>14938370</v>
      </c>
      <c r="DH280" s="3070">
        <v>1284348000</v>
      </c>
      <c r="DI280" s="3070">
        <v>1278128000</v>
      </c>
      <c r="DJ280" s="3070">
        <v>6220000</v>
      </c>
      <c r="DK280" s="3070">
        <v>0</v>
      </c>
      <c r="DL280" s="3070">
        <v>0</v>
      </c>
      <c r="DM280" s="3070">
        <v>25491817.620000001</v>
      </c>
      <c r="DN280" s="3070">
        <v>2764253109</v>
      </c>
      <c r="DP280" s="3070">
        <v>2764253109</v>
      </c>
    </row>
    <row r="281" spans="1:120">
      <c r="A281" s="3070">
        <v>280</v>
      </c>
      <c r="B281" s="3070" t="s">
        <v>3224</v>
      </c>
      <c r="C281" s="3070">
        <v>3</v>
      </c>
      <c r="E281" s="3070">
        <v>1102</v>
      </c>
      <c r="F281" s="3070" t="s">
        <v>5577</v>
      </c>
      <c r="G281" s="3070" t="s">
        <v>5578</v>
      </c>
      <c r="H281" s="3070">
        <v>1309084</v>
      </c>
      <c r="I281" s="3070">
        <v>1309084</v>
      </c>
      <c r="J281" s="3070">
        <v>102.67</v>
      </c>
      <c r="K281" s="3070">
        <v>74.61</v>
      </c>
      <c r="L281" s="3070">
        <v>0</v>
      </c>
      <c r="M281" s="3070">
        <v>0</v>
      </c>
      <c r="N281" s="3070">
        <v>15694.44</v>
      </c>
      <c r="O281" s="3070">
        <v>1611348</v>
      </c>
      <c r="P281" s="3070">
        <v>12750.4</v>
      </c>
      <c r="Q281" s="3070">
        <v>1309084</v>
      </c>
      <c r="R281" s="3070" t="s">
        <v>3227</v>
      </c>
      <c r="S281" s="3070" t="s">
        <v>5579</v>
      </c>
      <c r="T281" s="3070" t="s">
        <v>3425</v>
      </c>
      <c r="V281" s="3070" t="s">
        <v>3230</v>
      </c>
      <c r="Y281" s="3070">
        <v>1009084</v>
      </c>
      <c r="Z281" s="3070">
        <v>1009084</v>
      </c>
      <c r="AA281" s="3070">
        <v>1009084</v>
      </c>
      <c r="AB281" s="3070">
        <v>0</v>
      </c>
      <c r="AC281" s="3070">
        <v>300000</v>
      </c>
      <c r="AD281" s="3070">
        <v>300000</v>
      </c>
      <c r="AE281" s="3070">
        <v>0</v>
      </c>
      <c r="AI281" s="3070" t="s">
        <v>3227</v>
      </c>
      <c r="AJ281" s="3070">
        <v>0</v>
      </c>
      <c r="AK281" s="3070">
        <v>0</v>
      </c>
      <c r="AL281" s="3070">
        <v>0</v>
      </c>
      <c r="AM281" s="3070">
        <v>12750.4</v>
      </c>
      <c r="AN281" s="3070">
        <v>1309084</v>
      </c>
      <c r="AP281" s="3070">
        <v>1309084</v>
      </c>
      <c r="AQ281" s="3072">
        <v>45138</v>
      </c>
      <c r="AT281" s="3073">
        <v>45678</v>
      </c>
      <c r="AV281" s="3074">
        <v>3.21E+17</v>
      </c>
      <c r="AW281" s="3070" t="s">
        <v>5580</v>
      </c>
      <c r="AX281" s="3070" t="s">
        <v>5581</v>
      </c>
      <c r="AY281" s="3070" t="s">
        <v>3306</v>
      </c>
      <c r="BC281" s="3070" t="s">
        <v>3461</v>
      </c>
      <c r="BD281" s="3070" t="s">
        <v>3077</v>
      </c>
      <c r="BI281" s="3070" t="s">
        <v>3235</v>
      </c>
      <c r="BJ281" s="3070" t="s">
        <v>3296</v>
      </c>
      <c r="BL281" s="3070" t="s">
        <v>5582</v>
      </c>
      <c r="BM281" s="3075">
        <v>44256</v>
      </c>
      <c r="BN281" s="3070">
        <v>102</v>
      </c>
      <c r="BP281" s="3070" t="s">
        <v>3253</v>
      </c>
      <c r="BR281" s="3070">
        <v>386</v>
      </c>
      <c r="BS281" s="3070" t="s">
        <v>3238</v>
      </c>
      <c r="BZ281" s="3073">
        <v>44144.667361111111</v>
      </c>
      <c r="CA281" s="3070">
        <v>3</v>
      </c>
      <c r="CD281" s="3070" t="s">
        <v>3239</v>
      </c>
      <c r="CF281" s="3070" t="s">
        <v>3091</v>
      </c>
      <c r="CH281" s="3070" t="s">
        <v>3240</v>
      </c>
      <c r="CI281" s="3070">
        <v>0</v>
      </c>
      <c r="CJ281" s="3070" t="s">
        <v>3259</v>
      </c>
      <c r="CK281" s="3070" t="s">
        <v>3306</v>
      </c>
      <c r="CL281" s="3070" t="s">
        <v>3306</v>
      </c>
      <c r="CM281" s="3070">
        <v>1200994.5</v>
      </c>
      <c r="CV281" s="3070" t="s">
        <v>3425</v>
      </c>
      <c r="CW281" s="3070" t="s">
        <v>5583</v>
      </c>
      <c r="CX281" s="3070" t="s">
        <v>3311</v>
      </c>
      <c r="CZ281" s="3070">
        <v>213894.57</v>
      </c>
      <c r="DA281" s="3070">
        <v>159426.93</v>
      </c>
      <c r="DB281" s="3070">
        <v>0</v>
      </c>
      <c r="DC281" s="3070">
        <v>0</v>
      </c>
      <c r="DD281" s="3070">
        <v>3290547602</v>
      </c>
      <c r="DE281" s="3070">
        <v>2764253109</v>
      </c>
      <c r="DF281" s="3070">
        <v>1464966739</v>
      </c>
      <c r="DG281" s="3070">
        <v>14938370</v>
      </c>
      <c r="DH281" s="3070">
        <v>1284348000</v>
      </c>
      <c r="DI281" s="3070">
        <v>1278128000</v>
      </c>
      <c r="DJ281" s="3070">
        <v>6220000</v>
      </c>
      <c r="DK281" s="3070">
        <v>0</v>
      </c>
      <c r="DL281" s="3070">
        <v>0</v>
      </c>
      <c r="DM281" s="3070">
        <v>25491817.620000001</v>
      </c>
      <c r="DN281" s="3070">
        <v>2764253109</v>
      </c>
      <c r="DP281" s="3070">
        <v>2764253109</v>
      </c>
    </row>
    <row r="282" spans="1:120">
      <c r="A282" s="3070">
        <v>281</v>
      </c>
      <c r="B282" s="3070" t="s">
        <v>3224</v>
      </c>
      <c r="C282" s="3070">
        <v>3</v>
      </c>
      <c r="E282" s="3070">
        <v>1103</v>
      </c>
      <c r="F282" s="3070" t="s">
        <v>5584</v>
      </c>
      <c r="G282" s="3070" t="s">
        <v>5585</v>
      </c>
      <c r="H282" s="3070">
        <v>1309084</v>
      </c>
      <c r="I282" s="3070">
        <v>1309084</v>
      </c>
      <c r="J282" s="3070">
        <v>102.67</v>
      </c>
      <c r="K282" s="3070">
        <v>74.61</v>
      </c>
      <c r="L282" s="3070">
        <v>0</v>
      </c>
      <c r="M282" s="3070">
        <v>0</v>
      </c>
      <c r="N282" s="3070">
        <v>15694.44</v>
      </c>
      <c r="O282" s="3070">
        <v>1611348</v>
      </c>
      <c r="P282" s="3070">
        <v>12750.4</v>
      </c>
      <c r="Q282" s="3070">
        <v>1309084</v>
      </c>
      <c r="R282" s="3070" t="s">
        <v>3227</v>
      </c>
      <c r="S282" s="3070" t="s">
        <v>5586</v>
      </c>
      <c r="T282" s="3070" t="s">
        <v>3246</v>
      </c>
      <c r="U282" s="3070" t="s">
        <v>3279</v>
      </c>
      <c r="V282" s="3070" t="s">
        <v>3230</v>
      </c>
      <c r="Y282" s="3070">
        <v>609084</v>
      </c>
      <c r="Z282" s="3070">
        <v>609084</v>
      </c>
      <c r="AA282" s="3070">
        <v>609084</v>
      </c>
      <c r="AB282" s="3070">
        <v>0</v>
      </c>
      <c r="AC282" s="3070">
        <v>700000</v>
      </c>
      <c r="AD282" s="3070">
        <v>700000</v>
      </c>
      <c r="AE282" s="3070">
        <v>0</v>
      </c>
      <c r="AI282" s="3070" t="s">
        <v>3227</v>
      </c>
      <c r="AJ282" s="3070">
        <v>0</v>
      </c>
      <c r="AK282" s="3070">
        <v>0</v>
      </c>
      <c r="AL282" s="3070">
        <v>0</v>
      </c>
      <c r="AM282" s="3070">
        <v>12750.4</v>
      </c>
      <c r="AN282" s="3070">
        <v>1309084</v>
      </c>
      <c r="AP282" s="3070">
        <v>1309084</v>
      </c>
      <c r="AQ282" s="3072">
        <v>45138</v>
      </c>
      <c r="AT282" s="3073">
        <v>45678</v>
      </c>
      <c r="AV282" s="3074">
        <v>3.21E+17</v>
      </c>
      <c r="AW282" s="3070" t="s">
        <v>5587</v>
      </c>
      <c r="AX282" s="3070" t="s">
        <v>5588</v>
      </c>
      <c r="AY282" s="3070" t="s">
        <v>3419</v>
      </c>
      <c r="BC282" s="3070" t="s">
        <v>3284</v>
      </c>
      <c r="BD282" s="3070" t="s">
        <v>3077</v>
      </c>
      <c r="BI282" s="3070" t="s">
        <v>3235</v>
      </c>
      <c r="BL282" s="3070" t="s">
        <v>5589</v>
      </c>
      <c r="BM282" s="3075">
        <v>44256</v>
      </c>
      <c r="BN282" s="3070">
        <v>103</v>
      </c>
      <c r="BO282" s="3070" t="s">
        <v>3253</v>
      </c>
      <c r="BR282" s="3070">
        <v>863</v>
      </c>
      <c r="BS282" s="3070" t="s">
        <v>3238</v>
      </c>
      <c r="BZ282" s="3073">
        <v>44144.529861111114</v>
      </c>
      <c r="CA282" s="3070">
        <v>3</v>
      </c>
      <c r="CD282" s="3070" t="s">
        <v>3239</v>
      </c>
      <c r="CF282" s="3070" t="s">
        <v>3091</v>
      </c>
      <c r="CH282" s="3070" t="s">
        <v>3240</v>
      </c>
      <c r="CI282" s="3070">
        <v>0</v>
      </c>
      <c r="CK282" s="3070" t="s">
        <v>3419</v>
      </c>
      <c r="CL282" s="3070" t="s">
        <v>3419</v>
      </c>
      <c r="CM282" s="3070">
        <v>1200994.5</v>
      </c>
      <c r="CV282" s="3070" t="s">
        <v>3246</v>
      </c>
      <c r="CW282" s="3070" t="s">
        <v>5590</v>
      </c>
      <c r="CX282" s="3070" t="s">
        <v>3510</v>
      </c>
      <c r="CZ282" s="3070">
        <v>213894.57</v>
      </c>
      <c r="DA282" s="3070">
        <v>159426.93</v>
      </c>
      <c r="DB282" s="3070">
        <v>0</v>
      </c>
      <c r="DC282" s="3070">
        <v>0</v>
      </c>
      <c r="DD282" s="3070">
        <v>3290547602</v>
      </c>
      <c r="DE282" s="3070">
        <v>2764253109</v>
      </c>
      <c r="DF282" s="3070">
        <v>1464966739</v>
      </c>
      <c r="DG282" s="3070">
        <v>14938370</v>
      </c>
      <c r="DH282" s="3070">
        <v>1284348000</v>
      </c>
      <c r="DI282" s="3070">
        <v>1278128000</v>
      </c>
      <c r="DJ282" s="3070">
        <v>6220000</v>
      </c>
      <c r="DK282" s="3070">
        <v>0</v>
      </c>
      <c r="DL282" s="3070">
        <v>0</v>
      </c>
      <c r="DM282" s="3070">
        <v>25491817.620000001</v>
      </c>
      <c r="DN282" s="3070">
        <v>2764253109</v>
      </c>
      <c r="DP282" s="3070">
        <v>2764253109</v>
      </c>
    </row>
    <row r="283" spans="1:120">
      <c r="A283" s="3070">
        <v>282</v>
      </c>
      <c r="B283" s="3070" t="s">
        <v>3224</v>
      </c>
      <c r="C283" s="3070">
        <v>3</v>
      </c>
      <c r="E283" s="3070">
        <v>1104</v>
      </c>
      <c r="F283" s="3070" t="s">
        <v>5591</v>
      </c>
      <c r="G283" s="3070" t="s">
        <v>5592</v>
      </c>
      <c r="H283" s="3070">
        <v>1426703</v>
      </c>
      <c r="I283" s="3070">
        <v>1426703</v>
      </c>
      <c r="J283" s="3070">
        <v>114.02</v>
      </c>
      <c r="K283" s="3070">
        <v>82.85</v>
      </c>
      <c r="L283" s="3070">
        <v>0</v>
      </c>
      <c r="M283" s="3070">
        <v>0</v>
      </c>
      <c r="N283" s="3070">
        <v>15444.44</v>
      </c>
      <c r="O283" s="3070">
        <v>1760975</v>
      </c>
      <c r="P283" s="3070">
        <v>12512.74</v>
      </c>
      <c r="Q283" s="3070">
        <v>1426703</v>
      </c>
      <c r="R283" s="3070" t="s">
        <v>3227</v>
      </c>
      <c r="S283" s="3070" t="s">
        <v>5593</v>
      </c>
      <c r="T283" s="3070" t="s">
        <v>3246</v>
      </c>
      <c r="U283" s="3070" t="s">
        <v>3259</v>
      </c>
      <c r="V283" s="3070" t="s">
        <v>3230</v>
      </c>
      <c r="Y283" s="3070">
        <v>436703</v>
      </c>
      <c r="Z283" s="3070">
        <v>436703</v>
      </c>
      <c r="AA283" s="3070">
        <v>436703</v>
      </c>
      <c r="AB283" s="3070">
        <v>0</v>
      </c>
      <c r="AC283" s="3070">
        <v>990000</v>
      </c>
      <c r="AD283" s="3070">
        <v>990000</v>
      </c>
      <c r="AE283" s="3070">
        <v>0</v>
      </c>
      <c r="AI283" s="3070" t="s">
        <v>3227</v>
      </c>
      <c r="AJ283" s="3070">
        <v>0</v>
      </c>
      <c r="AK283" s="3070">
        <v>0</v>
      </c>
      <c r="AL283" s="3070">
        <v>0</v>
      </c>
      <c r="AM283" s="3070">
        <v>12512.74</v>
      </c>
      <c r="AN283" s="3070">
        <v>1426703</v>
      </c>
      <c r="AP283" s="3070">
        <v>1426703</v>
      </c>
      <c r="AQ283" s="3072">
        <v>45138</v>
      </c>
      <c r="AT283" s="3073">
        <v>45678</v>
      </c>
      <c r="AV283" s="3074">
        <v>3.21E+17</v>
      </c>
      <c r="AW283" s="3070" t="s">
        <v>5594</v>
      </c>
      <c r="AX283" s="3070" t="s">
        <v>5595</v>
      </c>
      <c r="AY283" s="3070" t="s">
        <v>3429</v>
      </c>
      <c r="BC283" s="3070" t="s">
        <v>3284</v>
      </c>
      <c r="BD283" s="3070" t="s">
        <v>3077</v>
      </c>
      <c r="BI283" s="3070" t="s">
        <v>3235</v>
      </c>
      <c r="BJ283" s="3070" t="s">
        <v>3296</v>
      </c>
      <c r="BL283" s="3070" t="s">
        <v>5596</v>
      </c>
      <c r="BM283" s="3075">
        <v>44256</v>
      </c>
      <c r="BN283" s="3070">
        <v>104</v>
      </c>
      <c r="BO283" s="3070" t="s">
        <v>3253</v>
      </c>
      <c r="BR283" s="3070">
        <v>18</v>
      </c>
      <c r="BS283" s="3070" t="s">
        <v>3238</v>
      </c>
      <c r="BZ283" s="3073">
        <v>44142.633333333331</v>
      </c>
      <c r="CA283" s="3070">
        <v>3</v>
      </c>
      <c r="CD283" s="3070" t="s">
        <v>3239</v>
      </c>
      <c r="CF283" s="3070" t="s">
        <v>3091</v>
      </c>
      <c r="CH283" s="3070" t="s">
        <v>3240</v>
      </c>
      <c r="CI283" s="3070">
        <v>0</v>
      </c>
      <c r="CK283" s="3070" t="s">
        <v>3429</v>
      </c>
      <c r="CL283" s="3070" t="s">
        <v>3429</v>
      </c>
      <c r="CM283" s="3070">
        <v>1308901.83</v>
      </c>
      <c r="CV283" s="3070" t="s">
        <v>3246</v>
      </c>
      <c r="CW283" s="3070" t="s">
        <v>5597</v>
      </c>
      <c r="CZ283" s="3070">
        <v>213894.57</v>
      </c>
      <c r="DA283" s="3070">
        <v>159426.93</v>
      </c>
      <c r="DB283" s="3070">
        <v>0</v>
      </c>
      <c r="DC283" s="3070">
        <v>0</v>
      </c>
      <c r="DD283" s="3070">
        <v>3290547602</v>
      </c>
      <c r="DE283" s="3070">
        <v>2764253109</v>
      </c>
      <c r="DF283" s="3070">
        <v>1464966739</v>
      </c>
      <c r="DG283" s="3070">
        <v>14938370</v>
      </c>
      <c r="DH283" s="3070">
        <v>1284348000</v>
      </c>
      <c r="DI283" s="3070">
        <v>1278128000</v>
      </c>
      <c r="DJ283" s="3070">
        <v>6220000</v>
      </c>
      <c r="DK283" s="3070">
        <v>0</v>
      </c>
      <c r="DL283" s="3070">
        <v>0</v>
      </c>
      <c r="DM283" s="3070">
        <v>25491817.620000001</v>
      </c>
      <c r="DN283" s="3070">
        <v>2764253109</v>
      </c>
      <c r="DP283" s="3070">
        <v>2764253109</v>
      </c>
    </row>
    <row r="284" spans="1:120">
      <c r="A284" s="3070">
        <v>283</v>
      </c>
      <c r="B284" s="3070" t="s">
        <v>3224</v>
      </c>
      <c r="C284" s="3070">
        <v>3</v>
      </c>
      <c r="E284" s="3070">
        <v>1201</v>
      </c>
      <c r="F284" s="3070" t="s">
        <v>5598</v>
      </c>
      <c r="G284" s="3070" t="s">
        <v>5599</v>
      </c>
      <c r="H284" s="3070">
        <v>1437542</v>
      </c>
      <c r="I284" s="3070">
        <v>1437542</v>
      </c>
      <c r="J284" s="3070">
        <v>114.02</v>
      </c>
      <c r="K284" s="3070">
        <v>82.85</v>
      </c>
      <c r="L284" s="3070">
        <v>0</v>
      </c>
      <c r="M284" s="3070">
        <v>0</v>
      </c>
      <c r="N284" s="3070">
        <v>15544.44</v>
      </c>
      <c r="O284" s="3070">
        <v>1772377</v>
      </c>
      <c r="P284" s="3070">
        <v>12607.81</v>
      </c>
      <c r="Q284" s="3070">
        <v>1437542</v>
      </c>
      <c r="R284" s="3070" t="s">
        <v>3227</v>
      </c>
      <c r="S284" s="3070" t="s">
        <v>5600</v>
      </c>
      <c r="T284" s="3070" t="s">
        <v>3246</v>
      </c>
      <c r="U284" s="3070" t="s">
        <v>3371</v>
      </c>
      <c r="V284" s="3070" t="s">
        <v>3230</v>
      </c>
      <c r="Y284" s="3070">
        <v>607542</v>
      </c>
      <c r="Z284" s="3070">
        <v>607542</v>
      </c>
      <c r="AA284" s="3070">
        <v>607542</v>
      </c>
      <c r="AB284" s="3070">
        <v>0</v>
      </c>
      <c r="AC284" s="3070">
        <v>830000</v>
      </c>
      <c r="AD284" s="3070">
        <v>830000</v>
      </c>
      <c r="AE284" s="3070">
        <v>0</v>
      </c>
      <c r="AI284" s="3070" t="s">
        <v>3227</v>
      </c>
      <c r="AJ284" s="3070">
        <v>0</v>
      </c>
      <c r="AK284" s="3070">
        <v>0</v>
      </c>
      <c r="AL284" s="3070">
        <v>0</v>
      </c>
      <c r="AM284" s="3070">
        <v>12607.81</v>
      </c>
      <c r="AN284" s="3070">
        <v>1437542</v>
      </c>
      <c r="AP284" s="3070">
        <v>1437542</v>
      </c>
      <c r="AQ284" s="3072">
        <v>45138</v>
      </c>
      <c r="AT284" s="3073">
        <v>45678</v>
      </c>
      <c r="AV284" s="3070" t="s">
        <v>5601</v>
      </c>
      <c r="AW284" s="3070" t="s">
        <v>5602</v>
      </c>
      <c r="AX284" s="3070" t="s">
        <v>5603</v>
      </c>
      <c r="AY284" s="3070" t="s">
        <v>3233</v>
      </c>
      <c r="BC284" s="3070" t="s">
        <v>3284</v>
      </c>
      <c r="BD284" s="3070" t="s">
        <v>3077</v>
      </c>
      <c r="BI284" s="3070" t="s">
        <v>3235</v>
      </c>
      <c r="BJ284" s="3070" t="s">
        <v>3285</v>
      </c>
      <c r="BL284" s="3070" t="s">
        <v>5604</v>
      </c>
      <c r="BM284" s="3075">
        <v>44256</v>
      </c>
      <c r="BN284" s="3070">
        <v>201</v>
      </c>
      <c r="BO284" s="3070" t="s">
        <v>3253</v>
      </c>
      <c r="BR284" s="3070">
        <v>166</v>
      </c>
      <c r="BS284" s="3070" t="s">
        <v>3238</v>
      </c>
      <c r="BZ284" s="3073">
        <v>44142.602777777778</v>
      </c>
      <c r="CA284" s="3070">
        <v>3</v>
      </c>
      <c r="CD284" s="3070" t="s">
        <v>3239</v>
      </c>
      <c r="CF284" s="3070" t="s">
        <v>3091</v>
      </c>
      <c r="CH284" s="3070" t="s">
        <v>3240</v>
      </c>
      <c r="CI284" s="3070">
        <v>0</v>
      </c>
      <c r="CK284" s="3070" t="s">
        <v>3233</v>
      </c>
      <c r="CL284" s="3070" t="s">
        <v>3233</v>
      </c>
      <c r="CM284" s="3070">
        <v>1318845.8700000001</v>
      </c>
      <c r="CV284" s="3070" t="s">
        <v>3246</v>
      </c>
      <c r="CW284" s="3070" t="s">
        <v>5605</v>
      </c>
      <c r="CX284" s="3070" t="s">
        <v>3267</v>
      </c>
      <c r="CZ284" s="3070">
        <v>213894.57</v>
      </c>
      <c r="DA284" s="3070">
        <v>159426.93</v>
      </c>
      <c r="DB284" s="3070">
        <v>0</v>
      </c>
      <c r="DC284" s="3070">
        <v>0</v>
      </c>
      <c r="DD284" s="3070">
        <v>3290547602</v>
      </c>
      <c r="DE284" s="3070">
        <v>2764253109</v>
      </c>
      <c r="DF284" s="3070">
        <v>1464966739</v>
      </c>
      <c r="DG284" s="3070">
        <v>14938370</v>
      </c>
      <c r="DH284" s="3070">
        <v>1284348000</v>
      </c>
      <c r="DI284" s="3070">
        <v>1278128000</v>
      </c>
      <c r="DJ284" s="3070">
        <v>6220000</v>
      </c>
      <c r="DK284" s="3070">
        <v>0</v>
      </c>
      <c r="DL284" s="3070">
        <v>0</v>
      </c>
      <c r="DM284" s="3070">
        <v>25491817.620000001</v>
      </c>
      <c r="DN284" s="3070">
        <v>2764253109</v>
      </c>
      <c r="DP284" s="3070">
        <v>2764253109</v>
      </c>
    </row>
    <row r="285" spans="1:120">
      <c r="A285" s="3070">
        <v>284</v>
      </c>
      <c r="B285" s="3070" t="s">
        <v>3224</v>
      </c>
      <c r="C285" s="3070">
        <v>3</v>
      </c>
      <c r="E285" s="3070">
        <v>1202</v>
      </c>
      <c r="F285" s="3070" t="s">
        <v>5606</v>
      </c>
      <c r="G285" s="3070" t="s">
        <v>5607</v>
      </c>
      <c r="H285" s="3070">
        <v>1313963</v>
      </c>
      <c r="I285" s="3070">
        <v>1313963</v>
      </c>
      <c r="J285" s="3070">
        <v>102.67</v>
      </c>
      <c r="K285" s="3070">
        <v>74.61</v>
      </c>
      <c r="L285" s="3070">
        <v>0</v>
      </c>
      <c r="M285" s="3070">
        <v>0</v>
      </c>
      <c r="N285" s="3070">
        <v>15744.44</v>
      </c>
      <c r="O285" s="3070">
        <v>1616482</v>
      </c>
      <c r="P285" s="3070">
        <v>12797.93</v>
      </c>
      <c r="Q285" s="3070">
        <v>1313963</v>
      </c>
      <c r="R285" s="3070" t="s">
        <v>3227</v>
      </c>
      <c r="S285" s="3070" t="s">
        <v>5608</v>
      </c>
      <c r="T285" s="3070" t="s">
        <v>3246</v>
      </c>
      <c r="U285" s="3070" t="s">
        <v>3467</v>
      </c>
      <c r="V285" s="3070" t="s">
        <v>3230</v>
      </c>
      <c r="Y285" s="3070">
        <v>403963</v>
      </c>
      <c r="Z285" s="3070">
        <v>131396</v>
      </c>
      <c r="AA285" s="3070">
        <v>403963</v>
      </c>
      <c r="AB285" s="3070">
        <v>0</v>
      </c>
      <c r="AC285" s="3070">
        <v>910000</v>
      </c>
      <c r="AD285" s="3070">
        <v>910000</v>
      </c>
      <c r="AE285" s="3070">
        <v>0</v>
      </c>
      <c r="AI285" s="3070" t="s">
        <v>3227</v>
      </c>
      <c r="AJ285" s="3070">
        <v>0</v>
      </c>
      <c r="AK285" s="3070">
        <v>0</v>
      </c>
      <c r="AL285" s="3070">
        <v>0</v>
      </c>
      <c r="AM285" s="3070">
        <v>12797.93</v>
      </c>
      <c r="AN285" s="3070">
        <v>1313963</v>
      </c>
      <c r="AP285" s="3070">
        <v>1313963</v>
      </c>
      <c r="AQ285" s="3072">
        <v>45138</v>
      </c>
      <c r="AT285" s="3073">
        <v>45678</v>
      </c>
      <c r="AV285" s="3074">
        <v>3.21E+17</v>
      </c>
      <c r="AW285" s="3070" t="s">
        <v>5609</v>
      </c>
      <c r="AX285" s="3070" t="s">
        <v>5610</v>
      </c>
      <c r="AY285" s="3070" t="s">
        <v>3722</v>
      </c>
      <c r="BC285" s="3070" t="s">
        <v>3284</v>
      </c>
      <c r="BD285" s="3070" t="s">
        <v>3077</v>
      </c>
      <c r="BI285" s="3070" t="s">
        <v>3235</v>
      </c>
      <c r="BJ285" s="3070" t="s">
        <v>3236</v>
      </c>
      <c r="BL285" s="3070" t="s">
        <v>5611</v>
      </c>
      <c r="BM285" s="3075">
        <v>44256</v>
      </c>
      <c r="BN285" s="3070">
        <v>202</v>
      </c>
      <c r="BO285" s="3070" t="s">
        <v>3253</v>
      </c>
      <c r="BR285" s="3070">
        <v>463</v>
      </c>
      <c r="BS285" s="3070" t="s">
        <v>3238</v>
      </c>
      <c r="BZ285" s="3073">
        <v>44148.46875</v>
      </c>
      <c r="CA285" s="3070">
        <v>3</v>
      </c>
      <c r="CD285" s="3070" t="s">
        <v>3239</v>
      </c>
      <c r="CF285" s="3070" t="s">
        <v>3091</v>
      </c>
      <c r="CH285" s="3070" t="s">
        <v>3240</v>
      </c>
      <c r="CI285" s="3070">
        <v>0</v>
      </c>
      <c r="CK285" s="3070" t="s">
        <v>3722</v>
      </c>
      <c r="CL285" s="3070" t="s">
        <v>3722</v>
      </c>
      <c r="CM285" s="3070">
        <v>1205470.6399999999</v>
      </c>
      <c r="CV285" s="3070" t="s">
        <v>3246</v>
      </c>
      <c r="CW285" s="3070" t="s">
        <v>5612</v>
      </c>
      <c r="CX285" s="3070" t="s">
        <v>3267</v>
      </c>
      <c r="CZ285" s="3070">
        <v>213894.57</v>
      </c>
      <c r="DA285" s="3070">
        <v>159426.93</v>
      </c>
      <c r="DB285" s="3070">
        <v>0</v>
      </c>
      <c r="DC285" s="3070">
        <v>0</v>
      </c>
      <c r="DD285" s="3070">
        <v>3290547602</v>
      </c>
      <c r="DE285" s="3070">
        <v>2764253109</v>
      </c>
      <c r="DF285" s="3070">
        <v>1464966739</v>
      </c>
      <c r="DG285" s="3070">
        <v>14938370</v>
      </c>
      <c r="DH285" s="3070">
        <v>1284348000</v>
      </c>
      <c r="DI285" s="3070">
        <v>1278128000</v>
      </c>
      <c r="DJ285" s="3070">
        <v>6220000</v>
      </c>
      <c r="DK285" s="3070">
        <v>0</v>
      </c>
      <c r="DL285" s="3070">
        <v>0</v>
      </c>
      <c r="DM285" s="3070">
        <v>25491817.620000001</v>
      </c>
      <c r="DN285" s="3070">
        <v>2764253109</v>
      </c>
      <c r="DP285" s="3070">
        <v>2764253109</v>
      </c>
    </row>
    <row r="286" spans="1:120">
      <c r="A286" s="3070">
        <v>285</v>
      </c>
      <c r="B286" s="3070" t="s">
        <v>3224</v>
      </c>
      <c r="C286" s="3070">
        <v>3</v>
      </c>
      <c r="E286" s="3070">
        <v>1203</v>
      </c>
      <c r="F286" s="3070" t="s">
        <v>5613</v>
      </c>
      <c r="G286" s="3070" t="s">
        <v>5614</v>
      </c>
      <c r="H286" s="3070">
        <v>1300823</v>
      </c>
      <c r="I286" s="3070">
        <v>1300823</v>
      </c>
      <c r="J286" s="3070">
        <v>102.67</v>
      </c>
      <c r="K286" s="3070">
        <v>74.61</v>
      </c>
      <c r="L286" s="3070">
        <v>0</v>
      </c>
      <c r="M286" s="3070">
        <v>0</v>
      </c>
      <c r="N286" s="3070">
        <v>15744.44</v>
      </c>
      <c r="O286" s="3070">
        <v>1616482</v>
      </c>
      <c r="P286" s="3070">
        <v>12669.94</v>
      </c>
      <c r="Q286" s="3070">
        <v>1300823</v>
      </c>
      <c r="R286" s="3070" t="s">
        <v>3227</v>
      </c>
      <c r="S286" s="3070" t="s">
        <v>5615</v>
      </c>
      <c r="T286" s="3070" t="s">
        <v>3229</v>
      </c>
      <c r="V286" s="3070" t="s">
        <v>3230</v>
      </c>
      <c r="Y286" s="3070">
        <v>390823</v>
      </c>
      <c r="Z286" s="3070">
        <v>390823</v>
      </c>
      <c r="AA286" s="3070">
        <v>1300823</v>
      </c>
      <c r="AB286" s="3070">
        <v>0</v>
      </c>
      <c r="AC286" s="3070">
        <v>0</v>
      </c>
      <c r="AD286" s="3070">
        <v>0</v>
      </c>
      <c r="AE286" s="3070">
        <v>0</v>
      </c>
      <c r="AI286" s="3070" t="s">
        <v>3227</v>
      </c>
      <c r="AJ286" s="3070">
        <v>0</v>
      </c>
      <c r="AK286" s="3070">
        <v>0</v>
      </c>
      <c r="AL286" s="3070">
        <v>0</v>
      </c>
      <c r="AM286" s="3070">
        <v>12669.94</v>
      </c>
      <c r="AN286" s="3070">
        <v>1300823</v>
      </c>
      <c r="AP286" s="3070">
        <v>1300823</v>
      </c>
      <c r="AQ286" s="3072">
        <v>45138</v>
      </c>
      <c r="AT286" s="3073">
        <v>45678</v>
      </c>
      <c r="AV286" s="3070" t="s">
        <v>5616</v>
      </c>
      <c r="AW286" s="3070" t="s">
        <v>5617</v>
      </c>
      <c r="AX286" s="3070" t="s">
        <v>5618</v>
      </c>
      <c r="AY286" s="3070" t="s">
        <v>3393</v>
      </c>
      <c r="BC286" s="3070" t="s">
        <v>3347</v>
      </c>
      <c r="BD286" s="3070" t="s">
        <v>3077</v>
      </c>
      <c r="BI286" s="3070" t="s">
        <v>3235</v>
      </c>
      <c r="BJ286" s="3070" t="s">
        <v>3296</v>
      </c>
      <c r="BL286" s="3070" t="s">
        <v>5619</v>
      </c>
      <c r="BM286" s="3075">
        <v>44256</v>
      </c>
      <c r="BN286" s="3070">
        <v>203</v>
      </c>
      <c r="BR286" s="3070">
        <v>335</v>
      </c>
      <c r="BS286" s="3070" t="s">
        <v>3238</v>
      </c>
      <c r="BZ286" s="3073">
        <v>44142.595833333333</v>
      </c>
      <c r="CA286" s="3070">
        <v>3</v>
      </c>
      <c r="CD286" s="3070" t="s">
        <v>3239</v>
      </c>
      <c r="CF286" s="3070" t="s">
        <v>3091</v>
      </c>
      <c r="CH286" s="3070" t="s">
        <v>3240</v>
      </c>
      <c r="CI286" s="3070">
        <v>0</v>
      </c>
      <c r="CK286" s="3070" t="s">
        <v>3393</v>
      </c>
      <c r="CL286" s="3070" t="s">
        <v>3393</v>
      </c>
      <c r="CM286" s="3070">
        <v>1193415.6000000001</v>
      </c>
      <c r="CV286" s="3070" t="s">
        <v>3229</v>
      </c>
      <c r="CW286" s="3070" t="s">
        <v>5620</v>
      </c>
      <c r="CX286" s="3070" t="s">
        <v>3242</v>
      </c>
      <c r="CZ286" s="3070">
        <v>213894.57</v>
      </c>
      <c r="DA286" s="3070">
        <v>159426.93</v>
      </c>
      <c r="DB286" s="3070">
        <v>0</v>
      </c>
      <c r="DC286" s="3070">
        <v>0</v>
      </c>
      <c r="DD286" s="3070">
        <v>3290547602</v>
      </c>
      <c r="DE286" s="3070">
        <v>2764253109</v>
      </c>
      <c r="DF286" s="3070">
        <v>1464966739</v>
      </c>
      <c r="DG286" s="3070">
        <v>14938370</v>
      </c>
      <c r="DH286" s="3070">
        <v>1284348000</v>
      </c>
      <c r="DI286" s="3070">
        <v>1278128000</v>
      </c>
      <c r="DJ286" s="3070">
        <v>6220000</v>
      </c>
      <c r="DK286" s="3070">
        <v>0</v>
      </c>
      <c r="DL286" s="3070">
        <v>0</v>
      </c>
      <c r="DM286" s="3070">
        <v>25491817.620000001</v>
      </c>
      <c r="DN286" s="3070">
        <v>2764253109</v>
      </c>
      <c r="DP286" s="3070">
        <v>2764253109</v>
      </c>
    </row>
    <row r="287" spans="1:120">
      <c r="A287" s="3070">
        <v>286</v>
      </c>
      <c r="B287" s="3070" t="s">
        <v>3224</v>
      </c>
      <c r="C287" s="3070">
        <v>3</v>
      </c>
      <c r="E287" s="3070">
        <v>1204</v>
      </c>
      <c r="F287" s="3070" t="s">
        <v>5621</v>
      </c>
      <c r="G287" s="3070" t="s">
        <v>5622</v>
      </c>
      <c r="H287" s="3070">
        <v>1432123</v>
      </c>
      <c r="I287" s="3070">
        <v>1432123</v>
      </c>
      <c r="J287" s="3070">
        <v>114.02</v>
      </c>
      <c r="K287" s="3070">
        <v>82.85</v>
      </c>
      <c r="L287" s="3070">
        <v>0</v>
      </c>
      <c r="M287" s="3070">
        <v>0</v>
      </c>
      <c r="N287" s="3070">
        <v>15494.44</v>
      </c>
      <c r="O287" s="3070">
        <v>1766676</v>
      </c>
      <c r="P287" s="3070">
        <v>12560.28</v>
      </c>
      <c r="Q287" s="3070">
        <v>1432123</v>
      </c>
      <c r="R287" s="3070" t="s">
        <v>3227</v>
      </c>
      <c r="S287" s="3070" t="s">
        <v>5623</v>
      </c>
      <c r="T287" s="3070" t="s">
        <v>3246</v>
      </c>
      <c r="U287" s="3070" t="s">
        <v>3259</v>
      </c>
      <c r="V287" s="3070" t="s">
        <v>3230</v>
      </c>
      <c r="Y287" s="3070">
        <v>432123</v>
      </c>
      <c r="Z287" s="3070">
        <v>432123</v>
      </c>
      <c r="AA287" s="3070">
        <v>432123</v>
      </c>
      <c r="AB287" s="3070">
        <v>0</v>
      </c>
      <c r="AC287" s="3070">
        <v>1000000</v>
      </c>
      <c r="AD287" s="3070">
        <v>1000000</v>
      </c>
      <c r="AE287" s="3070">
        <v>0</v>
      </c>
      <c r="AI287" s="3070" t="s">
        <v>3227</v>
      </c>
      <c r="AJ287" s="3070">
        <v>0</v>
      </c>
      <c r="AK287" s="3070">
        <v>0</v>
      </c>
      <c r="AL287" s="3070">
        <v>0</v>
      </c>
      <c r="AM287" s="3070">
        <v>12560.28</v>
      </c>
      <c r="AN287" s="3070">
        <v>1432123</v>
      </c>
      <c r="AP287" s="3070">
        <v>1432123</v>
      </c>
      <c r="AQ287" s="3072">
        <v>45138</v>
      </c>
      <c r="AT287" s="3073">
        <v>45678</v>
      </c>
      <c r="AV287" s="3074">
        <v>3.41E+17</v>
      </c>
      <c r="AW287" s="3070" t="s">
        <v>5624</v>
      </c>
      <c r="AX287" s="3070" t="s">
        <v>5625</v>
      </c>
      <c r="AY287" s="3070" t="s">
        <v>3656</v>
      </c>
      <c r="BC287" s="3070" t="s">
        <v>3284</v>
      </c>
      <c r="BD287" s="3070" t="s">
        <v>3077</v>
      </c>
      <c r="BI287" s="3070" t="s">
        <v>3235</v>
      </c>
      <c r="BJ287" s="3070" t="s">
        <v>3296</v>
      </c>
      <c r="BL287" s="3070" t="s">
        <v>5626</v>
      </c>
      <c r="BM287" s="3075">
        <v>44256</v>
      </c>
      <c r="BN287" s="3070">
        <v>204</v>
      </c>
      <c r="BO287" s="3070" t="s">
        <v>3253</v>
      </c>
      <c r="BR287" s="3070">
        <v>822</v>
      </c>
      <c r="BS287" s="3070" t="s">
        <v>3238</v>
      </c>
      <c r="BZ287" s="3073">
        <v>44153.801388888889</v>
      </c>
      <c r="CA287" s="3070">
        <v>3</v>
      </c>
      <c r="CD287" s="3070" t="s">
        <v>3239</v>
      </c>
      <c r="CF287" s="3070" t="s">
        <v>3091</v>
      </c>
      <c r="CH287" s="3070" t="s">
        <v>3240</v>
      </c>
      <c r="CI287" s="3070">
        <v>0</v>
      </c>
      <c r="CK287" s="3070" t="s">
        <v>3656</v>
      </c>
      <c r="CL287" s="3070" t="s">
        <v>3656</v>
      </c>
      <c r="CM287" s="3070">
        <v>1313874.31</v>
      </c>
      <c r="CV287" s="3070" t="s">
        <v>3246</v>
      </c>
      <c r="CW287" s="3070" t="s">
        <v>5627</v>
      </c>
      <c r="CZ287" s="3070">
        <v>213894.57</v>
      </c>
      <c r="DA287" s="3070">
        <v>159426.93</v>
      </c>
      <c r="DB287" s="3070">
        <v>0</v>
      </c>
      <c r="DC287" s="3070">
        <v>0</v>
      </c>
      <c r="DD287" s="3070">
        <v>3290547602</v>
      </c>
      <c r="DE287" s="3070">
        <v>2764253109</v>
      </c>
      <c r="DF287" s="3070">
        <v>1464966739</v>
      </c>
      <c r="DG287" s="3070">
        <v>14938370</v>
      </c>
      <c r="DH287" s="3070">
        <v>1284348000</v>
      </c>
      <c r="DI287" s="3070">
        <v>1278128000</v>
      </c>
      <c r="DJ287" s="3070">
        <v>6220000</v>
      </c>
      <c r="DK287" s="3070">
        <v>0</v>
      </c>
      <c r="DL287" s="3070">
        <v>0</v>
      </c>
      <c r="DM287" s="3070">
        <v>25491817.620000001</v>
      </c>
      <c r="DN287" s="3070">
        <v>2764253109</v>
      </c>
      <c r="DP287" s="3070">
        <v>2764253109</v>
      </c>
    </row>
    <row r="288" spans="1:120">
      <c r="A288" s="3070">
        <v>287</v>
      </c>
      <c r="B288" s="3070" t="s">
        <v>3224</v>
      </c>
      <c r="C288" s="3070">
        <v>3</v>
      </c>
      <c r="E288" s="3070">
        <v>1301</v>
      </c>
      <c r="F288" s="3070" t="s">
        <v>5628</v>
      </c>
      <c r="G288" s="3070" t="s">
        <v>5629</v>
      </c>
      <c r="H288" s="3070">
        <v>1437542</v>
      </c>
      <c r="I288" s="3070">
        <v>1437542</v>
      </c>
      <c r="J288" s="3070">
        <v>114.02</v>
      </c>
      <c r="K288" s="3070">
        <v>82.85</v>
      </c>
      <c r="L288" s="3070">
        <v>0</v>
      </c>
      <c r="M288" s="3070">
        <v>0</v>
      </c>
      <c r="N288" s="3070">
        <v>15544.44</v>
      </c>
      <c r="O288" s="3070">
        <v>1772377</v>
      </c>
      <c r="P288" s="3070">
        <v>12607.81</v>
      </c>
      <c r="Q288" s="3070">
        <v>1437542</v>
      </c>
      <c r="R288" s="3070" t="s">
        <v>3227</v>
      </c>
      <c r="S288" s="3070" t="s">
        <v>5630</v>
      </c>
      <c r="T288" s="3070" t="s">
        <v>3246</v>
      </c>
      <c r="U288" s="3070" t="s">
        <v>3279</v>
      </c>
      <c r="V288" s="3070" t="s">
        <v>3230</v>
      </c>
      <c r="Y288" s="3070">
        <v>437542</v>
      </c>
      <c r="Z288" s="3070">
        <v>437542</v>
      </c>
      <c r="AA288" s="3070">
        <v>437542</v>
      </c>
      <c r="AB288" s="3070">
        <v>0</v>
      </c>
      <c r="AC288" s="3070">
        <v>1000000</v>
      </c>
      <c r="AD288" s="3070">
        <v>1000000</v>
      </c>
      <c r="AE288" s="3070">
        <v>0</v>
      </c>
      <c r="AI288" s="3070" t="s">
        <v>3227</v>
      </c>
      <c r="AJ288" s="3070">
        <v>0</v>
      </c>
      <c r="AK288" s="3070">
        <v>0</v>
      </c>
      <c r="AL288" s="3070">
        <v>0</v>
      </c>
      <c r="AM288" s="3070">
        <v>12607.81</v>
      </c>
      <c r="AN288" s="3070">
        <v>1437542</v>
      </c>
      <c r="AP288" s="3070">
        <v>1437542</v>
      </c>
      <c r="AQ288" s="3072">
        <v>45138</v>
      </c>
      <c r="AT288" s="3073">
        <v>45678</v>
      </c>
      <c r="AV288" s="3070" t="s">
        <v>5631</v>
      </c>
      <c r="AW288" s="3070" t="s">
        <v>5632</v>
      </c>
      <c r="AX288" s="3070" t="s">
        <v>5633</v>
      </c>
      <c r="AY288" s="3070" t="s">
        <v>3262</v>
      </c>
      <c r="BC288" s="3070" t="s">
        <v>3284</v>
      </c>
      <c r="BD288" s="3070" t="s">
        <v>3077</v>
      </c>
      <c r="BI288" s="3070" t="s">
        <v>3235</v>
      </c>
      <c r="BJ288" s="3070" t="s">
        <v>3296</v>
      </c>
      <c r="BL288" s="3070" t="s">
        <v>5634</v>
      </c>
      <c r="BM288" s="3075">
        <v>44256</v>
      </c>
      <c r="BN288" s="3070">
        <v>301</v>
      </c>
      <c r="BO288" s="3070" t="s">
        <v>3253</v>
      </c>
      <c r="BR288" s="3070">
        <v>141</v>
      </c>
      <c r="BS288" s="3070" t="s">
        <v>3238</v>
      </c>
      <c r="BZ288" s="3073">
        <v>44142.625</v>
      </c>
      <c r="CA288" s="3070">
        <v>3</v>
      </c>
      <c r="CD288" s="3070" t="s">
        <v>3239</v>
      </c>
      <c r="CF288" s="3070" t="s">
        <v>3091</v>
      </c>
      <c r="CH288" s="3070" t="s">
        <v>3240</v>
      </c>
      <c r="CI288" s="3070">
        <v>0</v>
      </c>
      <c r="CK288" s="3070" t="s">
        <v>3262</v>
      </c>
      <c r="CL288" s="3070" t="s">
        <v>3262</v>
      </c>
      <c r="CM288" s="3070">
        <v>1318845.8700000001</v>
      </c>
      <c r="CV288" s="3070" t="s">
        <v>3246</v>
      </c>
      <c r="CW288" s="3070" t="s">
        <v>5635</v>
      </c>
      <c r="CZ288" s="3070">
        <v>213894.57</v>
      </c>
      <c r="DA288" s="3070">
        <v>159426.93</v>
      </c>
      <c r="DB288" s="3070">
        <v>0</v>
      </c>
      <c r="DC288" s="3070">
        <v>0</v>
      </c>
      <c r="DD288" s="3070">
        <v>3290547602</v>
      </c>
      <c r="DE288" s="3070">
        <v>2764253109</v>
      </c>
      <c r="DF288" s="3070">
        <v>1464966739</v>
      </c>
      <c r="DG288" s="3070">
        <v>14938370</v>
      </c>
      <c r="DH288" s="3070">
        <v>1284348000</v>
      </c>
      <c r="DI288" s="3070">
        <v>1278128000</v>
      </c>
      <c r="DJ288" s="3070">
        <v>6220000</v>
      </c>
      <c r="DK288" s="3070">
        <v>0</v>
      </c>
      <c r="DL288" s="3070">
        <v>0</v>
      </c>
      <c r="DM288" s="3070">
        <v>25491817.620000001</v>
      </c>
      <c r="DN288" s="3070">
        <v>2764253109</v>
      </c>
      <c r="DP288" s="3070">
        <v>2764253109</v>
      </c>
    </row>
    <row r="289" spans="1:120">
      <c r="A289" s="3070">
        <v>288</v>
      </c>
      <c r="B289" s="3070" t="s">
        <v>3224</v>
      </c>
      <c r="C289" s="3070">
        <v>3</v>
      </c>
      <c r="E289" s="3070">
        <v>1302</v>
      </c>
      <c r="F289" s="3070" t="s">
        <v>5636</v>
      </c>
      <c r="G289" s="3070" t="s">
        <v>5637</v>
      </c>
      <c r="H289" s="3070">
        <v>1313323</v>
      </c>
      <c r="I289" s="3070">
        <v>1313323</v>
      </c>
      <c r="J289" s="3070">
        <v>102.62</v>
      </c>
      <c r="K289" s="3070">
        <v>74.569999999999993</v>
      </c>
      <c r="L289" s="3070">
        <v>0</v>
      </c>
      <c r="M289" s="3070">
        <v>0</v>
      </c>
      <c r="N289" s="3070">
        <v>15744.44</v>
      </c>
      <c r="O289" s="3070">
        <v>1615694</v>
      </c>
      <c r="P289" s="3070">
        <v>12797.92</v>
      </c>
      <c r="Q289" s="3070">
        <v>1313323</v>
      </c>
      <c r="R289" s="3070" t="s">
        <v>3227</v>
      </c>
      <c r="S289" s="3070" t="s">
        <v>5638</v>
      </c>
      <c r="T289" s="3070" t="s">
        <v>3246</v>
      </c>
      <c r="U289" s="3070" t="s">
        <v>3247</v>
      </c>
      <c r="V289" s="3070" t="s">
        <v>3230</v>
      </c>
      <c r="Y289" s="3070">
        <v>413323</v>
      </c>
      <c r="Z289" s="3070">
        <v>413323</v>
      </c>
      <c r="AA289" s="3070">
        <v>413323</v>
      </c>
      <c r="AB289" s="3070">
        <v>0</v>
      </c>
      <c r="AC289" s="3070">
        <v>900000</v>
      </c>
      <c r="AD289" s="3070">
        <v>900000</v>
      </c>
      <c r="AE289" s="3070">
        <v>0</v>
      </c>
      <c r="AI289" s="3070" t="s">
        <v>3227</v>
      </c>
      <c r="AJ289" s="3070">
        <v>0</v>
      </c>
      <c r="AK289" s="3070">
        <v>0</v>
      </c>
      <c r="AL289" s="3070">
        <v>0</v>
      </c>
      <c r="AM289" s="3070">
        <v>12797.92</v>
      </c>
      <c r="AN289" s="3070">
        <v>1313323</v>
      </c>
      <c r="AP289" s="3070">
        <v>1313323</v>
      </c>
      <c r="AQ289" s="3072">
        <v>45138</v>
      </c>
      <c r="AT289" s="3073">
        <v>45678</v>
      </c>
      <c r="AV289" s="3070" t="s">
        <v>5639</v>
      </c>
      <c r="AW289" s="3070" t="s">
        <v>5640</v>
      </c>
      <c r="AX289" s="3070" t="s">
        <v>5641</v>
      </c>
      <c r="AY289" s="3070" t="s">
        <v>3250</v>
      </c>
      <c r="BC289" s="3070" t="s">
        <v>3284</v>
      </c>
      <c r="BD289" s="3070" t="s">
        <v>3077</v>
      </c>
      <c r="BI289" s="3070" t="s">
        <v>3235</v>
      </c>
      <c r="BL289" s="3070" t="s">
        <v>5642</v>
      </c>
      <c r="BM289" s="3075">
        <v>44256</v>
      </c>
      <c r="BN289" s="3070">
        <v>302</v>
      </c>
      <c r="BO289" s="3070" t="s">
        <v>3253</v>
      </c>
      <c r="BR289" s="3070">
        <v>327</v>
      </c>
      <c r="BS289" s="3070" t="s">
        <v>3238</v>
      </c>
      <c r="BZ289" s="3073">
        <v>44148.429166666669</v>
      </c>
      <c r="CA289" s="3070">
        <v>3</v>
      </c>
      <c r="CD289" s="3070" t="s">
        <v>3239</v>
      </c>
      <c r="CF289" s="3070" t="s">
        <v>3091</v>
      </c>
      <c r="CH289" s="3070" t="s">
        <v>3240</v>
      </c>
      <c r="CI289" s="3070">
        <v>0</v>
      </c>
      <c r="CK289" s="3070" t="s">
        <v>3250</v>
      </c>
      <c r="CL289" s="3070" t="s">
        <v>3250</v>
      </c>
      <c r="CM289" s="3070">
        <v>1204883.49</v>
      </c>
      <c r="CV289" s="3070" t="s">
        <v>3246</v>
      </c>
      <c r="CW289" s="3070" t="s">
        <v>5643</v>
      </c>
      <c r="CX289" s="3070" t="s">
        <v>3242</v>
      </c>
      <c r="CZ289" s="3070">
        <v>213894.57</v>
      </c>
      <c r="DA289" s="3070">
        <v>159426.93</v>
      </c>
      <c r="DB289" s="3070">
        <v>0</v>
      </c>
      <c r="DC289" s="3070">
        <v>0</v>
      </c>
      <c r="DD289" s="3070">
        <v>3290547602</v>
      </c>
      <c r="DE289" s="3070">
        <v>2764253109</v>
      </c>
      <c r="DF289" s="3070">
        <v>1464966739</v>
      </c>
      <c r="DG289" s="3070">
        <v>14938370</v>
      </c>
      <c r="DH289" s="3070">
        <v>1284348000</v>
      </c>
      <c r="DI289" s="3070">
        <v>1278128000</v>
      </c>
      <c r="DJ289" s="3070">
        <v>6220000</v>
      </c>
      <c r="DK289" s="3070">
        <v>0</v>
      </c>
      <c r="DL289" s="3070">
        <v>0</v>
      </c>
      <c r="DM289" s="3070">
        <v>25491817.620000001</v>
      </c>
      <c r="DN289" s="3070">
        <v>2764253109</v>
      </c>
      <c r="DP289" s="3070">
        <v>2764253109</v>
      </c>
    </row>
    <row r="290" spans="1:120">
      <c r="A290" s="3070">
        <v>289</v>
      </c>
      <c r="B290" s="3070" t="s">
        <v>3224</v>
      </c>
      <c r="C290" s="3070">
        <v>3</v>
      </c>
      <c r="E290" s="3070">
        <v>1303</v>
      </c>
      <c r="F290" s="3070" t="s">
        <v>5644</v>
      </c>
      <c r="G290" s="3070" t="s">
        <v>5645</v>
      </c>
      <c r="H290" s="3070">
        <v>1312555</v>
      </c>
      <c r="I290" s="3070">
        <v>1312555</v>
      </c>
      <c r="J290" s="3070">
        <v>102.56</v>
      </c>
      <c r="K290" s="3070">
        <v>74.53</v>
      </c>
      <c r="L290" s="3070">
        <v>0</v>
      </c>
      <c r="M290" s="3070">
        <v>0</v>
      </c>
      <c r="N290" s="3070">
        <v>15744.44</v>
      </c>
      <c r="O290" s="3070">
        <v>1614750</v>
      </c>
      <c r="P290" s="3070">
        <v>12797.92</v>
      </c>
      <c r="Q290" s="3070">
        <v>1312555</v>
      </c>
      <c r="R290" s="3070" t="s">
        <v>3227</v>
      </c>
      <c r="S290" s="3070" t="s">
        <v>5646</v>
      </c>
      <c r="T290" s="3070" t="s">
        <v>3246</v>
      </c>
      <c r="U290" s="3070" t="s">
        <v>3467</v>
      </c>
      <c r="V290" s="3070" t="s">
        <v>3230</v>
      </c>
      <c r="Y290" s="3070">
        <v>402555</v>
      </c>
      <c r="Z290" s="3070">
        <v>402555</v>
      </c>
      <c r="AA290" s="3070">
        <v>402555</v>
      </c>
      <c r="AB290" s="3070">
        <v>0</v>
      </c>
      <c r="AC290" s="3070">
        <v>910000</v>
      </c>
      <c r="AD290" s="3070">
        <v>910000</v>
      </c>
      <c r="AE290" s="3070">
        <v>0</v>
      </c>
      <c r="AI290" s="3070" t="s">
        <v>3227</v>
      </c>
      <c r="AJ290" s="3070">
        <v>0</v>
      </c>
      <c r="AK290" s="3070">
        <v>0</v>
      </c>
      <c r="AL290" s="3070">
        <v>0</v>
      </c>
      <c r="AM290" s="3070">
        <v>12797.92</v>
      </c>
      <c r="AN290" s="3070">
        <v>1312555</v>
      </c>
      <c r="AP290" s="3070">
        <v>1312555</v>
      </c>
      <c r="AQ290" s="3072">
        <v>45138</v>
      </c>
      <c r="AT290" s="3073">
        <v>45678</v>
      </c>
      <c r="AV290" s="3070" t="s">
        <v>5647</v>
      </c>
      <c r="AW290" s="3070" t="s">
        <v>5648</v>
      </c>
      <c r="AX290" s="3070" t="s">
        <v>5649</v>
      </c>
      <c r="AY290" s="3070" t="s">
        <v>3337</v>
      </c>
      <c r="BC290" s="3070" t="s">
        <v>3284</v>
      </c>
      <c r="BD290" s="3070" t="s">
        <v>3077</v>
      </c>
      <c r="BI290" s="3070" t="s">
        <v>3235</v>
      </c>
      <c r="BJ290" s="3070" t="s">
        <v>3296</v>
      </c>
      <c r="BL290" s="3070" t="s">
        <v>5650</v>
      </c>
      <c r="BM290" s="3075">
        <v>44256</v>
      </c>
      <c r="BN290" s="3070">
        <v>303</v>
      </c>
      <c r="BO290" s="3070" t="s">
        <v>3253</v>
      </c>
      <c r="BR290" s="3070">
        <v>209</v>
      </c>
      <c r="BS290" s="3070" t="s">
        <v>3238</v>
      </c>
      <c r="BZ290" s="3073">
        <v>44142.613888888889</v>
      </c>
      <c r="CA290" s="3070">
        <v>3</v>
      </c>
      <c r="CD290" s="3070" t="s">
        <v>3239</v>
      </c>
      <c r="CF290" s="3070" t="s">
        <v>3091</v>
      </c>
      <c r="CH290" s="3070" t="s">
        <v>3240</v>
      </c>
      <c r="CI290" s="3070">
        <v>0</v>
      </c>
      <c r="CK290" s="3070" t="s">
        <v>3337</v>
      </c>
      <c r="CL290" s="3070" t="s">
        <v>3337</v>
      </c>
      <c r="CM290" s="3070">
        <v>1204178.8999999999</v>
      </c>
      <c r="CV290" s="3070" t="s">
        <v>3246</v>
      </c>
      <c r="CW290" s="3070" t="s">
        <v>5651</v>
      </c>
      <c r="CZ290" s="3070">
        <v>213894.57</v>
      </c>
      <c r="DA290" s="3070">
        <v>159426.93</v>
      </c>
      <c r="DB290" s="3070">
        <v>0</v>
      </c>
      <c r="DC290" s="3070">
        <v>0</v>
      </c>
      <c r="DD290" s="3070">
        <v>3290547602</v>
      </c>
      <c r="DE290" s="3070">
        <v>2764253109</v>
      </c>
      <c r="DF290" s="3070">
        <v>1464966739</v>
      </c>
      <c r="DG290" s="3070">
        <v>14938370</v>
      </c>
      <c r="DH290" s="3070">
        <v>1284348000</v>
      </c>
      <c r="DI290" s="3070">
        <v>1278128000</v>
      </c>
      <c r="DJ290" s="3070">
        <v>6220000</v>
      </c>
      <c r="DK290" s="3070">
        <v>0</v>
      </c>
      <c r="DL290" s="3070">
        <v>0</v>
      </c>
      <c r="DM290" s="3070">
        <v>25491817.620000001</v>
      </c>
      <c r="DN290" s="3070">
        <v>2764253109</v>
      </c>
      <c r="DP290" s="3070">
        <v>2764253109</v>
      </c>
    </row>
    <row r="291" spans="1:120">
      <c r="A291" s="3070">
        <v>290</v>
      </c>
      <c r="B291" s="3070" t="s">
        <v>3224</v>
      </c>
      <c r="C291" s="3070">
        <v>3</v>
      </c>
      <c r="E291" s="3070">
        <v>1304</v>
      </c>
      <c r="F291" s="3070" t="s">
        <v>5652</v>
      </c>
      <c r="G291" s="3070" t="s">
        <v>5653</v>
      </c>
      <c r="H291" s="3070">
        <v>1432123</v>
      </c>
      <c r="I291" s="3070">
        <v>1432123</v>
      </c>
      <c r="J291" s="3070">
        <v>114.02</v>
      </c>
      <c r="K291" s="3070">
        <v>82.85</v>
      </c>
      <c r="L291" s="3070">
        <v>0</v>
      </c>
      <c r="M291" s="3070">
        <v>0</v>
      </c>
      <c r="N291" s="3070">
        <v>15494.44</v>
      </c>
      <c r="O291" s="3070">
        <v>1766676</v>
      </c>
      <c r="P291" s="3070">
        <v>12560.28</v>
      </c>
      <c r="Q291" s="3070">
        <v>1432123</v>
      </c>
      <c r="R291" s="3070" t="s">
        <v>3227</v>
      </c>
      <c r="S291" s="3070" t="s">
        <v>5654</v>
      </c>
      <c r="T291" s="3070" t="s">
        <v>3246</v>
      </c>
      <c r="U291" s="3070" t="s">
        <v>3247</v>
      </c>
      <c r="V291" s="3070" t="s">
        <v>3230</v>
      </c>
      <c r="Y291" s="3070">
        <v>432123</v>
      </c>
      <c r="Z291" s="3070">
        <v>432123</v>
      </c>
      <c r="AA291" s="3070">
        <v>432123</v>
      </c>
      <c r="AB291" s="3070">
        <v>0</v>
      </c>
      <c r="AC291" s="3070">
        <v>1000000</v>
      </c>
      <c r="AD291" s="3070">
        <v>1000000</v>
      </c>
      <c r="AE291" s="3070">
        <v>0</v>
      </c>
      <c r="AI291" s="3070" t="s">
        <v>3227</v>
      </c>
      <c r="AJ291" s="3070">
        <v>0</v>
      </c>
      <c r="AK291" s="3070">
        <v>0</v>
      </c>
      <c r="AL291" s="3070">
        <v>0</v>
      </c>
      <c r="AM291" s="3070">
        <v>12560.28</v>
      </c>
      <c r="AN291" s="3070">
        <v>1432123</v>
      </c>
      <c r="AP291" s="3070">
        <v>1432123</v>
      </c>
      <c r="AQ291" s="3072">
        <v>45138</v>
      </c>
      <c r="AT291" s="3073">
        <v>45678</v>
      </c>
      <c r="AV291" s="3070" t="s">
        <v>5655</v>
      </c>
      <c r="AW291" s="3070" t="s">
        <v>5656</v>
      </c>
      <c r="AX291" s="3070" t="s">
        <v>5657</v>
      </c>
      <c r="AY291" s="3070" t="s">
        <v>3722</v>
      </c>
      <c r="BC291" s="3070" t="s">
        <v>3284</v>
      </c>
      <c r="BD291" s="3070" t="s">
        <v>3077</v>
      </c>
      <c r="BI291" s="3070" t="s">
        <v>3235</v>
      </c>
      <c r="BJ291" s="3070" t="s">
        <v>3682</v>
      </c>
      <c r="BL291" s="3070" t="s">
        <v>5658</v>
      </c>
      <c r="BM291" s="3075">
        <v>44256</v>
      </c>
      <c r="BN291" s="3070">
        <v>304</v>
      </c>
      <c r="BO291" s="3070" t="s">
        <v>3253</v>
      </c>
      <c r="BR291" s="3070">
        <v>100</v>
      </c>
      <c r="BS291" s="3070" t="s">
        <v>3238</v>
      </c>
      <c r="BZ291" s="3073">
        <v>44142.650694444441</v>
      </c>
      <c r="CA291" s="3070">
        <v>3</v>
      </c>
      <c r="CD291" s="3070" t="s">
        <v>3239</v>
      </c>
      <c r="CF291" s="3070" t="s">
        <v>3091</v>
      </c>
      <c r="CH291" s="3070" t="s">
        <v>3240</v>
      </c>
      <c r="CI291" s="3070">
        <v>0</v>
      </c>
      <c r="CK291" s="3070" t="s">
        <v>3722</v>
      </c>
      <c r="CL291" s="3070" t="s">
        <v>3722</v>
      </c>
      <c r="CM291" s="3070">
        <v>1313874.31</v>
      </c>
      <c r="CV291" s="3070" t="s">
        <v>3246</v>
      </c>
      <c r="CW291" s="3070" t="s">
        <v>5659</v>
      </c>
      <c r="CX291" s="3070" t="s">
        <v>3510</v>
      </c>
      <c r="CZ291" s="3070">
        <v>213894.57</v>
      </c>
      <c r="DA291" s="3070">
        <v>159426.93</v>
      </c>
      <c r="DB291" s="3070">
        <v>0</v>
      </c>
      <c r="DC291" s="3070">
        <v>0</v>
      </c>
      <c r="DD291" s="3070">
        <v>3290547602</v>
      </c>
      <c r="DE291" s="3070">
        <v>2764253109</v>
      </c>
      <c r="DF291" s="3070">
        <v>1464966739</v>
      </c>
      <c r="DG291" s="3070">
        <v>14938370</v>
      </c>
      <c r="DH291" s="3070">
        <v>1284348000</v>
      </c>
      <c r="DI291" s="3070">
        <v>1278128000</v>
      </c>
      <c r="DJ291" s="3070">
        <v>6220000</v>
      </c>
      <c r="DK291" s="3070">
        <v>0</v>
      </c>
      <c r="DL291" s="3070">
        <v>0</v>
      </c>
      <c r="DM291" s="3070">
        <v>25491817.620000001</v>
      </c>
      <c r="DN291" s="3070">
        <v>2764253109</v>
      </c>
      <c r="DP291" s="3070">
        <v>2764253109</v>
      </c>
    </row>
    <row r="292" spans="1:120">
      <c r="A292" s="3070">
        <v>291</v>
      </c>
      <c r="B292" s="3070" t="s">
        <v>3224</v>
      </c>
      <c r="C292" s="3070">
        <v>3</v>
      </c>
      <c r="E292" s="3070">
        <v>1401</v>
      </c>
      <c r="F292" s="3070" t="s">
        <v>5660</v>
      </c>
      <c r="G292" s="3070" t="s">
        <v>5661</v>
      </c>
      <c r="H292" s="3070">
        <v>1426703</v>
      </c>
      <c r="I292" s="3070">
        <v>1426703</v>
      </c>
      <c r="J292" s="3070">
        <v>114.02</v>
      </c>
      <c r="K292" s="3070">
        <v>82.85</v>
      </c>
      <c r="L292" s="3070">
        <v>0</v>
      </c>
      <c r="M292" s="3070">
        <v>0</v>
      </c>
      <c r="N292" s="3070">
        <v>15444.44</v>
      </c>
      <c r="O292" s="3070">
        <v>1760975</v>
      </c>
      <c r="P292" s="3070">
        <v>12512.74</v>
      </c>
      <c r="Q292" s="3070">
        <v>1426703</v>
      </c>
      <c r="R292" s="3070" t="s">
        <v>3227</v>
      </c>
      <c r="S292" s="3070" t="s">
        <v>5662</v>
      </c>
      <c r="T292" s="3070" t="s">
        <v>3246</v>
      </c>
      <c r="U292" s="3070" t="s">
        <v>3539</v>
      </c>
      <c r="V292" s="3070" t="s">
        <v>3230</v>
      </c>
      <c r="Y292" s="3070">
        <v>436703</v>
      </c>
      <c r="Z292" s="3070">
        <v>436703</v>
      </c>
      <c r="AA292" s="3070">
        <v>436703</v>
      </c>
      <c r="AB292" s="3070">
        <v>0</v>
      </c>
      <c r="AC292" s="3070">
        <v>990000</v>
      </c>
      <c r="AD292" s="3070">
        <v>990000</v>
      </c>
      <c r="AE292" s="3070">
        <v>0</v>
      </c>
      <c r="AI292" s="3070" t="s">
        <v>3227</v>
      </c>
      <c r="AJ292" s="3070">
        <v>0</v>
      </c>
      <c r="AK292" s="3070">
        <v>0</v>
      </c>
      <c r="AL292" s="3070">
        <v>0</v>
      </c>
      <c r="AM292" s="3070">
        <v>12512.74</v>
      </c>
      <c r="AN292" s="3070">
        <v>1426703</v>
      </c>
      <c r="AP292" s="3070">
        <v>1426703</v>
      </c>
      <c r="AQ292" s="3072">
        <v>45138</v>
      </c>
      <c r="AT292" s="3073">
        <v>45678</v>
      </c>
      <c r="AV292" s="3074">
        <v>3.21E+17</v>
      </c>
      <c r="AW292" s="3070" t="s">
        <v>5663</v>
      </c>
      <c r="AX292" s="3070" t="s">
        <v>5664</v>
      </c>
      <c r="AY292" s="3070" t="s">
        <v>3722</v>
      </c>
      <c r="BC292" s="3070" t="s">
        <v>3284</v>
      </c>
      <c r="BD292" s="3070" t="s">
        <v>3077</v>
      </c>
      <c r="BI292" s="3070" t="s">
        <v>3235</v>
      </c>
      <c r="BJ292" s="3070" t="s">
        <v>3338</v>
      </c>
      <c r="BL292" s="3070" t="s">
        <v>5665</v>
      </c>
      <c r="BM292" s="3075">
        <v>44256</v>
      </c>
      <c r="BN292" s="3070">
        <v>401</v>
      </c>
      <c r="BO292" s="3070" t="s">
        <v>3253</v>
      </c>
      <c r="BR292" s="3070">
        <v>211</v>
      </c>
      <c r="BS292" s="3070" t="s">
        <v>3238</v>
      </c>
      <c r="BZ292" s="3073">
        <v>44142.652777777781</v>
      </c>
      <c r="CA292" s="3070">
        <v>3</v>
      </c>
      <c r="CD292" s="3070" t="s">
        <v>3239</v>
      </c>
      <c r="CF292" s="3070" t="s">
        <v>3091</v>
      </c>
      <c r="CH292" s="3070" t="s">
        <v>3240</v>
      </c>
      <c r="CI292" s="3070">
        <v>0</v>
      </c>
      <c r="CK292" s="3070" t="s">
        <v>3722</v>
      </c>
      <c r="CL292" s="3070" t="s">
        <v>3722</v>
      </c>
      <c r="CM292" s="3070">
        <v>1308901.83</v>
      </c>
      <c r="CV292" s="3070" t="s">
        <v>3246</v>
      </c>
      <c r="CW292" s="3070" t="s">
        <v>5666</v>
      </c>
      <c r="CZ292" s="3070">
        <v>213894.57</v>
      </c>
      <c r="DA292" s="3070">
        <v>159426.93</v>
      </c>
      <c r="DB292" s="3070">
        <v>0</v>
      </c>
      <c r="DC292" s="3070">
        <v>0</v>
      </c>
      <c r="DD292" s="3070">
        <v>3290547602</v>
      </c>
      <c r="DE292" s="3070">
        <v>2764253109</v>
      </c>
      <c r="DF292" s="3070">
        <v>1464966739</v>
      </c>
      <c r="DG292" s="3070">
        <v>14938370</v>
      </c>
      <c r="DH292" s="3070">
        <v>1284348000</v>
      </c>
      <c r="DI292" s="3070">
        <v>1278128000</v>
      </c>
      <c r="DJ292" s="3070">
        <v>6220000</v>
      </c>
      <c r="DK292" s="3070">
        <v>0</v>
      </c>
      <c r="DL292" s="3070">
        <v>0</v>
      </c>
      <c r="DM292" s="3070">
        <v>25491817.620000001</v>
      </c>
      <c r="DN292" s="3070">
        <v>2764253109</v>
      </c>
      <c r="DP292" s="3070">
        <v>2764253109</v>
      </c>
    </row>
    <row r="293" spans="1:120">
      <c r="A293" s="3070">
        <v>292</v>
      </c>
      <c r="B293" s="3070" t="s">
        <v>3224</v>
      </c>
      <c r="C293" s="3070">
        <v>3</v>
      </c>
      <c r="E293" s="3070">
        <v>1402</v>
      </c>
      <c r="F293" s="3070" t="s">
        <v>5667</v>
      </c>
      <c r="G293" s="3070" t="s">
        <v>5668</v>
      </c>
      <c r="H293" s="3070">
        <v>1290532</v>
      </c>
      <c r="I293" s="3070">
        <v>1290532</v>
      </c>
      <c r="J293" s="3070">
        <v>102.62</v>
      </c>
      <c r="K293" s="3070">
        <v>74.569999999999993</v>
      </c>
      <c r="L293" s="3070">
        <v>0</v>
      </c>
      <c r="M293" s="3070">
        <v>0</v>
      </c>
      <c r="N293" s="3070">
        <v>15644.44</v>
      </c>
      <c r="O293" s="3070">
        <v>1605432</v>
      </c>
      <c r="P293" s="3070">
        <v>12575.83</v>
      </c>
      <c r="Q293" s="3070">
        <v>1290532</v>
      </c>
      <c r="R293" s="3070" t="s">
        <v>3227</v>
      </c>
      <c r="S293" s="3070" t="s">
        <v>5669</v>
      </c>
      <c r="T293" s="3070" t="s">
        <v>3229</v>
      </c>
      <c r="V293" s="3070" t="s">
        <v>3230</v>
      </c>
      <c r="Y293" s="3070">
        <v>387160</v>
      </c>
      <c r="Z293" s="3070">
        <v>387160</v>
      </c>
      <c r="AA293" s="3070">
        <v>1290532</v>
      </c>
      <c r="AB293" s="3070">
        <v>0</v>
      </c>
      <c r="AC293" s="3070">
        <v>0</v>
      </c>
      <c r="AD293" s="3070">
        <v>0</v>
      </c>
      <c r="AE293" s="3070">
        <v>0</v>
      </c>
      <c r="AI293" s="3070" t="s">
        <v>3227</v>
      </c>
      <c r="AJ293" s="3070">
        <v>0</v>
      </c>
      <c r="AK293" s="3070">
        <v>0</v>
      </c>
      <c r="AL293" s="3070">
        <v>0</v>
      </c>
      <c r="AM293" s="3070">
        <v>12575.83</v>
      </c>
      <c r="AN293" s="3070">
        <v>1290532</v>
      </c>
      <c r="AP293" s="3070">
        <v>1290532</v>
      </c>
      <c r="AQ293" s="3072">
        <v>45138</v>
      </c>
      <c r="AT293" s="3073">
        <v>45678</v>
      </c>
      <c r="AV293" s="3074">
        <v>3.21E+17</v>
      </c>
      <c r="AW293" s="3070" t="s">
        <v>5670</v>
      </c>
      <c r="AX293" s="3070" t="s">
        <v>5671</v>
      </c>
      <c r="AY293" s="3070" t="s">
        <v>3375</v>
      </c>
      <c r="BC293" s="3070" t="s">
        <v>5672</v>
      </c>
      <c r="BD293" s="3070" t="s">
        <v>3077</v>
      </c>
      <c r="BI293" s="3070" t="s">
        <v>3295</v>
      </c>
      <c r="BJ293" s="3070" t="s">
        <v>3296</v>
      </c>
      <c r="BL293" s="3070" t="s">
        <v>5673</v>
      </c>
      <c r="BM293" s="3075">
        <v>44256</v>
      </c>
      <c r="BN293" s="3070">
        <v>402</v>
      </c>
      <c r="BR293" s="3070">
        <v>439</v>
      </c>
      <c r="BS293" s="3070" t="s">
        <v>3238</v>
      </c>
      <c r="BZ293" s="3073">
        <v>44153.8</v>
      </c>
      <c r="CA293" s="3070">
        <v>3</v>
      </c>
      <c r="CD293" s="3070" t="s">
        <v>3239</v>
      </c>
      <c r="CF293" s="3070" t="s">
        <v>3091</v>
      </c>
      <c r="CH293" s="3070" t="s">
        <v>3240</v>
      </c>
      <c r="CI293" s="3070">
        <v>0</v>
      </c>
      <c r="CK293" s="3070" t="s">
        <v>3375</v>
      </c>
      <c r="CL293" s="3070" t="s">
        <v>3375</v>
      </c>
      <c r="CM293" s="3070">
        <v>1183974.31</v>
      </c>
      <c r="CV293" s="3070" t="s">
        <v>3229</v>
      </c>
      <c r="CW293" s="3070" t="s">
        <v>5674</v>
      </c>
      <c r="CZ293" s="3070">
        <v>213894.57</v>
      </c>
      <c r="DA293" s="3070">
        <v>159426.93</v>
      </c>
      <c r="DB293" s="3070">
        <v>0</v>
      </c>
      <c r="DC293" s="3070">
        <v>0</v>
      </c>
      <c r="DD293" s="3070">
        <v>3290547602</v>
      </c>
      <c r="DE293" s="3070">
        <v>2764253109</v>
      </c>
      <c r="DF293" s="3070">
        <v>1464966739</v>
      </c>
      <c r="DG293" s="3070">
        <v>14938370</v>
      </c>
      <c r="DH293" s="3070">
        <v>1284348000</v>
      </c>
      <c r="DI293" s="3070">
        <v>1278128000</v>
      </c>
      <c r="DJ293" s="3070">
        <v>6220000</v>
      </c>
      <c r="DK293" s="3070">
        <v>0</v>
      </c>
      <c r="DL293" s="3070">
        <v>0</v>
      </c>
      <c r="DM293" s="3070">
        <v>25491817.620000001</v>
      </c>
      <c r="DN293" s="3070">
        <v>2764253109</v>
      </c>
      <c r="DP293" s="3070">
        <v>2764253109</v>
      </c>
    </row>
    <row r="294" spans="1:120">
      <c r="A294" s="3070">
        <v>293</v>
      </c>
      <c r="B294" s="3070" t="s">
        <v>3224</v>
      </c>
      <c r="C294" s="3070">
        <v>3</v>
      </c>
      <c r="E294" s="3070">
        <v>1403</v>
      </c>
      <c r="F294" s="3070" t="s">
        <v>5675</v>
      </c>
      <c r="G294" s="3070" t="s">
        <v>5676</v>
      </c>
      <c r="H294" s="3070">
        <v>1374552</v>
      </c>
      <c r="I294" s="3070">
        <v>1374552</v>
      </c>
      <c r="J294" s="3070">
        <v>102.56</v>
      </c>
      <c r="K294" s="3070">
        <v>74.53</v>
      </c>
      <c r="L294" s="3070">
        <v>0</v>
      </c>
      <c r="M294" s="3070">
        <v>0</v>
      </c>
      <c r="N294" s="3070">
        <v>15644.44</v>
      </c>
      <c r="O294" s="3070">
        <v>1604494</v>
      </c>
      <c r="P294" s="3070">
        <v>13402.42</v>
      </c>
      <c r="Q294" s="3070">
        <v>1374552</v>
      </c>
      <c r="R294" s="3070" t="s">
        <v>3227</v>
      </c>
      <c r="S294" s="3070" t="s">
        <v>5677</v>
      </c>
      <c r="T294" s="3070" t="s">
        <v>3246</v>
      </c>
      <c r="U294" s="3070" t="s">
        <v>3247</v>
      </c>
      <c r="V294" s="3070" t="s">
        <v>3230</v>
      </c>
      <c r="Y294" s="3070">
        <v>724552</v>
      </c>
      <c r="Z294" s="3070">
        <v>137455</v>
      </c>
      <c r="AA294" s="3070">
        <v>724552</v>
      </c>
      <c r="AB294" s="3070">
        <v>0</v>
      </c>
      <c r="AC294" s="3070">
        <v>650000</v>
      </c>
      <c r="AD294" s="3070">
        <v>650000</v>
      </c>
      <c r="AE294" s="3070">
        <v>0</v>
      </c>
      <c r="AI294" s="3070" t="s">
        <v>3227</v>
      </c>
      <c r="AJ294" s="3070">
        <v>0</v>
      </c>
      <c r="AK294" s="3070">
        <v>0</v>
      </c>
      <c r="AL294" s="3070">
        <v>0</v>
      </c>
      <c r="AM294" s="3070">
        <v>13402.42</v>
      </c>
      <c r="AN294" s="3070">
        <v>1374552</v>
      </c>
      <c r="AP294" s="3070">
        <v>1374552</v>
      </c>
      <c r="AQ294" s="3072">
        <v>45138</v>
      </c>
      <c r="AT294" s="3073">
        <v>45678</v>
      </c>
      <c r="AV294" s="3074">
        <v>3.21E+17</v>
      </c>
      <c r="AW294" s="3070" t="s">
        <v>5678</v>
      </c>
      <c r="AX294" s="3070" t="s">
        <v>5679</v>
      </c>
      <c r="AY294" s="3070" t="s">
        <v>5680</v>
      </c>
      <c r="BC294" s="3070" t="s">
        <v>5681</v>
      </c>
      <c r="BD294" s="3070" t="s">
        <v>3077</v>
      </c>
      <c r="BI294" s="3070" t="s">
        <v>3235</v>
      </c>
      <c r="BJ294" s="3070" t="s">
        <v>3598</v>
      </c>
      <c r="BL294" s="3070" t="s">
        <v>5682</v>
      </c>
      <c r="BM294" s="3075">
        <v>44256</v>
      </c>
      <c r="BN294" s="3070">
        <v>403</v>
      </c>
      <c r="BO294" s="3070" t="s">
        <v>3253</v>
      </c>
      <c r="BR294" s="3070">
        <v>0</v>
      </c>
      <c r="BS294" s="3070" t="s">
        <v>3238</v>
      </c>
      <c r="BZ294" s="3073">
        <v>44159.592361111114</v>
      </c>
      <c r="CA294" s="3070">
        <v>3</v>
      </c>
      <c r="CD294" s="3070" t="s">
        <v>3239</v>
      </c>
      <c r="CF294" s="3070" t="s">
        <v>3091</v>
      </c>
      <c r="CH294" s="3070" t="s">
        <v>3240</v>
      </c>
      <c r="CI294" s="3070">
        <v>0</v>
      </c>
      <c r="CK294" s="3070" t="s">
        <v>5680</v>
      </c>
      <c r="CL294" s="3070" t="s">
        <v>5680</v>
      </c>
      <c r="CM294" s="3070">
        <v>1261056.8799999999</v>
      </c>
      <c r="CV294" s="3070" t="s">
        <v>3246</v>
      </c>
      <c r="CW294" s="3070" t="s">
        <v>5683</v>
      </c>
      <c r="CZ294" s="3070">
        <v>213894.57</v>
      </c>
      <c r="DA294" s="3070">
        <v>159426.93</v>
      </c>
      <c r="DB294" s="3070">
        <v>0</v>
      </c>
      <c r="DC294" s="3070">
        <v>0</v>
      </c>
      <c r="DD294" s="3070">
        <v>3290547602</v>
      </c>
      <c r="DE294" s="3070">
        <v>2764253109</v>
      </c>
      <c r="DF294" s="3070">
        <v>1464966739</v>
      </c>
      <c r="DG294" s="3070">
        <v>14938370</v>
      </c>
      <c r="DH294" s="3070">
        <v>1284348000</v>
      </c>
      <c r="DI294" s="3070">
        <v>1278128000</v>
      </c>
      <c r="DJ294" s="3070">
        <v>6220000</v>
      </c>
      <c r="DK294" s="3070">
        <v>0</v>
      </c>
      <c r="DL294" s="3070">
        <v>0</v>
      </c>
      <c r="DM294" s="3070">
        <v>25491817.620000001</v>
      </c>
      <c r="DN294" s="3070">
        <v>2764253109</v>
      </c>
      <c r="DP294" s="3070">
        <v>2764253109</v>
      </c>
    </row>
    <row r="295" spans="1:120">
      <c r="A295" s="3070">
        <v>294</v>
      </c>
      <c r="B295" s="3070" t="s">
        <v>3224</v>
      </c>
      <c r="C295" s="3070">
        <v>3</v>
      </c>
      <c r="E295" s="3070">
        <v>1404</v>
      </c>
      <c r="F295" s="3070" t="s">
        <v>5684</v>
      </c>
      <c r="G295" s="3070" t="s">
        <v>5685</v>
      </c>
      <c r="H295" s="3070">
        <v>1401413</v>
      </c>
      <c r="I295" s="3070">
        <v>1401413</v>
      </c>
      <c r="J295" s="3070">
        <v>114.02</v>
      </c>
      <c r="K295" s="3070">
        <v>82.85</v>
      </c>
      <c r="L295" s="3070">
        <v>0</v>
      </c>
      <c r="M295" s="3070">
        <v>0</v>
      </c>
      <c r="N295" s="3070">
        <v>15394.44</v>
      </c>
      <c r="O295" s="3070">
        <v>1755274</v>
      </c>
      <c r="P295" s="3070">
        <v>12290.94</v>
      </c>
      <c r="Q295" s="3070">
        <v>1401413</v>
      </c>
      <c r="R295" s="3070" t="s">
        <v>3227</v>
      </c>
      <c r="S295" s="3070" t="s">
        <v>5686</v>
      </c>
      <c r="T295" s="3070" t="s">
        <v>3258</v>
      </c>
      <c r="U295" s="3070" t="s">
        <v>3259</v>
      </c>
      <c r="V295" s="3070" t="s">
        <v>3230</v>
      </c>
      <c r="Y295" s="3070">
        <v>601413</v>
      </c>
      <c r="Z295" s="3070">
        <v>601413</v>
      </c>
      <c r="AA295" s="3070">
        <v>601413</v>
      </c>
      <c r="AB295" s="3070">
        <v>0</v>
      </c>
      <c r="AC295" s="3070">
        <v>800000</v>
      </c>
      <c r="AD295" s="3070">
        <v>800000</v>
      </c>
      <c r="AE295" s="3070">
        <v>0</v>
      </c>
      <c r="AI295" s="3070" t="s">
        <v>3227</v>
      </c>
      <c r="AJ295" s="3070">
        <v>0</v>
      </c>
      <c r="AK295" s="3070">
        <v>0</v>
      </c>
      <c r="AL295" s="3070">
        <v>0</v>
      </c>
      <c r="AM295" s="3070">
        <v>12290.94</v>
      </c>
      <c r="AN295" s="3070">
        <v>1401413</v>
      </c>
      <c r="AP295" s="3070">
        <v>1401413</v>
      </c>
      <c r="AQ295" s="3072">
        <v>45138</v>
      </c>
      <c r="AT295" s="3073">
        <v>45678</v>
      </c>
      <c r="AV295" s="3070" t="s">
        <v>5687</v>
      </c>
      <c r="AW295" s="3070" t="s">
        <v>5688</v>
      </c>
      <c r="AX295" s="3070" t="s">
        <v>5689</v>
      </c>
      <c r="AY295" s="3070" t="s">
        <v>3892</v>
      </c>
      <c r="BA295" s="3070" t="s">
        <v>4527</v>
      </c>
      <c r="BC295" s="3070" t="s">
        <v>5690</v>
      </c>
      <c r="BD295" s="3070" t="s">
        <v>3077</v>
      </c>
      <c r="BI295" s="3070" t="s">
        <v>3235</v>
      </c>
      <c r="BL295" s="3070" t="s">
        <v>5691</v>
      </c>
      <c r="BM295" s="3075">
        <v>44256</v>
      </c>
      <c r="BN295" s="3070">
        <v>404</v>
      </c>
      <c r="BO295" s="3070" t="s">
        <v>3253</v>
      </c>
      <c r="BP295" s="3070" t="s">
        <v>3253</v>
      </c>
      <c r="BR295" s="3070">
        <v>20</v>
      </c>
      <c r="BS295" s="3070" t="s">
        <v>3238</v>
      </c>
      <c r="BU295" s="3070" t="s">
        <v>4527</v>
      </c>
      <c r="BZ295" s="3073">
        <v>44198.743055555555</v>
      </c>
      <c r="CA295" s="3070">
        <v>3</v>
      </c>
      <c r="CD295" s="3070" t="s">
        <v>3239</v>
      </c>
      <c r="CF295" s="3070" t="s">
        <v>3091</v>
      </c>
      <c r="CH295" s="3070" t="s">
        <v>3240</v>
      </c>
      <c r="CI295" s="3070">
        <v>0</v>
      </c>
      <c r="CJ295" s="3070" t="s">
        <v>3259</v>
      </c>
      <c r="CK295" s="3070" t="s">
        <v>4056</v>
      </c>
      <c r="CL295" s="3070" t="s">
        <v>4056</v>
      </c>
      <c r="CM295" s="3070">
        <v>1285700</v>
      </c>
      <c r="CV295" s="3070" t="s">
        <v>3258</v>
      </c>
      <c r="CW295" s="3070" t="s">
        <v>5692</v>
      </c>
      <c r="CZ295" s="3070">
        <v>213894.57</v>
      </c>
      <c r="DA295" s="3070">
        <v>159426.93</v>
      </c>
      <c r="DB295" s="3070">
        <v>0</v>
      </c>
      <c r="DC295" s="3070">
        <v>0</v>
      </c>
      <c r="DD295" s="3070">
        <v>3290547602</v>
      </c>
      <c r="DE295" s="3070">
        <v>2764253109</v>
      </c>
      <c r="DF295" s="3070">
        <v>1464966739</v>
      </c>
      <c r="DG295" s="3070">
        <v>14938370</v>
      </c>
      <c r="DH295" s="3070">
        <v>1284348000</v>
      </c>
      <c r="DI295" s="3070">
        <v>1278128000</v>
      </c>
      <c r="DJ295" s="3070">
        <v>6220000</v>
      </c>
      <c r="DK295" s="3070">
        <v>0</v>
      </c>
      <c r="DL295" s="3070">
        <v>0</v>
      </c>
      <c r="DM295" s="3070">
        <v>25491817.620000001</v>
      </c>
      <c r="DN295" s="3070">
        <v>2764253109</v>
      </c>
      <c r="DP295" s="3070">
        <v>2764253109</v>
      </c>
    </row>
    <row r="296" spans="1:120">
      <c r="A296" s="3070">
        <v>295</v>
      </c>
      <c r="B296" s="3070" t="s">
        <v>3224</v>
      </c>
      <c r="C296" s="3070">
        <v>3</v>
      </c>
      <c r="E296" s="3070">
        <v>1501</v>
      </c>
      <c r="F296" s="3070" t="s">
        <v>5693</v>
      </c>
      <c r="G296" s="3070" t="s">
        <v>5694</v>
      </c>
      <c r="H296" s="3070">
        <v>1432123</v>
      </c>
      <c r="I296" s="3070">
        <v>1432123</v>
      </c>
      <c r="J296" s="3070">
        <v>114.02</v>
      </c>
      <c r="K296" s="3070">
        <v>82.85</v>
      </c>
      <c r="L296" s="3070">
        <v>0</v>
      </c>
      <c r="M296" s="3070">
        <v>0</v>
      </c>
      <c r="N296" s="3070">
        <v>15494.44</v>
      </c>
      <c r="O296" s="3070">
        <v>1766676</v>
      </c>
      <c r="P296" s="3070">
        <v>12560.28</v>
      </c>
      <c r="Q296" s="3070">
        <v>1432123</v>
      </c>
      <c r="R296" s="3070" t="s">
        <v>3227</v>
      </c>
      <c r="S296" s="3070" t="s">
        <v>5695</v>
      </c>
      <c r="T296" s="3070" t="s">
        <v>3258</v>
      </c>
      <c r="U296" s="3070" t="s">
        <v>3259</v>
      </c>
      <c r="V296" s="3070" t="s">
        <v>3230</v>
      </c>
      <c r="Y296" s="3070">
        <v>432123</v>
      </c>
      <c r="Z296" s="3070">
        <v>432123</v>
      </c>
      <c r="AA296" s="3070">
        <v>432123</v>
      </c>
      <c r="AB296" s="3070">
        <v>0</v>
      </c>
      <c r="AC296" s="3070">
        <v>1000000</v>
      </c>
      <c r="AD296" s="3070">
        <v>1000000</v>
      </c>
      <c r="AE296" s="3070">
        <v>0</v>
      </c>
      <c r="AI296" s="3070" t="s">
        <v>3227</v>
      </c>
      <c r="AJ296" s="3070">
        <v>0</v>
      </c>
      <c r="AK296" s="3070">
        <v>0</v>
      </c>
      <c r="AL296" s="3070">
        <v>0</v>
      </c>
      <c r="AM296" s="3070">
        <v>12560.28</v>
      </c>
      <c r="AN296" s="3070">
        <v>1432123</v>
      </c>
      <c r="AP296" s="3070">
        <v>1432123</v>
      </c>
      <c r="AQ296" s="3072">
        <v>45138</v>
      </c>
      <c r="AT296" s="3073">
        <v>45678</v>
      </c>
      <c r="AV296" s="3074">
        <v>3.42E+17</v>
      </c>
      <c r="AW296" s="3070" t="s">
        <v>5696</v>
      </c>
      <c r="AX296" s="3070" t="s">
        <v>5697</v>
      </c>
      <c r="AY296" s="3070" t="s">
        <v>3497</v>
      </c>
      <c r="BC296" s="3070" t="s">
        <v>3263</v>
      </c>
      <c r="BD296" s="3070" t="s">
        <v>3077</v>
      </c>
      <c r="BI296" s="3070" t="s">
        <v>3295</v>
      </c>
      <c r="BJ296" s="3070" t="s">
        <v>3296</v>
      </c>
      <c r="BL296" s="3070" t="s">
        <v>5698</v>
      </c>
      <c r="BM296" s="3075">
        <v>44256</v>
      </c>
      <c r="BN296" s="3070">
        <v>501</v>
      </c>
      <c r="BO296" s="3070" t="s">
        <v>3253</v>
      </c>
      <c r="BP296" s="3070" t="s">
        <v>3253</v>
      </c>
      <c r="BR296" s="3070">
        <v>914</v>
      </c>
      <c r="BS296" s="3070" t="s">
        <v>3238</v>
      </c>
      <c r="BZ296" s="3073">
        <v>44142.602777777778</v>
      </c>
      <c r="CA296" s="3070">
        <v>3</v>
      </c>
      <c r="CD296" s="3070" t="s">
        <v>3239</v>
      </c>
      <c r="CF296" s="3070" t="s">
        <v>3091</v>
      </c>
      <c r="CH296" s="3070" t="s">
        <v>3240</v>
      </c>
      <c r="CI296" s="3070">
        <v>0</v>
      </c>
      <c r="CJ296" s="3070" t="s">
        <v>3259</v>
      </c>
      <c r="CK296" s="3070" t="s">
        <v>3497</v>
      </c>
      <c r="CL296" s="3070" t="s">
        <v>3497</v>
      </c>
      <c r="CM296" s="3070">
        <v>1313874.31</v>
      </c>
      <c r="CV296" s="3070" t="s">
        <v>3258</v>
      </c>
      <c r="CW296" s="3070" t="s">
        <v>5699</v>
      </c>
      <c r="CZ296" s="3070">
        <v>213894.57</v>
      </c>
      <c r="DA296" s="3070">
        <v>159426.93</v>
      </c>
      <c r="DB296" s="3070">
        <v>0</v>
      </c>
      <c r="DC296" s="3070">
        <v>0</v>
      </c>
      <c r="DD296" s="3070">
        <v>3290547602</v>
      </c>
      <c r="DE296" s="3070">
        <v>2764253109</v>
      </c>
      <c r="DF296" s="3070">
        <v>1464966739</v>
      </c>
      <c r="DG296" s="3070">
        <v>14938370</v>
      </c>
      <c r="DH296" s="3070">
        <v>1284348000</v>
      </c>
      <c r="DI296" s="3070">
        <v>1278128000</v>
      </c>
      <c r="DJ296" s="3070">
        <v>6220000</v>
      </c>
      <c r="DK296" s="3070">
        <v>0</v>
      </c>
      <c r="DL296" s="3070">
        <v>0</v>
      </c>
      <c r="DM296" s="3070">
        <v>25491817.620000001</v>
      </c>
      <c r="DN296" s="3070">
        <v>2764253109</v>
      </c>
      <c r="DP296" s="3070">
        <v>2764253109</v>
      </c>
    </row>
    <row r="297" spans="1:120">
      <c r="A297" s="3070">
        <v>296</v>
      </c>
      <c r="B297" s="3070" t="s">
        <v>3224</v>
      </c>
      <c r="C297" s="3070">
        <v>3</v>
      </c>
      <c r="E297" s="3070">
        <v>1502</v>
      </c>
      <c r="F297" s="3070" t="s">
        <v>5700</v>
      </c>
      <c r="G297" s="3070" t="s">
        <v>5701</v>
      </c>
      <c r="H297" s="3070">
        <v>1308446</v>
      </c>
      <c r="I297" s="3070">
        <v>1308446</v>
      </c>
      <c r="J297" s="3070">
        <v>102.62</v>
      </c>
      <c r="K297" s="3070">
        <v>74.569999999999993</v>
      </c>
      <c r="L297" s="3070">
        <v>0</v>
      </c>
      <c r="M297" s="3070">
        <v>0</v>
      </c>
      <c r="N297" s="3070">
        <v>15694.44</v>
      </c>
      <c r="O297" s="3070">
        <v>1610563</v>
      </c>
      <c r="P297" s="3070">
        <v>12750.4</v>
      </c>
      <c r="Q297" s="3070">
        <v>1308446</v>
      </c>
      <c r="R297" s="3070" t="s">
        <v>3227</v>
      </c>
      <c r="S297" s="3070" t="s">
        <v>5702</v>
      </c>
      <c r="T297" s="3070" t="s">
        <v>3246</v>
      </c>
      <c r="U297" s="3070" t="s">
        <v>3279</v>
      </c>
      <c r="V297" s="3070" t="s">
        <v>3230</v>
      </c>
      <c r="Y297" s="3070">
        <v>528446</v>
      </c>
      <c r="Z297" s="3070">
        <v>528446</v>
      </c>
      <c r="AA297" s="3070">
        <v>528446</v>
      </c>
      <c r="AB297" s="3070">
        <v>0</v>
      </c>
      <c r="AC297" s="3070">
        <v>780000</v>
      </c>
      <c r="AD297" s="3070">
        <v>780000</v>
      </c>
      <c r="AE297" s="3070">
        <v>0</v>
      </c>
      <c r="AI297" s="3070" t="s">
        <v>3227</v>
      </c>
      <c r="AJ297" s="3070">
        <v>0</v>
      </c>
      <c r="AK297" s="3070">
        <v>0</v>
      </c>
      <c r="AL297" s="3070">
        <v>0</v>
      </c>
      <c r="AM297" s="3070">
        <v>12750.4</v>
      </c>
      <c r="AN297" s="3070">
        <v>1308446</v>
      </c>
      <c r="AP297" s="3070">
        <v>1308446</v>
      </c>
      <c r="AQ297" s="3072">
        <v>45138</v>
      </c>
      <c r="AT297" s="3073">
        <v>45678</v>
      </c>
      <c r="AV297" s="3070" t="s">
        <v>5703</v>
      </c>
      <c r="AW297" s="3070" t="s">
        <v>5704</v>
      </c>
      <c r="AX297" s="3070" t="s">
        <v>5705</v>
      </c>
      <c r="AY297" s="3070" t="s">
        <v>3294</v>
      </c>
      <c r="BC297" s="3070" t="s">
        <v>3284</v>
      </c>
      <c r="BD297" s="3070" t="s">
        <v>3077</v>
      </c>
      <c r="BI297" s="3070" t="s">
        <v>3295</v>
      </c>
      <c r="BJ297" s="3070" t="s">
        <v>3296</v>
      </c>
      <c r="BL297" s="3070" t="s">
        <v>5706</v>
      </c>
      <c r="BM297" s="3075">
        <v>44256</v>
      </c>
      <c r="BN297" s="3070">
        <v>502</v>
      </c>
      <c r="BO297" s="3070" t="s">
        <v>3253</v>
      </c>
      <c r="BR297" s="3070">
        <v>49</v>
      </c>
      <c r="BS297" s="3070" t="s">
        <v>3238</v>
      </c>
      <c r="BZ297" s="3073">
        <v>44142.650694444441</v>
      </c>
      <c r="CA297" s="3070">
        <v>3</v>
      </c>
      <c r="CD297" s="3070" t="s">
        <v>3239</v>
      </c>
      <c r="CF297" s="3070" t="s">
        <v>3091</v>
      </c>
      <c r="CH297" s="3070" t="s">
        <v>3240</v>
      </c>
      <c r="CI297" s="3070">
        <v>0</v>
      </c>
      <c r="CK297" s="3070" t="s">
        <v>3294</v>
      </c>
      <c r="CL297" s="3070" t="s">
        <v>3294</v>
      </c>
      <c r="CM297" s="3070">
        <v>1200409.17</v>
      </c>
      <c r="CV297" s="3070" t="s">
        <v>3246</v>
      </c>
      <c r="CW297" s="3070" t="s">
        <v>5707</v>
      </c>
      <c r="CZ297" s="3070">
        <v>213894.57</v>
      </c>
      <c r="DA297" s="3070">
        <v>159426.93</v>
      </c>
      <c r="DB297" s="3070">
        <v>0</v>
      </c>
      <c r="DC297" s="3070">
        <v>0</v>
      </c>
      <c r="DD297" s="3070">
        <v>3290547602</v>
      </c>
      <c r="DE297" s="3070">
        <v>2764253109</v>
      </c>
      <c r="DF297" s="3070">
        <v>1464966739</v>
      </c>
      <c r="DG297" s="3070">
        <v>14938370</v>
      </c>
      <c r="DH297" s="3070">
        <v>1284348000</v>
      </c>
      <c r="DI297" s="3070">
        <v>1278128000</v>
      </c>
      <c r="DJ297" s="3070">
        <v>6220000</v>
      </c>
      <c r="DK297" s="3070">
        <v>0</v>
      </c>
      <c r="DL297" s="3070">
        <v>0</v>
      </c>
      <c r="DM297" s="3070">
        <v>25491817.620000001</v>
      </c>
      <c r="DN297" s="3070">
        <v>2764253109</v>
      </c>
      <c r="DP297" s="3070">
        <v>2764253109</v>
      </c>
    </row>
    <row r="298" spans="1:120">
      <c r="A298" s="3070">
        <v>297</v>
      </c>
      <c r="B298" s="3070" t="s">
        <v>3224</v>
      </c>
      <c r="C298" s="3070">
        <v>3</v>
      </c>
      <c r="E298" s="3070">
        <v>1503</v>
      </c>
      <c r="F298" s="3070" t="s">
        <v>5708</v>
      </c>
      <c r="G298" s="3070" t="s">
        <v>5709</v>
      </c>
      <c r="H298" s="3070">
        <v>1281527</v>
      </c>
      <c r="I298" s="3070">
        <v>1281527</v>
      </c>
      <c r="J298" s="3070">
        <v>102.56</v>
      </c>
      <c r="K298" s="3070">
        <v>74.53</v>
      </c>
      <c r="L298" s="3070">
        <v>0</v>
      </c>
      <c r="M298" s="3070">
        <v>0</v>
      </c>
      <c r="N298" s="3070">
        <v>15694.44</v>
      </c>
      <c r="O298" s="3070">
        <v>1609622</v>
      </c>
      <c r="P298" s="3070">
        <v>12495.39</v>
      </c>
      <c r="Q298" s="3070">
        <v>1281527</v>
      </c>
      <c r="R298" s="3070" t="s">
        <v>3227</v>
      </c>
      <c r="S298" s="3070" t="s">
        <v>5710</v>
      </c>
      <c r="T298" s="3070" t="s">
        <v>3246</v>
      </c>
      <c r="U298" s="3070" t="s">
        <v>3539</v>
      </c>
      <c r="V298" s="3070" t="s">
        <v>3230</v>
      </c>
      <c r="Y298" s="3070">
        <v>511527</v>
      </c>
      <c r="Z298" s="3070">
        <v>511527</v>
      </c>
      <c r="AA298" s="3070">
        <v>511527</v>
      </c>
      <c r="AB298" s="3070">
        <v>0</v>
      </c>
      <c r="AC298" s="3070">
        <v>770000</v>
      </c>
      <c r="AD298" s="3070">
        <v>770000</v>
      </c>
      <c r="AE298" s="3070">
        <v>0</v>
      </c>
      <c r="AI298" s="3070" t="s">
        <v>3227</v>
      </c>
      <c r="AJ298" s="3070">
        <v>0</v>
      </c>
      <c r="AK298" s="3070">
        <v>0</v>
      </c>
      <c r="AL298" s="3070">
        <v>0</v>
      </c>
      <c r="AM298" s="3070">
        <v>12495.39</v>
      </c>
      <c r="AN298" s="3070">
        <v>1281527</v>
      </c>
      <c r="AP298" s="3070">
        <v>1281527</v>
      </c>
      <c r="AQ298" s="3072">
        <v>45138</v>
      </c>
      <c r="AT298" s="3073">
        <v>45678</v>
      </c>
      <c r="AV298" s="3070" t="s">
        <v>5711</v>
      </c>
      <c r="AW298" s="3070" t="s">
        <v>5712</v>
      </c>
      <c r="AX298" s="3070" t="s">
        <v>5713</v>
      </c>
      <c r="AY298" s="3070" t="s">
        <v>3681</v>
      </c>
      <c r="BC298" s="3070" t="s">
        <v>3507</v>
      </c>
      <c r="BD298" s="3070" t="s">
        <v>3077</v>
      </c>
      <c r="BI298" s="3070" t="s">
        <v>3235</v>
      </c>
      <c r="BL298" s="3070" t="s">
        <v>5714</v>
      </c>
      <c r="BM298" s="3075">
        <v>44256</v>
      </c>
      <c r="BN298" s="3070">
        <v>503</v>
      </c>
      <c r="BO298" s="3070" t="s">
        <v>3253</v>
      </c>
      <c r="BR298" s="3070">
        <v>614</v>
      </c>
      <c r="BS298" s="3070" t="s">
        <v>3238</v>
      </c>
      <c r="BZ298" s="3073">
        <v>44143.740972222222</v>
      </c>
      <c r="CA298" s="3070">
        <v>3</v>
      </c>
      <c r="CD298" s="3070" t="s">
        <v>3239</v>
      </c>
      <c r="CF298" s="3070" t="s">
        <v>3091</v>
      </c>
      <c r="CH298" s="3070" t="s">
        <v>3240</v>
      </c>
      <c r="CI298" s="3070">
        <v>0</v>
      </c>
      <c r="CK298" s="3070" t="s">
        <v>3681</v>
      </c>
      <c r="CL298" s="3070" t="s">
        <v>3681</v>
      </c>
      <c r="CM298" s="3070">
        <v>1175712.8400000001</v>
      </c>
      <c r="CV298" s="3070" t="s">
        <v>3246</v>
      </c>
      <c r="CW298" s="3070" t="s">
        <v>5715</v>
      </c>
      <c r="CX298" s="3070" t="s">
        <v>3510</v>
      </c>
      <c r="CZ298" s="3070">
        <v>213894.57</v>
      </c>
      <c r="DA298" s="3070">
        <v>159426.93</v>
      </c>
      <c r="DB298" s="3070">
        <v>0</v>
      </c>
      <c r="DC298" s="3070">
        <v>0</v>
      </c>
      <c r="DD298" s="3070">
        <v>3290547602</v>
      </c>
      <c r="DE298" s="3070">
        <v>2764253109</v>
      </c>
      <c r="DF298" s="3070">
        <v>1464966739</v>
      </c>
      <c r="DG298" s="3070">
        <v>14938370</v>
      </c>
      <c r="DH298" s="3070">
        <v>1284348000</v>
      </c>
      <c r="DI298" s="3070">
        <v>1278128000</v>
      </c>
      <c r="DJ298" s="3070">
        <v>6220000</v>
      </c>
      <c r="DK298" s="3070">
        <v>0</v>
      </c>
      <c r="DL298" s="3070">
        <v>0</v>
      </c>
      <c r="DM298" s="3070">
        <v>25491817.620000001</v>
      </c>
      <c r="DN298" s="3070">
        <v>2764253109</v>
      </c>
      <c r="DP298" s="3070">
        <v>2764253109</v>
      </c>
    </row>
    <row r="299" spans="1:120">
      <c r="A299" s="3070">
        <v>298</v>
      </c>
      <c r="B299" s="3070" t="s">
        <v>3224</v>
      </c>
      <c r="C299" s="3070">
        <v>3</v>
      </c>
      <c r="E299" s="3070">
        <v>1504</v>
      </c>
      <c r="F299" s="3070" t="s">
        <v>5716</v>
      </c>
      <c r="G299" s="3070" t="s">
        <v>5717</v>
      </c>
      <c r="H299" s="3070">
        <v>1426703</v>
      </c>
      <c r="I299" s="3070">
        <v>1426703</v>
      </c>
      <c r="J299" s="3070">
        <v>114.02</v>
      </c>
      <c r="K299" s="3070">
        <v>82.85</v>
      </c>
      <c r="L299" s="3070">
        <v>0</v>
      </c>
      <c r="M299" s="3070">
        <v>0</v>
      </c>
      <c r="N299" s="3070">
        <v>15444.44</v>
      </c>
      <c r="O299" s="3070">
        <v>1760975</v>
      </c>
      <c r="P299" s="3070">
        <v>12512.74</v>
      </c>
      <c r="Q299" s="3070">
        <v>1426703</v>
      </c>
      <c r="R299" s="3070" t="s">
        <v>3227</v>
      </c>
      <c r="S299" s="3070" t="s">
        <v>5718</v>
      </c>
      <c r="T299" s="3070" t="s">
        <v>3302</v>
      </c>
      <c r="V299" s="3070" t="s">
        <v>3230</v>
      </c>
      <c r="Y299" s="3070">
        <v>142670</v>
      </c>
      <c r="Z299" s="3070">
        <v>142670</v>
      </c>
      <c r="AA299" s="3070">
        <v>1426703</v>
      </c>
      <c r="AB299" s="3070">
        <v>0</v>
      </c>
      <c r="AC299" s="3070">
        <v>0</v>
      </c>
      <c r="AD299" s="3070">
        <v>0</v>
      </c>
      <c r="AE299" s="3070">
        <v>0</v>
      </c>
      <c r="AI299" s="3070" t="s">
        <v>3227</v>
      </c>
      <c r="AJ299" s="3070">
        <v>0</v>
      </c>
      <c r="AK299" s="3070">
        <v>0</v>
      </c>
      <c r="AL299" s="3070">
        <v>0</v>
      </c>
      <c r="AM299" s="3070">
        <v>12512.74</v>
      </c>
      <c r="AN299" s="3070">
        <v>1426703</v>
      </c>
      <c r="AP299" s="3070">
        <v>1426703</v>
      </c>
      <c r="AQ299" s="3072">
        <v>45138</v>
      </c>
      <c r="AT299" s="3073">
        <v>45678</v>
      </c>
      <c r="AV299" s="3070" t="s">
        <v>5719</v>
      </c>
      <c r="AW299" s="3070" t="s">
        <v>5720</v>
      </c>
      <c r="AX299" s="3070" t="s">
        <v>5721</v>
      </c>
      <c r="AY299" s="3070" t="s">
        <v>3722</v>
      </c>
      <c r="BC299" s="3070" t="s">
        <v>3307</v>
      </c>
      <c r="BD299" s="3070" t="s">
        <v>3077</v>
      </c>
      <c r="BI299" s="3070" t="s">
        <v>3235</v>
      </c>
      <c r="BJ299" s="3070" t="s">
        <v>3296</v>
      </c>
      <c r="BL299" s="3070" t="s">
        <v>5722</v>
      </c>
      <c r="BM299" s="3075">
        <v>44256</v>
      </c>
      <c r="BN299" s="3070">
        <v>504</v>
      </c>
      <c r="BR299" s="3070">
        <v>380</v>
      </c>
      <c r="BS299" s="3070" t="s">
        <v>3238</v>
      </c>
      <c r="BZ299" s="3073">
        <v>44143.741666666669</v>
      </c>
      <c r="CA299" s="3070">
        <v>3</v>
      </c>
      <c r="CD299" s="3070" t="s">
        <v>3239</v>
      </c>
      <c r="CF299" s="3070" t="s">
        <v>3091</v>
      </c>
      <c r="CH299" s="3070" t="s">
        <v>3240</v>
      </c>
      <c r="CI299" s="3070">
        <v>0</v>
      </c>
      <c r="CK299" s="3070" t="s">
        <v>3722</v>
      </c>
      <c r="CL299" s="3070" t="s">
        <v>3722</v>
      </c>
      <c r="CM299" s="3070">
        <v>1308901.83</v>
      </c>
      <c r="CV299" s="3070" t="s">
        <v>3309</v>
      </c>
      <c r="CW299" s="3070" t="s">
        <v>5723</v>
      </c>
      <c r="CX299" s="3070" t="s">
        <v>3242</v>
      </c>
      <c r="CZ299" s="3070">
        <v>213894.57</v>
      </c>
      <c r="DA299" s="3070">
        <v>159426.93</v>
      </c>
      <c r="DB299" s="3070">
        <v>0</v>
      </c>
      <c r="DC299" s="3070">
        <v>0</v>
      </c>
      <c r="DD299" s="3070">
        <v>3290547602</v>
      </c>
      <c r="DE299" s="3070">
        <v>2764253109</v>
      </c>
      <c r="DF299" s="3070">
        <v>1464966739</v>
      </c>
      <c r="DG299" s="3070">
        <v>14938370</v>
      </c>
      <c r="DH299" s="3070">
        <v>1284348000</v>
      </c>
      <c r="DI299" s="3070">
        <v>1278128000</v>
      </c>
      <c r="DJ299" s="3070">
        <v>6220000</v>
      </c>
      <c r="DK299" s="3070">
        <v>0</v>
      </c>
      <c r="DL299" s="3070">
        <v>0</v>
      </c>
      <c r="DM299" s="3070">
        <v>25491817.620000001</v>
      </c>
      <c r="DN299" s="3070">
        <v>2764253109</v>
      </c>
      <c r="DP299" s="3070">
        <v>2764253109</v>
      </c>
    </row>
    <row r="300" spans="1:120">
      <c r="A300" s="3070">
        <v>299</v>
      </c>
      <c r="B300" s="3070" t="s">
        <v>3224</v>
      </c>
      <c r="C300" s="3070">
        <v>3</v>
      </c>
      <c r="E300" s="3070">
        <v>1601</v>
      </c>
      <c r="F300" s="3070" t="s">
        <v>5724</v>
      </c>
      <c r="G300" s="3070" t="s">
        <v>5725</v>
      </c>
      <c r="H300" s="3070">
        <v>1417802</v>
      </c>
      <c r="I300" s="3070">
        <v>1417802</v>
      </c>
      <c r="J300" s="3070">
        <v>114.02</v>
      </c>
      <c r="K300" s="3070">
        <v>82.85</v>
      </c>
      <c r="L300" s="3070">
        <v>0</v>
      </c>
      <c r="M300" s="3070">
        <v>0</v>
      </c>
      <c r="N300" s="3070">
        <v>15494.44</v>
      </c>
      <c r="O300" s="3070">
        <v>1766676</v>
      </c>
      <c r="P300" s="3070">
        <v>12434.68</v>
      </c>
      <c r="Q300" s="3070">
        <v>1417802</v>
      </c>
      <c r="R300" s="3070" t="s">
        <v>3227</v>
      </c>
      <c r="S300" s="3070" t="s">
        <v>5726</v>
      </c>
      <c r="T300" s="3070" t="s">
        <v>3229</v>
      </c>
      <c r="V300" s="3070" t="s">
        <v>3230</v>
      </c>
      <c r="Y300" s="3070">
        <v>500000</v>
      </c>
      <c r="Z300" s="3070">
        <v>500000</v>
      </c>
      <c r="AA300" s="3070">
        <v>1417802</v>
      </c>
      <c r="AB300" s="3070">
        <v>0</v>
      </c>
      <c r="AC300" s="3070">
        <v>0</v>
      </c>
      <c r="AD300" s="3070">
        <v>0</v>
      </c>
      <c r="AE300" s="3070">
        <v>0</v>
      </c>
      <c r="AI300" s="3070" t="s">
        <v>3227</v>
      </c>
      <c r="AJ300" s="3070">
        <v>0</v>
      </c>
      <c r="AK300" s="3070">
        <v>0</v>
      </c>
      <c r="AL300" s="3070">
        <v>0</v>
      </c>
      <c r="AM300" s="3070">
        <v>12434.68</v>
      </c>
      <c r="AN300" s="3070">
        <v>1417802</v>
      </c>
      <c r="AP300" s="3070">
        <v>1417802</v>
      </c>
      <c r="AQ300" s="3072">
        <v>45138</v>
      </c>
      <c r="AT300" s="3073">
        <v>45678</v>
      </c>
      <c r="AV300" s="3074">
        <v>3.21E+17</v>
      </c>
      <c r="AW300" s="3070" t="s">
        <v>5727</v>
      </c>
      <c r="AX300" s="3070" t="s">
        <v>5728</v>
      </c>
      <c r="AY300" s="3070" t="s">
        <v>3648</v>
      </c>
      <c r="BC300" s="3070" t="s">
        <v>3792</v>
      </c>
      <c r="BD300" s="3070" t="s">
        <v>3077</v>
      </c>
      <c r="BI300" s="3070" t="s">
        <v>3235</v>
      </c>
      <c r="BJ300" s="3070" t="s">
        <v>3236</v>
      </c>
      <c r="BL300" s="3070" t="s">
        <v>5729</v>
      </c>
      <c r="BM300" s="3075">
        <v>44256</v>
      </c>
      <c r="BN300" s="3070">
        <v>601</v>
      </c>
      <c r="BR300" s="3070">
        <v>876</v>
      </c>
      <c r="BS300" s="3070" t="s">
        <v>3238</v>
      </c>
      <c r="BZ300" s="3073">
        <v>44142.606944444444</v>
      </c>
      <c r="CA300" s="3070">
        <v>3</v>
      </c>
      <c r="CD300" s="3070" t="s">
        <v>3239</v>
      </c>
      <c r="CF300" s="3070" t="s">
        <v>3091</v>
      </c>
      <c r="CH300" s="3070" t="s">
        <v>3240</v>
      </c>
      <c r="CI300" s="3070">
        <v>0</v>
      </c>
      <c r="CK300" s="3070" t="s">
        <v>3648</v>
      </c>
      <c r="CL300" s="3070" t="s">
        <v>3648</v>
      </c>
      <c r="CM300" s="3070">
        <v>1300735.78</v>
      </c>
      <c r="CV300" s="3070" t="s">
        <v>3229</v>
      </c>
      <c r="CW300" s="3070" t="s">
        <v>5730</v>
      </c>
      <c r="CX300" s="3070" t="s">
        <v>3267</v>
      </c>
      <c r="CZ300" s="3070">
        <v>213894.57</v>
      </c>
      <c r="DA300" s="3070">
        <v>159426.93</v>
      </c>
      <c r="DB300" s="3070">
        <v>0</v>
      </c>
      <c r="DC300" s="3070">
        <v>0</v>
      </c>
      <c r="DD300" s="3070">
        <v>3290547602</v>
      </c>
      <c r="DE300" s="3070">
        <v>2764253109</v>
      </c>
      <c r="DF300" s="3070">
        <v>1464966739</v>
      </c>
      <c r="DG300" s="3070">
        <v>14938370</v>
      </c>
      <c r="DH300" s="3070">
        <v>1284348000</v>
      </c>
      <c r="DI300" s="3070">
        <v>1278128000</v>
      </c>
      <c r="DJ300" s="3070">
        <v>6220000</v>
      </c>
      <c r="DK300" s="3070">
        <v>0</v>
      </c>
      <c r="DL300" s="3070">
        <v>0</v>
      </c>
      <c r="DM300" s="3070">
        <v>25491817.620000001</v>
      </c>
      <c r="DN300" s="3070">
        <v>2764253109</v>
      </c>
      <c r="DP300" s="3070">
        <v>2764253109</v>
      </c>
    </row>
    <row r="301" spans="1:120">
      <c r="A301" s="3070">
        <v>300</v>
      </c>
      <c r="B301" s="3070" t="s">
        <v>3224</v>
      </c>
      <c r="C301" s="3070">
        <v>3</v>
      </c>
      <c r="E301" s="3070">
        <v>1602</v>
      </c>
      <c r="F301" s="3070" t="s">
        <v>5731</v>
      </c>
      <c r="G301" s="3070" t="s">
        <v>5732</v>
      </c>
      <c r="H301" s="3070">
        <v>1295362</v>
      </c>
      <c r="I301" s="3070">
        <v>1295362</v>
      </c>
      <c r="J301" s="3070">
        <v>102.62</v>
      </c>
      <c r="K301" s="3070">
        <v>74.569999999999993</v>
      </c>
      <c r="L301" s="3070">
        <v>0</v>
      </c>
      <c r="M301" s="3070">
        <v>0</v>
      </c>
      <c r="N301" s="3070">
        <v>15694.44</v>
      </c>
      <c r="O301" s="3070">
        <v>1610563</v>
      </c>
      <c r="P301" s="3070">
        <v>12622.9</v>
      </c>
      <c r="Q301" s="3070">
        <v>1295362</v>
      </c>
      <c r="R301" s="3070" t="s">
        <v>3227</v>
      </c>
      <c r="S301" s="3070" t="s">
        <v>5733</v>
      </c>
      <c r="T301" s="3070" t="s">
        <v>3229</v>
      </c>
      <c r="V301" s="3070" t="s">
        <v>3230</v>
      </c>
      <c r="Y301" s="3070">
        <v>1295362</v>
      </c>
      <c r="Z301" s="3070">
        <v>1295362</v>
      </c>
      <c r="AA301" s="3070">
        <v>1295362</v>
      </c>
      <c r="AB301" s="3070">
        <v>0</v>
      </c>
      <c r="AC301" s="3070">
        <v>0</v>
      </c>
      <c r="AD301" s="3070">
        <v>0</v>
      </c>
      <c r="AE301" s="3070">
        <v>0</v>
      </c>
      <c r="AI301" s="3070" t="s">
        <v>3227</v>
      </c>
      <c r="AJ301" s="3070">
        <v>0</v>
      </c>
      <c r="AK301" s="3070">
        <v>0</v>
      </c>
      <c r="AL301" s="3070">
        <v>0</v>
      </c>
      <c r="AM301" s="3070">
        <v>12622.9</v>
      </c>
      <c r="AN301" s="3070">
        <v>1295362</v>
      </c>
      <c r="AP301" s="3070">
        <v>1295362</v>
      </c>
      <c r="AQ301" s="3072">
        <v>45138</v>
      </c>
      <c r="AT301" s="3073">
        <v>45678</v>
      </c>
      <c r="AV301" s="3070" t="s">
        <v>5734</v>
      </c>
      <c r="AW301" s="3070" t="s">
        <v>5735</v>
      </c>
      <c r="AX301" s="3070" t="s">
        <v>5736</v>
      </c>
      <c r="AY301" s="3070" t="s">
        <v>3648</v>
      </c>
      <c r="BC301" s="3070" t="s">
        <v>3792</v>
      </c>
      <c r="BD301" s="3070" t="s">
        <v>3077</v>
      </c>
      <c r="BI301" s="3070" t="s">
        <v>3235</v>
      </c>
      <c r="BJ301" s="3070" t="s">
        <v>3338</v>
      </c>
      <c r="BL301" s="3070" t="s">
        <v>5737</v>
      </c>
      <c r="BM301" s="3075">
        <v>44256</v>
      </c>
      <c r="BN301" s="3070">
        <v>602</v>
      </c>
      <c r="BR301" s="3070">
        <v>94</v>
      </c>
      <c r="BS301" s="3070" t="s">
        <v>3238</v>
      </c>
      <c r="BZ301" s="3073">
        <v>44142.622916666667</v>
      </c>
      <c r="CA301" s="3070">
        <v>3</v>
      </c>
      <c r="CD301" s="3070" t="s">
        <v>3239</v>
      </c>
      <c r="CF301" s="3070" t="s">
        <v>3091</v>
      </c>
      <c r="CH301" s="3070" t="s">
        <v>3240</v>
      </c>
      <c r="CI301" s="3070">
        <v>0</v>
      </c>
      <c r="CK301" s="3070" t="s">
        <v>3648</v>
      </c>
      <c r="CL301" s="3070" t="s">
        <v>3648</v>
      </c>
      <c r="CM301" s="3070">
        <v>1188405.5</v>
      </c>
      <c r="CV301" s="3070" t="s">
        <v>3229</v>
      </c>
      <c r="CW301" s="3070" t="s">
        <v>5738</v>
      </c>
      <c r="CZ301" s="3070">
        <v>213894.57</v>
      </c>
      <c r="DA301" s="3070">
        <v>159426.93</v>
      </c>
      <c r="DB301" s="3070">
        <v>0</v>
      </c>
      <c r="DC301" s="3070">
        <v>0</v>
      </c>
      <c r="DD301" s="3070">
        <v>3290547602</v>
      </c>
      <c r="DE301" s="3070">
        <v>2764253109</v>
      </c>
      <c r="DF301" s="3070">
        <v>1464966739</v>
      </c>
      <c r="DG301" s="3070">
        <v>14938370</v>
      </c>
      <c r="DH301" s="3070">
        <v>1284348000</v>
      </c>
      <c r="DI301" s="3070">
        <v>1278128000</v>
      </c>
      <c r="DJ301" s="3070">
        <v>6220000</v>
      </c>
      <c r="DK301" s="3070">
        <v>0</v>
      </c>
      <c r="DL301" s="3070">
        <v>0</v>
      </c>
      <c r="DM301" s="3070">
        <v>25491817.620000001</v>
      </c>
      <c r="DN301" s="3070">
        <v>2764253109</v>
      </c>
      <c r="DP301" s="3070">
        <v>2764253109</v>
      </c>
    </row>
    <row r="302" spans="1:120">
      <c r="A302" s="3070">
        <v>301</v>
      </c>
      <c r="B302" s="3070" t="s">
        <v>3224</v>
      </c>
      <c r="C302" s="3070">
        <v>3</v>
      </c>
      <c r="E302" s="3070">
        <v>1603</v>
      </c>
      <c r="F302" s="3070" t="s">
        <v>5739</v>
      </c>
      <c r="G302" s="3070" t="s">
        <v>5740</v>
      </c>
      <c r="H302" s="3070">
        <v>1307681</v>
      </c>
      <c r="I302" s="3070">
        <v>1307681</v>
      </c>
      <c r="J302" s="3070">
        <v>102.56</v>
      </c>
      <c r="K302" s="3070">
        <v>74.53</v>
      </c>
      <c r="L302" s="3070">
        <v>0</v>
      </c>
      <c r="M302" s="3070">
        <v>0</v>
      </c>
      <c r="N302" s="3070">
        <v>15694.44</v>
      </c>
      <c r="O302" s="3070">
        <v>1609622</v>
      </c>
      <c r="P302" s="3070">
        <v>12750.4</v>
      </c>
      <c r="Q302" s="3070">
        <v>1307681</v>
      </c>
      <c r="R302" s="3070" t="s">
        <v>3227</v>
      </c>
      <c r="S302" s="3070" t="s">
        <v>5741</v>
      </c>
      <c r="T302" s="3070" t="s">
        <v>3246</v>
      </c>
      <c r="U302" s="3070" t="s">
        <v>3279</v>
      </c>
      <c r="V302" s="3070" t="s">
        <v>3230</v>
      </c>
      <c r="Y302" s="3070">
        <v>397681</v>
      </c>
      <c r="Z302" s="3070">
        <v>130768</v>
      </c>
      <c r="AA302" s="3070">
        <v>397681</v>
      </c>
      <c r="AB302" s="3070">
        <v>0</v>
      </c>
      <c r="AC302" s="3070">
        <v>910000</v>
      </c>
      <c r="AD302" s="3070">
        <v>910000</v>
      </c>
      <c r="AE302" s="3070">
        <v>0</v>
      </c>
      <c r="AI302" s="3070" t="s">
        <v>3227</v>
      </c>
      <c r="AJ302" s="3070">
        <v>0</v>
      </c>
      <c r="AK302" s="3070">
        <v>0</v>
      </c>
      <c r="AL302" s="3070">
        <v>0</v>
      </c>
      <c r="AM302" s="3070">
        <v>12750.4</v>
      </c>
      <c r="AN302" s="3070">
        <v>1307681</v>
      </c>
      <c r="AP302" s="3070">
        <v>1307681</v>
      </c>
      <c r="AQ302" s="3072">
        <v>45138</v>
      </c>
      <c r="AT302" s="3073">
        <v>45678</v>
      </c>
      <c r="AV302" s="3074">
        <v>3.21E+17</v>
      </c>
      <c r="AW302" s="3070" t="s">
        <v>5742</v>
      </c>
      <c r="AX302" s="3070" t="s">
        <v>5743</v>
      </c>
      <c r="AY302" s="3070" t="s">
        <v>3681</v>
      </c>
      <c r="BC302" s="3070" t="s">
        <v>3284</v>
      </c>
      <c r="BD302" s="3070" t="s">
        <v>3077</v>
      </c>
      <c r="BI302" s="3070" t="s">
        <v>3235</v>
      </c>
      <c r="BJ302" s="3070" t="s">
        <v>3338</v>
      </c>
      <c r="BL302" s="3070" t="s">
        <v>5744</v>
      </c>
      <c r="BM302" s="3075">
        <v>44256</v>
      </c>
      <c r="BN302" s="3070">
        <v>603</v>
      </c>
      <c r="BO302" s="3070" t="s">
        <v>3253</v>
      </c>
      <c r="BR302" s="3070">
        <v>253</v>
      </c>
      <c r="BS302" s="3070" t="s">
        <v>3238</v>
      </c>
      <c r="BZ302" s="3073">
        <v>44142.625</v>
      </c>
      <c r="CA302" s="3070">
        <v>3</v>
      </c>
      <c r="CD302" s="3070" t="s">
        <v>3239</v>
      </c>
      <c r="CF302" s="3070" t="s">
        <v>3091</v>
      </c>
      <c r="CH302" s="3070" t="s">
        <v>3240</v>
      </c>
      <c r="CI302" s="3070">
        <v>0</v>
      </c>
      <c r="CK302" s="3070" t="s">
        <v>3681</v>
      </c>
      <c r="CL302" s="3070" t="s">
        <v>3681</v>
      </c>
      <c r="CM302" s="3070">
        <v>1199707.3400000001</v>
      </c>
      <c r="CV302" s="3070" t="s">
        <v>3246</v>
      </c>
      <c r="CW302" s="3070" t="s">
        <v>5745</v>
      </c>
      <c r="CZ302" s="3070">
        <v>213894.57</v>
      </c>
      <c r="DA302" s="3070">
        <v>159426.93</v>
      </c>
      <c r="DB302" s="3070">
        <v>0</v>
      </c>
      <c r="DC302" s="3070">
        <v>0</v>
      </c>
      <c r="DD302" s="3070">
        <v>3290547602</v>
      </c>
      <c r="DE302" s="3070">
        <v>2764253109</v>
      </c>
      <c r="DF302" s="3070">
        <v>1464966739</v>
      </c>
      <c r="DG302" s="3070">
        <v>14938370</v>
      </c>
      <c r="DH302" s="3070">
        <v>1284348000</v>
      </c>
      <c r="DI302" s="3070">
        <v>1278128000</v>
      </c>
      <c r="DJ302" s="3070">
        <v>6220000</v>
      </c>
      <c r="DK302" s="3070">
        <v>0</v>
      </c>
      <c r="DL302" s="3070">
        <v>0</v>
      </c>
      <c r="DM302" s="3070">
        <v>25491817.620000001</v>
      </c>
      <c r="DN302" s="3070">
        <v>2764253109</v>
      </c>
      <c r="DP302" s="3070">
        <v>2764253109</v>
      </c>
    </row>
    <row r="303" spans="1:120">
      <c r="A303" s="3070">
        <v>302</v>
      </c>
      <c r="B303" s="3070" t="s">
        <v>3224</v>
      </c>
      <c r="C303" s="3070">
        <v>3</v>
      </c>
      <c r="E303" s="3070">
        <v>1604</v>
      </c>
      <c r="F303" s="3070" t="s">
        <v>5746</v>
      </c>
      <c r="G303" s="3070" t="s">
        <v>5747</v>
      </c>
      <c r="H303" s="3070">
        <v>1426703</v>
      </c>
      <c r="I303" s="3070">
        <v>1426703</v>
      </c>
      <c r="J303" s="3070">
        <v>114.02</v>
      </c>
      <c r="K303" s="3070">
        <v>82.85</v>
      </c>
      <c r="L303" s="3070">
        <v>0</v>
      </c>
      <c r="M303" s="3070">
        <v>0</v>
      </c>
      <c r="N303" s="3070">
        <v>15444.44</v>
      </c>
      <c r="O303" s="3070">
        <v>1760975</v>
      </c>
      <c r="P303" s="3070">
        <v>12512.74</v>
      </c>
      <c r="Q303" s="3070">
        <v>1426703</v>
      </c>
      <c r="R303" s="3070" t="s">
        <v>3227</v>
      </c>
      <c r="S303" s="3070" t="s">
        <v>5748</v>
      </c>
      <c r="T303" s="3070" t="s">
        <v>3246</v>
      </c>
      <c r="U303" s="3070" t="s">
        <v>3247</v>
      </c>
      <c r="V303" s="3070" t="s">
        <v>3230</v>
      </c>
      <c r="Y303" s="3070">
        <v>436703</v>
      </c>
      <c r="Z303" s="3070">
        <v>436703</v>
      </c>
      <c r="AA303" s="3070">
        <v>436703</v>
      </c>
      <c r="AB303" s="3070">
        <v>0</v>
      </c>
      <c r="AC303" s="3070">
        <v>990000</v>
      </c>
      <c r="AD303" s="3070">
        <v>990000</v>
      </c>
      <c r="AE303" s="3070">
        <v>0</v>
      </c>
      <c r="AI303" s="3070" t="s">
        <v>3227</v>
      </c>
      <c r="AJ303" s="3070">
        <v>0</v>
      </c>
      <c r="AK303" s="3070">
        <v>0</v>
      </c>
      <c r="AL303" s="3070">
        <v>0</v>
      </c>
      <c r="AM303" s="3070">
        <v>12512.74</v>
      </c>
      <c r="AN303" s="3070">
        <v>1426703</v>
      </c>
      <c r="AP303" s="3070">
        <v>1426703</v>
      </c>
      <c r="AQ303" s="3072">
        <v>45138</v>
      </c>
      <c r="AT303" s="3073">
        <v>45678</v>
      </c>
      <c r="AV303" s="3074">
        <v>3.21E+17</v>
      </c>
      <c r="AW303" s="3070" t="s">
        <v>5749</v>
      </c>
      <c r="AX303" s="3070" t="s">
        <v>5750</v>
      </c>
      <c r="AY303" s="3070" t="s">
        <v>3497</v>
      </c>
      <c r="BC303" s="3070" t="s">
        <v>3284</v>
      </c>
      <c r="BD303" s="3070" t="s">
        <v>3077</v>
      </c>
      <c r="BI303" s="3070" t="s">
        <v>3295</v>
      </c>
      <c r="BJ303" s="3070" t="s">
        <v>3296</v>
      </c>
      <c r="BL303" s="3070" t="s">
        <v>5751</v>
      </c>
      <c r="BM303" s="3075">
        <v>44256</v>
      </c>
      <c r="BN303" s="3070">
        <v>604</v>
      </c>
      <c r="BO303" s="3070" t="s">
        <v>3253</v>
      </c>
      <c r="BR303" s="3070">
        <v>747</v>
      </c>
      <c r="BS303" s="3070" t="s">
        <v>3238</v>
      </c>
      <c r="BZ303" s="3073">
        <v>44142.651388888888</v>
      </c>
      <c r="CA303" s="3070">
        <v>3</v>
      </c>
      <c r="CD303" s="3070" t="s">
        <v>3239</v>
      </c>
      <c r="CF303" s="3070" t="s">
        <v>3091</v>
      </c>
      <c r="CH303" s="3070" t="s">
        <v>3240</v>
      </c>
      <c r="CI303" s="3070">
        <v>0</v>
      </c>
      <c r="CK303" s="3070" t="s">
        <v>3497</v>
      </c>
      <c r="CL303" s="3070" t="s">
        <v>3497</v>
      </c>
      <c r="CM303" s="3070">
        <v>1308901.83</v>
      </c>
      <c r="CV303" s="3070" t="s">
        <v>3246</v>
      </c>
      <c r="CW303" s="3070" t="s">
        <v>5752</v>
      </c>
      <c r="CZ303" s="3070">
        <v>213894.57</v>
      </c>
      <c r="DA303" s="3070">
        <v>159426.93</v>
      </c>
      <c r="DB303" s="3070">
        <v>0</v>
      </c>
      <c r="DC303" s="3070">
        <v>0</v>
      </c>
      <c r="DD303" s="3070">
        <v>3290547602</v>
      </c>
      <c r="DE303" s="3070">
        <v>2764253109</v>
      </c>
      <c r="DF303" s="3070">
        <v>1464966739</v>
      </c>
      <c r="DG303" s="3070">
        <v>14938370</v>
      </c>
      <c r="DH303" s="3070">
        <v>1284348000</v>
      </c>
      <c r="DI303" s="3070">
        <v>1278128000</v>
      </c>
      <c r="DJ303" s="3070">
        <v>6220000</v>
      </c>
      <c r="DK303" s="3070">
        <v>0</v>
      </c>
      <c r="DL303" s="3070">
        <v>0</v>
      </c>
      <c r="DM303" s="3070">
        <v>25491817.620000001</v>
      </c>
      <c r="DN303" s="3070">
        <v>2764253109</v>
      </c>
      <c r="DP303" s="3070">
        <v>2764253109</v>
      </c>
    </row>
    <row r="304" spans="1:120">
      <c r="A304" s="3070">
        <v>303</v>
      </c>
      <c r="B304" s="3070" t="s">
        <v>3224</v>
      </c>
      <c r="C304" s="3070">
        <v>3</v>
      </c>
      <c r="E304" s="3070">
        <v>1701</v>
      </c>
      <c r="F304" s="3070" t="s">
        <v>5753</v>
      </c>
      <c r="G304" s="3070" t="s">
        <v>5754</v>
      </c>
      <c r="H304" s="3070">
        <v>1407071</v>
      </c>
      <c r="I304" s="3070">
        <v>1407071</v>
      </c>
      <c r="J304" s="3070">
        <v>114.02</v>
      </c>
      <c r="K304" s="3070">
        <v>82.85</v>
      </c>
      <c r="L304" s="3070">
        <v>0</v>
      </c>
      <c r="M304" s="3070">
        <v>0</v>
      </c>
      <c r="N304" s="3070">
        <v>15394.44</v>
      </c>
      <c r="O304" s="3070">
        <v>1755274</v>
      </c>
      <c r="P304" s="3070">
        <v>12340.56</v>
      </c>
      <c r="Q304" s="3070">
        <v>1407071</v>
      </c>
      <c r="R304" s="3070" t="s">
        <v>3227</v>
      </c>
      <c r="S304" s="3070" t="s">
        <v>5755</v>
      </c>
      <c r="T304" s="3070" t="s">
        <v>3229</v>
      </c>
      <c r="V304" s="3070" t="s">
        <v>3230</v>
      </c>
      <c r="Y304" s="3070">
        <v>427071</v>
      </c>
      <c r="Z304" s="3070">
        <v>427071</v>
      </c>
      <c r="AA304" s="3070">
        <v>1407071</v>
      </c>
      <c r="AB304" s="3070">
        <v>0</v>
      </c>
      <c r="AC304" s="3070">
        <v>0</v>
      </c>
      <c r="AD304" s="3070">
        <v>0</v>
      </c>
      <c r="AE304" s="3070">
        <v>0</v>
      </c>
      <c r="AI304" s="3070" t="s">
        <v>3227</v>
      </c>
      <c r="AJ304" s="3070">
        <v>0</v>
      </c>
      <c r="AK304" s="3070">
        <v>0</v>
      </c>
      <c r="AL304" s="3070">
        <v>0</v>
      </c>
      <c r="AM304" s="3070">
        <v>12340.56</v>
      </c>
      <c r="AN304" s="3070">
        <v>1407071</v>
      </c>
      <c r="AP304" s="3070">
        <v>1407071</v>
      </c>
      <c r="AQ304" s="3072">
        <v>45138</v>
      </c>
      <c r="AT304" s="3073">
        <v>45678</v>
      </c>
      <c r="AV304" s="3074">
        <v>3.21E+17</v>
      </c>
      <c r="AW304" s="3070" t="s">
        <v>5756</v>
      </c>
      <c r="AX304" s="3070" t="s">
        <v>5757</v>
      </c>
      <c r="AY304" s="3070" t="s">
        <v>3318</v>
      </c>
      <c r="BA304" s="3070" t="s">
        <v>3337</v>
      </c>
      <c r="BC304" s="3070" t="s">
        <v>3234</v>
      </c>
      <c r="BD304" s="3070" t="s">
        <v>3077</v>
      </c>
      <c r="BI304" s="3070" t="s">
        <v>3235</v>
      </c>
      <c r="BL304" s="3070" t="s">
        <v>5758</v>
      </c>
      <c r="BM304" s="3075">
        <v>44256</v>
      </c>
      <c r="BN304" s="3070">
        <v>701</v>
      </c>
      <c r="BR304" s="3070">
        <v>0</v>
      </c>
      <c r="BS304" s="3070" t="s">
        <v>3238</v>
      </c>
      <c r="BU304" s="3070" t="s">
        <v>3337</v>
      </c>
      <c r="BZ304" s="3073">
        <v>44151.651388888888</v>
      </c>
      <c r="CA304" s="3070">
        <v>3</v>
      </c>
      <c r="CD304" s="3070" t="s">
        <v>3239</v>
      </c>
      <c r="CF304" s="3070" t="s">
        <v>3091</v>
      </c>
      <c r="CH304" s="3070" t="s">
        <v>3240</v>
      </c>
      <c r="CI304" s="3070">
        <v>0</v>
      </c>
      <c r="CK304" s="3070" t="s">
        <v>3318</v>
      </c>
      <c r="CL304" s="3070" t="s">
        <v>3318</v>
      </c>
      <c r="CM304" s="3070">
        <v>1290890.83</v>
      </c>
      <c r="CV304" s="3070" t="s">
        <v>3229</v>
      </c>
      <c r="CW304" s="3070" t="s">
        <v>5759</v>
      </c>
      <c r="CZ304" s="3070">
        <v>213894.57</v>
      </c>
      <c r="DA304" s="3070">
        <v>159426.93</v>
      </c>
      <c r="DB304" s="3070">
        <v>0</v>
      </c>
      <c r="DC304" s="3070">
        <v>0</v>
      </c>
      <c r="DD304" s="3070">
        <v>3290547602</v>
      </c>
      <c r="DE304" s="3070">
        <v>2764253109</v>
      </c>
      <c r="DF304" s="3070">
        <v>1464966739</v>
      </c>
      <c r="DG304" s="3070">
        <v>14938370</v>
      </c>
      <c r="DH304" s="3070">
        <v>1284348000</v>
      </c>
      <c r="DI304" s="3070">
        <v>1278128000</v>
      </c>
      <c r="DJ304" s="3070">
        <v>6220000</v>
      </c>
      <c r="DK304" s="3070">
        <v>0</v>
      </c>
      <c r="DL304" s="3070">
        <v>0</v>
      </c>
      <c r="DM304" s="3070">
        <v>25491817.620000001</v>
      </c>
      <c r="DN304" s="3070">
        <v>2764253109</v>
      </c>
      <c r="DP304" s="3070">
        <v>2764253109</v>
      </c>
    </row>
    <row r="305" spans="1:120">
      <c r="A305" s="3070">
        <v>304</v>
      </c>
      <c r="B305" s="3070" t="s">
        <v>3224</v>
      </c>
      <c r="C305" s="3070">
        <v>3</v>
      </c>
      <c r="E305" s="3070">
        <v>1702</v>
      </c>
      <c r="F305" s="3070" t="s">
        <v>5760</v>
      </c>
      <c r="G305" s="3070" t="s">
        <v>5761</v>
      </c>
      <c r="H305" s="3070">
        <v>1298691</v>
      </c>
      <c r="I305" s="3070">
        <v>1298691</v>
      </c>
      <c r="J305" s="3070">
        <v>102.62</v>
      </c>
      <c r="K305" s="3070">
        <v>74.569999999999993</v>
      </c>
      <c r="L305" s="3070">
        <v>0</v>
      </c>
      <c r="M305" s="3070">
        <v>0</v>
      </c>
      <c r="N305" s="3070">
        <v>15594.44</v>
      </c>
      <c r="O305" s="3070">
        <v>1600301</v>
      </c>
      <c r="P305" s="3070">
        <v>12655.34</v>
      </c>
      <c r="Q305" s="3070">
        <v>1298691</v>
      </c>
      <c r="R305" s="3070" t="s">
        <v>3227</v>
      </c>
      <c r="S305" s="3070" t="s">
        <v>5762</v>
      </c>
      <c r="T305" s="3070" t="s">
        <v>3246</v>
      </c>
      <c r="U305" s="3070" t="s">
        <v>3539</v>
      </c>
      <c r="V305" s="3070" t="s">
        <v>3230</v>
      </c>
      <c r="Y305" s="3070">
        <v>398691</v>
      </c>
      <c r="Z305" s="3070">
        <v>398691</v>
      </c>
      <c r="AA305" s="3070">
        <v>398691</v>
      </c>
      <c r="AB305" s="3070">
        <v>0</v>
      </c>
      <c r="AC305" s="3070">
        <v>900000</v>
      </c>
      <c r="AD305" s="3070">
        <v>900000</v>
      </c>
      <c r="AE305" s="3070">
        <v>0</v>
      </c>
      <c r="AI305" s="3070" t="s">
        <v>3227</v>
      </c>
      <c r="AJ305" s="3070">
        <v>0</v>
      </c>
      <c r="AK305" s="3070">
        <v>0</v>
      </c>
      <c r="AL305" s="3070">
        <v>0</v>
      </c>
      <c r="AM305" s="3070">
        <v>12655.34</v>
      </c>
      <c r="AN305" s="3070">
        <v>1298691</v>
      </c>
      <c r="AP305" s="3070">
        <v>1298691</v>
      </c>
      <c r="AQ305" s="3072">
        <v>45138</v>
      </c>
      <c r="AT305" s="3073">
        <v>45678</v>
      </c>
      <c r="AV305" s="3074">
        <v>3.3E+17</v>
      </c>
      <c r="AW305" s="3070" t="s">
        <v>5763</v>
      </c>
      <c r="AX305" s="3070" t="s">
        <v>5764</v>
      </c>
      <c r="AY305" s="3070" t="s">
        <v>3419</v>
      </c>
      <c r="BC305" s="3070" t="s">
        <v>3251</v>
      </c>
      <c r="BD305" s="3070" t="s">
        <v>3077</v>
      </c>
      <c r="BI305" s="3070" t="s">
        <v>3235</v>
      </c>
      <c r="BL305" s="3070" t="s">
        <v>5765</v>
      </c>
      <c r="BM305" s="3075">
        <v>44256</v>
      </c>
      <c r="BN305" s="3070">
        <v>702</v>
      </c>
      <c r="BO305" s="3070" t="s">
        <v>3253</v>
      </c>
      <c r="BR305" s="3070">
        <v>361</v>
      </c>
      <c r="BS305" s="3070" t="s">
        <v>3238</v>
      </c>
      <c r="BZ305" s="3073">
        <v>44142.633333333331</v>
      </c>
      <c r="CA305" s="3070">
        <v>3</v>
      </c>
      <c r="CD305" s="3070" t="s">
        <v>3239</v>
      </c>
      <c r="CF305" s="3070" t="s">
        <v>3091</v>
      </c>
      <c r="CH305" s="3070" t="s">
        <v>3240</v>
      </c>
      <c r="CI305" s="3070">
        <v>0</v>
      </c>
      <c r="CK305" s="3070" t="s">
        <v>3419</v>
      </c>
      <c r="CL305" s="3070" t="s">
        <v>3419</v>
      </c>
      <c r="CM305" s="3070">
        <v>1191459.6299999999</v>
      </c>
      <c r="CV305" s="3070" t="s">
        <v>3246</v>
      </c>
      <c r="CW305" s="3070" t="s">
        <v>5766</v>
      </c>
      <c r="CZ305" s="3070">
        <v>213894.57</v>
      </c>
      <c r="DA305" s="3070">
        <v>159426.93</v>
      </c>
      <c r="DB305" s="3070">
        <v>0</v>
      </c>
      <c r="DC305" s="3070">
        <v>0</v>
      </c>
      <c r="DD305" s="3070">
        <v>3290547602</v>
      </c>
      <c r="DE305" s="3070">
        <v>2764253109</v>
      </c>
      <c r="DF305" s="3070">
        <v>1464966739</v>
      </c>
      <c r="DG305" s="3070">
        <v>14938370</v>
      </c>
      <c r="DH305" s="3070">
        <v>1284348000</v>
      </c>
      <c r="DI305" s="3070">
        <v>1278128000</v>
      </c>
      <c r="DJ305" s="3070">
        <v>6220000</v>
      </c>
      <c r="DK305" s="3070">
        <v>0</v>
      </c>
      <c r="DL305" s="3070">
        <v>0</v>
      </c>
      <c r="DM305" s="3070">
        <v>25491817.620000001</v>
      </c>
      <c r="DN305" s="3070">
        <v>2764253109</v>
      </c>
      <c r="DP305" s="3070">
        <v>2764253109</v>
      </c>
    </row>
    <row r="306" spans="1:120">
      <c r="A306" s="3070">
        <v>305</v>
      </c>
      <c r="B306" s="3070" t="s">
        <v>3224</v>
      </c>
      <c r="C306" s="3070">
        <v>3</v>
      </c>
      <c r="E306" s="3070">
        <v>1703</v>
      </c>
      <c r="F306" s="3070" t="s">
        <v>5767</v>
      </c>
      <c r="G306" s="3070" t="s">
        <v>5768</v>
      </c>
      <c r="H306" s="3070">
        <v>1297931</v>
      </c>
      <c r="I306" s="3070">
        <v>1297931</v>
      </c>
      <c r="J306" s="3070">
        <v>102.56</v>
      </c>
      <c r="K306" s="3070">
        <v>74.53</v>
      </c>
      <c r="L306" s="3070">
        <v>0</v>
      </c>
      <c r="M306" s="3070">
        <v>0</v>
      </c>
      <c r="N306" s="3070">
        <v>15594.44</v>
      </c>
      <c r="O306" s="3070">
        <v>1599366</v>
      </c>
      <c r="P306" s="3070">
        <v>12655.33</v>
      </c>
      <c r="Q306" s="3070">
        <v>1297931</v>
      </c>
      <c r="R306" s="3070" t="s">
        <v>3227</v>
      </c>
      <c r="S306" s="3070" t="s">
        <v>5769</v>
      </c>
      <c r="T306" s="3070" t="s">
        <v>3246</v>
      </c>
      <c r="U306" s="3070" t="s">
        <v>3381</v>
      </c>
      <c r="V306" s="3070" t="s">
        <v>3230</v>
      </c>
      <c r="Y306" s="3070">
        <v>389931</v>
      </c>
      <c r="Z306" s="3070">
        <v>389931</v>
      </c>
      <c r="AA306" s="3070">
        <v>389931</v>
      </c>
      <c r="AB306" s="3070">
        <v>0</v>
      </c>
      <c r="AC306" s="3070">
        <v>908000</v>
      </c>
      <c r="AD306" s="3070">
        <v>908000</v>
      </c>
      <c r="AE306" s="3070">
        <v>0</v>
      </c>
      <c r="AI306" s="3070" t="s">
        <v>3227</v>
      </c>
      <c r="AJ306" s="3070">
        <v>0</v>
      </c>
      <c r="AK306" s="3070">
        <v>0</v>
      </c>
      <c r="AL306" s="3070">
        <v>0</v>
      </c>
      <c r="AM306" s="3070">
        <v>12655.33</v>
      </c>
      <c r="AN306" s="3070">
        <v>1297931</v>
      </c>
      <c r="AP306" s="3070">
        <v>1297931</v>
      </c>
      <c r="AQ306" s="3072">
        <v>45138</v>
      </c>
      <c r="AT306" s="3073">
        <v>45678</v>
      </c>
      <c r="AV306" s="3070" t="s">
        <v>5770</v>
      </c>
      <c r="AW306" s="3070" t="s">
        <v>5771</v>
      </c>
      <c r="AX306" s="3070" t="s">
        <v>5772</v>
      </c>
      <c r="AY306" s="3070" t="s">
        <v>3648</v>
      </c>
      <c r="BC306" s="3070" t="s">
        <v>3284</v>
      </c>
      <c r="BD306" s="3070" t="s">
        <v>3077</v>
      </c>
      <c r="BI306" s="3070" t="s">
        <v>3235</v>
      </c>
      <c r="BL306" s="3070" t="s">
        <v>5773</v>
      </c>
      <c r="BM306" s="3075">
        <v>44256</v>
      </c>
      <c r="BN306" s="3070">
        <v>703</v>
      </c>
      <c r="BO306" s="3070" t="s">
        <v>3253</v>
      </c>
      <c r="BR306" s="3070">
        <v>647</v>
      </c>
      <c r="BS306" s="3070" t="s">
        <v>3238</v>
      </c>
      <c r="BZ306" s="3073">
        <v>44142.64166666667</v>
      </c>
      <c r="CA306" s="3070">
        <v>3</v>
      </c>
      <c r="CD306" s="3070" t="s">
        <v>3239</v>
      </c>
      <c r="CF306" s="3070" t="s">
        <v>3091</v>
      </c>
      <c r="CH306" s="3070" t="s">
        <v>3240</v>
      </c>
      <c r="CI306" s="3070">
        <v>0</v>
      </c>
      <c r="CK306" s="3070" t="s">
        <v>3648</v>
      </c>
      <c r="CL306" s="3070" t="s">
        <v>3648</v>
      </c>
      <c r="CM306" s="3070">
        <v>1190762.3899999999</v>
      </c>
      <c r="CV306" s="3070" t="s">
        <v>3246</v>
      </c>
      <c r="CW306" s="3070" t="s">
        <v>5774</v>
      </c>
      <c r="CX306" s="3070" t="s">
        <v>3350</v>
      </c>
      <c r="CZ306" s="3070">
        <v>213894.57</v>
      </c>
      <c r="DA306" s="3070">
        <v>159426.93</v>
      </c>
      <c r="DB306" s="3070">
        <v>0</v>
      </c>
      <c r="DC306" s="3070">
        <v>0</v>
      </c>
      <c r="DD306" s="3070">
        <v>3290547602</v>
      </c>
      <c r="DE306" s="3070">
        <v>2764253109</v>
      </c>
      <c r="DF306" s="3070">
        <v>1464966739</v>
      </c>
      <c r="DG306" s="3070">
        <v>14938370</v>
      </c>
      <c r="DH306" s="3070">
        <v>1284348000</v>
      </c>
      <c r="DI306" s="3070">
        <v>1278128000</v>
      </c>
      <c r="DJ306" s="3070">
        <v>6220000</v>
      </c>
      <c r="DK306" s="3070">
        <v>0</v>
      </c>
      <c r="DL306" s="3070">
        <v>0</v>
      </c>
      <c r="DM306" s="3070">
        <v>25491817.620000001</v>
      </c>
      <c r="DN306" s="3070">
        <v>2764253109</v>
      </c>
      <c r="DP306" s="3070">
        <v>2764253109</v>
      </c>
    </row>
    <row r="307" spans="1:120">
      <c r="A307" s="3070">
        <v>306</v>
      </c>
      <c r="B307" s="3070" t="s">
        <v>3224</v>
      </c>
      <c r="C307" s="3070">
        <v>3</v>
      </c>
      <c r="E307" s="3070">
        <v>1704</v>
      </c>
      <c r="F307" s="3070" t="s">
        <v>5775</v>
      </c>
      <c r="G307" s="3070" t="s">
        <v>5776</v>
      </c>
      <c r="H307" s="3070">
        <v>1387548</v>
      </c>
      <c r="I307" s="3070">
        <v>1387548</v>
      </c>
      <c r="J307" s="3070">
        <v>114.02</v>
      </c>
      <c r="K307" s="3070">
        <v>82.85</v>
      </c>
      <c r="L307" s="3070">
        <v>0</v>
      </c>
      <c r="M307" s="3070">
        <v>0</v>
      </c>
      <c r="N307" s="3070">
        <v>15344.44</v>
      </c>
      <c r="O307" s="3070">
        <v>1749573</v>
      </c>
      <c r="P307" s="3070">
        <v>12169.34</v>
      </c>
      <c r="Q307" s="3070">
        <v>1387548</v>
      </c>
      <c r="R307" s="3070" t="s">
        <v>3227</v>
      </c>
      <c r="S307" s="3070" t="s">
        <v>5777</v>
      </c>
      <c r="T307" s="3070" t="s">
        <v>3258</v>
      </c>
      <c r="U307" s="3070" t="s">
        <v>3259</v>
      </c>
      <c r="V307" s="3070" t="s">
        <v>3230</v>
      </c>
      <c r="Y307" s="3070">
        <v>417548</v>
      </c>
      <c r="Z307" s="3070">
        <v>355400</v>
      </c>
      <c r="AA307" s="3070">
        <v>417548</v>
      </c>
      <c r="AB307" s="3070">
        <v>0</v>
      </c>
      <c r="AC307" s="3070">
        <v>970000</v>
      </c>
      <c r="AD307" s="3070">
        <v>970000</v>
      </c>
      <c r="AE307" s="3070">
        <v>0</v>
      </c>
      <c r="AI307" s="3070" t="s">
        <v>3227</v>
      </c>
      <c r="AJ307" s="3070">
        <v>0</v>
      </c>
      <c r="AK307" s="3070">
        <v>0</v>
      </c>
      <c r="AL307" s="3070">
        <v>0</v>
      </c>
      <c r="AM307" s="3070">
        <v>12169.34</v>
      </c>
      <c r="AN307" s="3070">
        <v>1387548</v>
      </c>
      <c r="AP307" s="3070">
        <v>1387548</v>
      </c>
      <c r="AQ307" s="3072">
        <v>45138</v>
      </c>
      <c r="AT307" s="3073">
        <v>45678</v>
      </c>
      <c r="AV307" s="3070" t="s">
        <v>5778</v>
      </c>
      <c r="AW307" s="3070" t="s">
        <v>5779</v>
      </c>
      <c r="AX307" s="3070" t="s">
        <v>5780</v>
      </c>
      <c r="AY307" s="3070" t="s">
        <v>3262</v>
      </c>
      <c r="BC307" s="3070" t="s">
        <v>5781</v>
      </c>
      <c r="BD307" s="3070" t="s">
        <v>3077</v>
      </c>
      <c r="BI307" s="3070" t="s">
        <v>3235</v>
      </c>
      <c r="BL307" s="3070" t="s">
        <v>5782</v>
      </c>
      <c r="BM307" s="3075">
        <v>44256</v>
      </c>
      <c r="BN307" s="3070">
        <v>704</v>
      </c>
      <c r="BO307" s="3070" t="s">
        <v>3253</v>
      </c>
      <c r="BP307" s="3070" t="s">
        <v>3253</v>
      </c>
      <c r="BR307" s="3070">
        <v>775</v>
      </c>
      <c r="BS307" s="3070" t="s">
        <v>3238</v>
      </c>
      <c r="BZ307" s="3073">
        <v>44149.756944444445</v>
      </c>
      <c r="CA307" s="3070">
        <v>3</v>
      </c>
      <c r="CD307" s="3070" t="s">
        <v>3239</v>
      </c>
      <c r="CF307" s="3070" t="s">
        <v>3091</v>
      </c>
      <c r="CH307" s="3070" t="s">
        <v>3240</v>
      </c>
      <c r="CI307" s="3070">
        <v>0</v>
      </c>
      <c r="CJ307" s="3070" t="s">
        <v>3259</v>
      </c>
      <c r="CK307" s="3070" t="s">
        <v>3262</v>
      </c>
      <c r="CL307" s="3070" t="s">
        <v>3262</v>
      </c>
      <c r="CM307" s="3070">
        <v>1272979.82</v>
      </c>
      <c r="CV307" s="3070" t="s">
        <v>3258</v>
      </c>
      <c r="CW307" s="3070" t="s">
        <v>5783</v>
      </c>
      <c r="CX307" s="3070" t="s">
        <v>3510</v>
      </c>
      <c r="CZ307" s="3070">
        <v>213894.57</v>
      </c>
      <c r="DA307" s="3070">
        <v>159426.93</v>
      </c>
      <c r="DB307" s="3070">
        <v>0</v>
      </c>
      <c r="DC307" s="3070">
        <v>0</v>
      </c>
      <c r="DD307" s="3070">
        <v>3290547602</v>
      </c>
      <c r="DE307" s="3070">
        <v>2764253109</v>
      </c>
      <c r="DF307" s="3070">
        <v>1464966739</v>
      </c>
      <c r="DG307" s="3070">
        <v>14938370</v>
      </c>
      <c r="DH307" s="3070">
        <v>1284348000</v>
      </c>
      <c r="DI307" s="3070">
        <v>1278128000</v>
      </c>
      <c r="DJ307" s="3070">
        <v>6220000</v>
      </c>
      <c r="DK307" s="3070">
        <v>0</v>
      </c>
      <c r="DL307" s="3070">
        <v>0</v>
      </c>
      <c r="DM307" s="3070">
        <v>25491817.620000001</v>
      </c>
      <c r="DN307" s="3070">
        <v>2764253109</v>
      </c>
      <c r="DP307" s="3070">
        <v>2764253109</v>
      </c>
    </row>
    <row r="308" spans="1:120">
      <c r="A308" s="3070">
        <v>307</v>
      </c>
      <c r="B308" s="3070" t="s">
        <v>3224</v>
      </c>
      <c r="C308" s="3070">
        <v>3</v>
      </c>
      <c r="E308" s="3070">
        <v>1801</v>
      </c>
      <c r="F308" s="3070" t="s">
        <v>5784</v>
      </c>
      <c r="G308" s="3070" t="s">
        <v>5785</v>
      </c>
      <c r="H308" s="3070">
        <v>1529223</v>
      </c>
      <c r="I308" s="3070">
        <v>1529223</v>
      </c>
      <c r="J308" s="3070">
        <v>114.02</v>
      </c>
      <c r="K308" s="3070">
        <v>82.85</v>
      </c>
      <c r="L308" s="3070">
        <v>0</v>
      </c>
      <c r="M308" s="3070">
        <v>0</v>
      </c>
      <c r="N308" s="3070">
        <v>15194.44</v>
      </c>
      <c r="O308" s="3070">
        <v>1732470</v>
      </c>
      <c r="P308" s="3070">
        <v>13411.88</v>
      </c>
      <c r="Q308" s="3070">
        <v>1529223</v>
      </c>
      <c r="R308" s="3070" t="s">
        <v>3227</v>
      </c>
      <c r="S308" s="3070" t="s">
        <v>5786</v>
      </c>
      <c r="T308" s="3070" t="s">
        <v>3258</v>
      </c>
      <c r="U308" s="3070" t="s">
        <v>3259</v>
      </c>
      <c r="V308" s="3070" t="s">
        <v>3230</v>
      </c>
      <c r="Y308" s="3070">
        <v>779223</v>
      </c>
      <c r="Z308" s="3070">
        <v>779223</v>
      </c>
      <c r="AA308" s="3070">
        <v>779223</v>
      </c>
      <c r="AB308" s="3070">
        <v>0</v>
      </c>
      <c r="AC308" s="3070">
        <v>750000</v>
      </c>
      <c r="AD308" s="3070">
        <v>750000</v>
      </c>
      <c r="AE308" s="3070">
        <v>0</v>
      </c>
      <c r="AI308" s="3070" t="s">
        <v>3227</v>
      </c>
      <c r="AJ308" s="3070">
        <v>0</v>
      </c>
      <c r="AK308" s="3070">
        <v>0</v>
      </c>
      <c r="AL308" s="3070">
        <v>0</v>
      </c>
      <c r="AM308" s="3070">
        <v>13411.88</v>
      </c>
      <c r="AN308" s="3070">
        <v>1529223</v>
      </c>
      <c r="AP308" s="3070">
        <v>1529223</v>
      </c>
      <c r="AQ308" s="3072">
        <v>45138</v>
      </c>
      <c r="AT308" s="3073">
        <v>45678</v>
      </c>
      <c r="AV308" s="3074">
        <v>3.21E+17</v>
      </c>
      <c r="AW308" s="3070" t="s">
        <v>5787</v>
      </c>
      <c r="AX308" s="3070" t="s">
        <v>5788</v>
      </c>
      <c r="AY308" s="3070" t="s">
        <v>4706</v>
      </c>
      <c r="BC308" s="3070" t="s">
        <v>4199</v>
      </c>
      <c r="BD308" s="3070" t="s">
        <v>3077</v>
      </c>
      <c r="BI308" s="3070" t="s">
        <v>3295</v>
      </c>
      <c r="BL308" s="3070" t="s">
        <v>5789</v>
      </c>
      <c r="BM308" s="3075">
        <v>44256</v>
      </c>
      <c r="BN308" s="3070">
        <v>801</v>
      </c>
      <c r="BO308" s="3070" t="s">
        <v>3253</v>
      </c>
      <c r="BP308" s="3070" t="s">
        <v>3253</v>
      </c>
      <c r="BR308" s="3070">
        <v>0</v>
      </c>
      <c r="BS308" s="3070" t="s">
        <v>3238</v>
      </c>
      <c r="BZ308" s="3073">
        <v>44247.527777777781</v>
      </c>
      <c r="CA308" s="3070">
        <v>3</v>
      </c>
      <c r="CD308" s="3070" t="s">
        <v>3239</v>
      </c>
      <c r="CF308" s="3070" t="s">
        <v>3091</v>
      </c>
      <c r="CH308" s="3070" t="s">
        <v>3240</v>
      </c>
      <c r="CI308" s="3070">
        <v>0</v>
      </c>
      <c r="CJ308" s="3070" t="s">
        <v>3259</v>
      </c>
      <c r="CK308" s="3070" t="s">
        <v>4706</v>
      </c>
      <c r="CL308" s="3070" t="s">
        <v>4706</v>
      </c>
      <c r="CM308" s="3070">
        <v>1402956.88</v>
      </c>
      <c r="CV308" s="3070" t="s">
        <v>3258</v>
      </c>
      <c r="CW308" s="3070" t="s">
        <v>5790</v>
      </c>
      <c r="CZ308" s="3070">
        <v>213894.57</v>
      </c>
      <c r="DA308" s="3070">
        <v>159426.93</v>
      </c>
      <c r="DB308" s="3070">
        <v>0</v>
      </c>
      <c r="DC308" s="3070">
        <v>0</v>
      </c>
      <c r="DD308" s="3070">
        <v>3290547602</v>
      </c>
      <c r="DE308" s="3070">
        <v>2764253109</v>
      </c>
      <c r="DF308" s="3070">
        <v>1464966739</v>
      </c>
      <c r="DG308" s="3070">
        <v>14938370</v>
      </c>
      <c r="DH308" s="3070">
        <v>1284348000</v>
      </c>
      <c r="DI308" s="3070">
        <v>1278128000</v>
      </c>
      <c r="DJ308" s="3070">
        <v>6220000</v>
      </c>
      <c r="DK308" s="3070">
        <v>0</v>
      </c>
      <c r="DL308" s="3070">
        <v>0</v>
      </c>
      <c r="DM308" s="3070">
        <v>25491817.620000001</v>
      </c>
      <c r="DN308" s="3070">
        <v>2764253109</v>
      </c>
      <c r="DP308" s="3070">
        <v>2764253109</v>
      </c>
    </row>
    <row r="309" spans="1:120">
      <c r="A309" s="3070">
        <v>308</v>
      </c>
      <c r="B309" s="3070" t="s">
        <v>3224</v>
      </c>
      <c r="C309" s="3070">
        <v>3</v>
      </c>
      <c r="E309" s="3070">
        <v>1802</v>
      </c>
      <c r="F309" s="3070" t="s">
        <v>5791</v>
      </c>
      <c r="G309" s="3070" t="s">
        <v>5792</v>
      </c>
      <c r="H309" s="3070">
        <v>1279181</v>
      </c>
      <c r="I309" s="3070">
        <v>1279181</v>
      </c>
      <c r="J309" s="3070">
        <v>102.62</v>
      </c>
      <c r="K309" s="3070">
        <v>74.569999999999993</v>
      </c>
      <c r="L309" s="3070">
        <v>0</v>
      </c>
      <c r="M309" s="3070">
        <v>0</v>
      </c>
      <c r="N309" s="3070">
        <v>15394.44</v>
      </c>
      <c r="O309" s="3070">
        <v>1579777</v>
      </c>
      <c r="P309" s="3070">
        <v>12465.22</v>
      </c>
      <c r="Q309" s="3070">
        <v>1279181</v>
      </c>
      <c r="R309" s="3070" t="s">
        <v>3227</v>
      </c>
      <c r="S309" s="3070" t="s">
        <v>5793</v>
      </c>
      <c r="T309" s="3070" t="s">
        <v>3246</v>
      </c>
      <c r="U309" s="3070" t="s">
        <v>3259</v>
      </c>
      <c r="V309" s="3070" t="s">
        <v>3230</v>
      </c>
      <c r="Y309" s="3070">
        <v>519181</v>
      </c>
      <c r="Z309" s="3070">
        <v>519181</v>
      </c>
      <c r="AA309" s="3070">
        <v>519181</v>
      </c>
      <c r="AB309" s="3070">
        <v>0</v>
      </c>
      <c r="AC309" s="3070">
        <v>760000</v>
      </c>
      <c r="AD309" s="3070">
        <v>760000</v>
      </c>
      <c r="AE309" s="3070">
        <v>0</v>
      </c>
      <c r="AI309" s="3070" t="s">
        <v>3227</v>
      </c>
      <c r="AJ309" s="3070">
        <v>0</v>
      </c>
      <c r="AK309" s="3070">
        <v>0</v>
      </c>
      <c r="AL309" s="3070">
        <v>0</v>
      </c>
      <c r="AM309" s="3070">
        <v>12465.22</v>
      </c>
      <c r="AN309" s="3070">
        <v>1279181</v>
      </c>
      <c r="AP309" s="3070">
        <v>1279181</v>
      </c>
      <c r="AQ309" s="3072">
        <v>45138</v>
      </c>
      <c r="AT309" s="3073">
        <v>45678</v>
      </c>
      <c r="AV309" s="3074">
        <v>1.3E+17</v>
      </c>
      <c r="AW309" s="3070" t="s">
        <v>5794</v>
      </c>
      <c r="AX309" s="3070" t="s">
        <v>5795</v>
      </c>
      <c r="AY309" s="3070" t="s">
        <v>3648</v>
      </c>
      <c r="BC309" s="3070" t="s">
        <v>3284</v>
      </c>
      <c r="BD309" s="3070" t="s">
        <v>3077</v>
      </c>
      <c r="BI309" s="3070" t="s">
        <v>3295</v>
      </c>
      <c r="BJ309" s="3070" t="s">
        <v>3598</v>
      </c>
      <c r="BL309" s="3070" t="s">
        <v>5796</v>
      </c>
      <c r="BM309" s="3075">
        <v>44256</v>
      </c>
      <c r="BN309" s="3070">
        <v>802</v>
      </c>
      <c r="BO309" s="3070" t="s">
        <v>3253</v>
      </c>
      <c r="BR309" s="3070">
        <v>510</v>
      </c>
      <c r="BS309" s="3070" t="s">
        <v>3238</v>
      </c>
      <c r="BZ309" s="3073">
        <v>44145.633333333331</v>
      </c>
      <c r="CA309" s="3070">
        <v>3</v>
      </c>
      <c r="CD309" s="3070" t="s">
        <v>3239</v>
      </c>
      <c r="CF309" s="3070" t="s">
        <v>3091</v>
      </c>
      <c r="CH309" s="3070" t="s">
        <v>3240</v>
      </c>
      <c r="CI309" s="3070">
        <v>0</v>
      </c>
      <c r="CK309" s="3070" t="s">
        <v>3648</v>
      </c>
      <c r="CL309" s="3070" t="s">
        <v>3648</v>
      </c>
      <c r="CM309" s="3070">
        <v>1173560.55</v>
      </c>
      <c r="CV309" s="3070" t="s">
        <v>3246</v>
      </c>
      <c r="CW309" s="3070" t="s">
        <v>5797</v>
      </c>
      <c r="CZ309" s="3070">
        <v>213894.57</v>
      </c>
      <c r="DA309" s="3070">
        <v>159426.93</v>
      </c>
      <c r="DB309" s="3070">
        <v>0</v>
      </c>
      <c r="DC309" s="3070">
        <v>0</v>
      </c>
      <c r="DD309" s="3070">
        <v>3290547602</v>
      </c>
      <c r="DE309" s="3070">
        <v>2764253109</v>
      </c>
      <c r="DF309" s="3070">
        <v>1464966739</v>
      </c>
      <c r="DG309" s="3070">
        <v>14938370</v>
      </c>
      <c r="DH309" s="3070">
        <v>1284348000</v>
      </c>
      <c r="DI309" s="3070">
        <v>1278128000</v>
      </c>
      <c r="DJ309" s="3070">
        <v>6220000</v>
      </c>
      <c r="DK309" s="3070">
        <v>0</v>
      </c>
      <c r="DL309" s="3070">
        <v>0</v>
      </c>
      <c r="DM309" s="3070">
        <v>25491817.620000001</v>
      </c>
      <c r="DN309" s="3070">
        <v>2764253109</v>
      </c>
      <c r="DP309" s="3070">
        <v>2764253109</v>
      </c>
    </row>
    <row r="310" spans="1:120">
      <c r="A310" s="3070">
        <v>309</v>
      </c>
      <c r="B310" s="3070" t="s">
        <v>3224</v>
      </c>
      <c r="C310" s="3070">
        <v>3</v>
      </c>
      <c r="E310" s="3070">
        <v>1803</v>
      </c>
      <c r="F310" s="3070" t="s">
        <v>5798</v>
      </c>
      <c r="G310" s="3070" t="s">
        <v>5799</v>
      </c>
      <c r="H310" s="3070">
        <v>1230193</v>
      </c>
      <c r="I310" s="3070">
        <v>1230193</v>
      </c>
      <c r="J310" s="3070">
        <v>102.56</v>
      </c>
      <c r="K310" s="3070">
        <v>74.53</v>
      </c>
      <c r="L310" s="3070">
        <v>0</v>
      </c>
      <c r="M310" s="3070">
        <v>0</v>
      </c>
      <c r="N310" s="3070">
        <v>15394.44</v>
      </c>
      <c r="O310" s="3070">
        <v>1578854</v>
      </c>
      <c r="P310" s="3070">
        <v>11994.86</v>
      </c>
      <c r="Q310" s="3070">
        <v>1230193</v>
      </c>
      <c r="R310" s="3070" t="s">
        <v>3227</v>
      </c>
      <c r="S310" s="3070" t="s">
        <v>5800</v>
      </c>
      <c r="T310" s="3070" t="s">
        <v>3246</v>
      </c>
      <c r="U310" s="3070" t="s">
        <v>3381</v>
      </c>
      <c r="V310" s="3070" t="s">
        <v>3230</v>
      </c>
      <c r="Y310" s="3070">
        <v>370193</v>
      </c>
      <c r="Z310" s="3070">
        <v>370193</v>
      </c>
      <c r="AA310" s="3070">
        <v>370193</v>
      </c>
      <c r="AB310" s="3070">
        <v>0</v>
      </c>
      <c r="AC310" s="3070">
        <v>860000</v>
      </c>
      <c r="AD310" s="3070">
        <v>860000</v>
      </c>
      <c r="AE310" s="3070">
        <v>0</v>
      </c>
      <c r="AI310" s="3070" t="s">
        <v>3227</v>
      </c>
      <c r="AJ310" s="3070">
        <v>0</v>
      </c>
      <c r="AK310" s="3070">
        <v>0</v>
      </c>
      <c r="AL310" s="3070">
        <v>0</v>
      </c>
      <c r="AM310" s="3070">
        <v>11994.86</v>
      </c>
      <c r="AN310" s="3070">
        <v>1230193</v>
      </c>
      <c r="AP310" s="3070">
        <v>1230193</v>
      </c>
      <c r="AQ310" s="3072">
        <v>45138</v>
      </c>
      <c r="AT310" s="3073">
        <v>45678</v>
      </c>
      <c r="AV310" s="3070" t="s">
        <v>5801</v>
      </c>
      <c r="AW310" s="3070" t="s">
        <v>5802</v>
      </c>
      <c r="AX310" s="3070" t="s">
        <v>5803</v>
      </c>
      <c r="AY310" s="3070" t="s">
        <v>4706</v>
      </c>
      <c r="BC310" s="3070" t="s">
        <v>5804</v>
      </c>
      <c r="BD310" s="3070" t="s">
        <v>3077</v>
      </c>
      <c r="BI310" s="3070" t="s">
        <v>3235</v>
      </c>
      <c r="BL310" s="3070" t="s">
        <v>5805</v>
      </c>
      <c r="BM310" s="3075">
        <v>44256</v>
      </c>
      <c r="BN310" s="3070">
        <v>803</v>
      </c>
      <c r="BO310" s="3070" t="s">
        <v>3253</v>
      </c>
      <c r="BR310" s="3070">
        <v>16</v>
      </c>
      <c r="BS310" s="3070" t="s">
        <v>3238</v>
      </c>
      <c r="BZ310" s="3073">
        <v>44227.529861111114</v>
      </c>
      <c r="CA310" s="3070">
        <v>3</v>
      </c>
      <c r="CD310" s="3070" t="s">
        <v>3239</v>
      </c>
      <c r="CF310" s="3070" t="s">
        <v>3091</v>
      </c>
      <c r="CH310" s="3070" t="s">
        <v>3240</v>
      </c>
      <c r="CI310" s="3070">
        <v>0</v>
      </c>
      <c r="CK310" s="3070" t="s">
        <v>4706</v>
      </c>
      <c r="CL310" s="3070" t="s">
        <v>4706</v>
      </c>
      <c r="CM310" s="3070">
        <v>1128617.43</v>
      </c>
      <c r="CV310" s="3070" t="s">
        <v>3246</v>
      </c>
      <c r="CW310" s="3070" t="s">
        <v>5806</v>
      </c>
      <c r="CX310" s="3070" t="s">
        <v>3267</v>
      </c>
      <c r="CZ310" s="3070">
        <v>213894.57</v>
      </c>
      <c r="DA310" s="3070">
        <v>159426.93</v>
      </c>
      <c r="DB310" s="3070">
        <v>0</v>
      </c>
      <c r="DC310" s="3070">
        <v>0</v>
      </c>
      <c r="DD310" s="3070">
        <v>3290547602</v>
      </c>
      <c r="DE310" s="3070">
        <v>2764253109</v>
      </c>
      <c r="DF310" s="3070">
        <v>1464966739</v>
      </c>
      <c r="DG310" s="3070">
        <v>14938370</v>
      </c>
      <c r="DH310" s="3070">
        <v>1284348000</v>
      </c>
      <c r="DI310" s="3070">
        <v>1278128000</v>
      </c>
      <c r="DJ310" s="3070">
        <v>6220000</v>
      </c>
      <c r="DK310" s="3070">
        <v>0</v>
      </c>
      <c r="DL310" s="3070">
        <v>0</v>
      </c>
      <c r="DM310" s="3070">
        <v>25491817.620000001</v>
      </c>
      <c r="DN310" s="3070">
        <v>2764253109</v>
      </c>
      <c r="DP310" s="3070">
        <v>2764253109</v>
      </c>
    </row>
    <row r="311" spans="1:120">
      <c r="A311" s="3070">
        <v>310</v>
      </c>
      <c r="B311" s="3070" t="s">
        <v>3224</v>
      </c>
      <c r="C311" s="3070">
        <v>3</v>
      </c>
      <c r="E311" s="3070">
        <v>1804</v>
      </c>
      <c r="F311" s="3070" t="s">
        <v>5807</v>
      </c>
      <c r="G311" s="3070" t="s">
        <v>5808</v>
      </c>
      <c r="H311" s="3070">
        <v>1027864</v>
      </c>
      <c r="I311" s="3070">
        <v>1027864</v>
      </c>
      <c r="J311" s="3070">
        <v>114.02</v>
      </c>
      <c r="K311" s="3070">
        <v>82.85</v>
      </c>
      <c r="L311" s="3070">
        <v>0</v>
      </c>
      <c r="M311" s="3070">
        <v>0</v>
      </c>
      <c r="N311" s="3070">
        <v>15144.44</v>
      </c>
      <c r="O311" s="3070">
        <v>1726769</v>
      </c>
      <c r="P311" s="3070">
        <v>9014.77</v>
      </c>
      <c r="Q311" s="3070">
        <v>1027864</v>
      </c>
      <c r="R311" s="3070" t="s">
        <v>3227</v>
      </c>
      <c r="S311" s="3070" t="s">
        <v>5809</v>
      </c>
      <c r="T311" s="3070" t="s">
        <v>4158</v>
      </c>
      <c r="V311" s="3070" t="s">
        <v>3230</v>
      </c>
      <c r="Y311" s="3070">
        <v>513932</v>
      </c>
      <c r="Z311" s="3070">
        <v>513932</v>
      </c>
      <c r="AA311" s="3070">
        <v>1027864</v>
      </c>
      <c r="AB311" s="3070">
        <v>0</v>
      </c>
      <c r="AC311" s="3070">
        <v>0</v>
      </c>
      <c r="AD311" s="3070">
        <v>0</v>
      </c>
      <c r="AE311" s="3070">
        <v>0</v>
      </c>
      <c r="AI311" s="3070" t="s">
        <v>3227</v>
      </c>
      <c r="AJ311" s="3070">
        <v>0</v>
      </c>
      <c r="AK311" s="3070">
        <v>0</v>
      </c>
      <c r="AL311" s="3070">
        <v>0</v>
      </c>
      <c r="AM311" s="3070">
        <v>9014.77</v>
      </c>
      <c r="AN311" s="3070">
        <v>1027864</v>
      </c>
      <c r="AP311" s="3070">
        <v>1027864</v>
      </c>
      <c r="AQ311" s="3072">
        <v>45138</v>
      </c>
      <c r="AT311" s="3073">
        <v>45678</v>
      </c>
      <c r="AV311" s="3070" t="s">
        <v>5810</v>
      </c>
      <c r="AW311" s="3070" t="s">
        <v>5811</v>
      </c>
      <c r="AX311" s="3070" t="s">
        <v>5812</v>
      </c>
      <c r="AY311" s="3070" t="s">
        <v>4265</v>
      </c>
      <c r="BC311" s="3070" t="s">
        <v>5813</v>
      </c>
      <c r="BD311" s="3070" t="s">
        <v>3077</v>
      </c>
      <c r="BI311" s="3070" t="s">
        <v>3235</v>
      </c>
      <c r="BJ311" s="3070" t="s">
        <v>3285</v>
      </c>
      <c r="BL311" s="3070" t="s">
        <v>5814</v>
      </c>
      <c r="BM311" s="3075">
        <v>44256</v>
      </c>
      <c r="BN311" s="3070">
        <v>804</v>
      </c>
      <c r="BR311" s="3070">
        <v>0</v>
      </c>
      <c r="BS311" s="3070" t="s">
        <v>3238</v>
      </c>
      <c r="BV311" s="3070" t="s">
        <v>5815</v>
      </c>
      <c r="BW311" s="3070" t="s">
        <v>5816</v>
      </c>
      <c r="BX311" s="3070" t="s">
        <v>5817</v>
      </c>
      <c r="BZ311" s="3073">
        <v>44273.366666666669</v>
      </c>
      <c r="CA311" s="3070">
        <v>3</v>
      </c>
      <c r="CD311" s="3070" t="s">
        <v>3239</v>
      </c>
      <c r="CF311" s="3070" t="s">
        <v>3091</v>
      </c>
      <c r="CH311" s="3070" t="s">
        <v>3240</v>
      </c>
      <c r="CI311" s="3070">
        <v>0</v>
      </c>
      <c r="CK311" s="3070" t="s">
        <v>4265</v>
      </c>
      <c r="CL311" s="3070" t="s">
        <v>4265</v>
      </c>
      <c r="CM311" s="3070">
        <v>942994.5</v>
      </c>
      <c r="CV311" s="3070" t="s">
        <v>3494</v>
      </c>
      <c r="CW311" s="3070" t="s">
        <v>5818</v>
      </c>
      <c r="CX311" s="3070" t="s">
        <v>3267</v>
      </c>
      <c r="CZ311" s="3070">
        <v>213894.57</v>
      </c>
      <c r="DA311" s="3070">
        <v>159426.93</v>
      </c>
      <c r="DB311" s="3070">
        <v>0</v>
      </c>
      <c r="DC311" s="3070">
        <v>0</v>
      </c>
      <c r="DD311" s="3070">
        <v>3290547602</v>
      </c>
      <c r="DE311" s="3070">
        <v>2764253109</v>
      </c>
      <c r="DF311" s="3070">
        <v>1464966739</v>
      </c>
      <c r="DG311" s="3070">
        <v>14938370</v>
      </c>
      <c r="DH311" s="3070">
        <v>1284348000</v>
      </c>
      <c r="DI311" s="3070">
        <v>1278128000</v>
      </c>
      <c r="DJ311" s="3070">
        <v>6220000</v>
      </c>
      <c r="DK311" s="3070">
        <v>0</v>
      </c>
      <c r="DL311" s="3070">
        <v>0</v>
      </c>
      <c r="DM311" s="3070">
        <v>25491817.620000001</v>
      </c>
      <c r="DN311" s="3070">
        <v>2764253109</v>
      </c>
      <c r="DP311" s="3070">
        <v>2764253109</v>
      </c>
    </row>
    <row r="312" spans="1:120">
      <c r="A312" s="3070">
        <v>311</v>
      </c>
      <c r="B312" s="3070" t="s">
        <v>3224</v>
      </c>
      <c r="C312" s="3070">
        <v>3</v>
      </c>
      <c r="E312" s="3070">
        <v>201</v>
      </c>
      <c r="F312" s="3070" t="s">
        <v>5819</v>
      </c>
      <c r="G312" s="3070" t="s">
        <v>5820</v>
      </c>
      <c r="H312" s="3070">
        <v>1276158</v>
      </c>
      <c r="I312" s="3070">
        <v>1276158</v>
      </c>
      <c r="J312" s="3070">
        <v>114.02</v>
      </c>
      <c r="K312" s="3070">
        <v>82.85</v>
      </c>
      <c r="L312" s="3070">
        <v>0</v>
      </c>
      <c r="M312" s="3070">
        <v>0</v>
      </c>
      <c r="N312" s="3070">
        <v>15044.44</v>
      </c>
      <c r="O312" s="3070">
        <v>1715367</v>
      </c>
      <c r="P312" s="3070">
        <v>11192.4</v>
      </c>
      <c r="Q312" s="3070">
        <v>1276158</v>
      </c>
      <c r="R312" s="3070" t="s">
        <v>3227</v>
      </c>
      <c r="S312" s="3070" t="s">
        <v>5821</v>
      </c>
      <c r="T312" s="3070" t="s">
        <v>3991</v>
      </c>
      <c r="V312" s="3070" t="s">
        <v>3230</v>
      </c>
      <c r="Y312" s="3070">
        <v>382847</v>
      </c>
      <c r="Z312" s="3070">
        <v>382847</v>
      </c>
      <c r="AA312" s="3070">
        <v>1276158</v>
      </c>
      <c r="AB312" s="3070">
        <v>0</v>
      </c>
      <c r="AC312" s="3070">
        <v>0</v>
      </c>
      <c r="AD312" s="3070">
        <v>0</v>
      </c>
      <c r="AE312" s="3070">
        <v>0</v>
      </c>
      <c r="AI312" s="3070" t="s">
        <v>3227</v>
      </c>
      <c r="AJ312" s="3070">
        <v>0</v>
      </c>
      <c r="AK312" s="3070">
        <v>0</v>
      </c>
      <c r="AL312" s="3070">
        <v>0</v>
      </c>
      <c r="AM312" s="3070">
        <v>11192.4</v>
      </c>
      <c r="AN312" s="3070">
        <v>1276158</v>
      </c>
      <c r="AP312" s="3070">
        <v>1276158</v>
      </c>
      <c r="AQ312" s="3072">
        <v>45138</v>
      </c>
      <c r="AT312" s="3073">
        <v>45678</v>
      </c>
      <c r="AV312" s="3070" t="s">
        <v>5822</v>
      </c>
      <c r="AW312" s="3070" t="s">
        <v>5823</v>
      </c>
      <c r="AX312" s="3070" t="s">
        <v>5824</v>
      </c>
      <c r="AY312" s="3070" t="s">
        <v>4065</v>
      </c>
      <c r="BA312" s="3070" t="s">
        <v>4065</v>
      </c>
      <c r="BC312" s="3070" t="s">
        <v>5825</v>
      </c>
      <c r="BD312" s="3070" t="s">
        <v>3077</v>
      </c>
      <c r="BI312" s="3070" t="s">
        <v>3235</v>
      </c>
      <c r="BL312" s="3070" t="s">
        <v>5826</v>
      </c>
      <c r="BM312" s="3075">
        <v>44257</v>
      </c>
      <c r="BN312" s="3070">
        <v>1</v>
      </c>
      <c r="BR312" s="3070">
        <v>21</v>
      </c>
      <c r="BS312" s="3070" t="s">
        <v>3238</v>
      </c>
      <c r="BU312" s="3070" t="s">
        <v>4065</v>
      </c>
      <c r="BZ312" s="3073">
        <v>44226.709722222222</v>
      </c>
      <c r="CA312" s="3070">
        <v>3</v>
      </c>
      <c r="CD312" s="3070" t="s">
        <v>3239</v>
      </c>
      <c r="CF312" s="3070" t="s">
        <v>3091</v>
      </c>
      <c r="CH312" s="3070" t="s">
        <v>3240</v>
      </c>
      <c r="CI312" s="3070">
        <v>0</v>
      </c>
      <c r="CK312" s="3070" t="s">
        <v>4065</v>
      </c>
      <c r="CL312" s="3070" t="s">
        <v>4242</v>
      </c>
      <c r="CM312" s="3070">
        <v>1170787.1599999999</v>
      </c>
      <c r="CV312" s="3070" t="s">
        <v>3494</v>
      </c>
      <c r="CW312" s="3070" t="s">
        <v>5827</v>
      </c>
      <c r="CX312" s="3070" t="s">
        <v>3350</v>
      </c>
      <c r="CZ312" s="3070">
        <v>213894.57</v>
      </c>
      <c r="DA312" s="3070">
        <v>159426.93</v>
      </c>
      <c r="DB312" s="3070">
        <v>0</v>
      </c>
      <c r="DC312" s="3070">
        <v>0</v>
      </c>
      <c r="DD312" s="3070">
        <v>3290547602</v>
      </c>
      <c r="DE312" s="3070">
        <v>2764253109</v>
      </c>
      <c r="DF312" s="3070">
        <v>1464966739</v>
      </c>
      <c r="DG312" s="3070">
        <v>14938370</v>
      </c>
      <c r="DH312" s="3070">
        <v>1284348000</v>
      </c>
      <c r="DI312" s="3070">
        <v>1278128000</v>
      </c>
      <c r="DJ312" s="3070">
        <v>6220000</v>
      </c>
      <c r="DK312" s="3070">
        <v>0</v>
      </c>
      <c r="DL312" s="3070">
        <v>0</v>
      </c>
      <c r="DM312" s="3070">
        <v>25491817.620000001</v>
      </c>
      <c r="DN312" s="3070">
        <v>2764253109</v>
      </c>
      <c r="DP312" s="3070">
        <v>2764253109</v>
      </c>
    </row>
    <row r="313" spans="1:120">
      <c r="A313" s="3070">
        <v>312</v>
      </c>
      <c r="B313" s="3070" t="s">
        <v>3224</v>
      </c>
      <c r="C313" s="3070">
        <v>3</v>
      </c>
      <c r="E313" s="3070">
        <v>202</v>
      </c>
      <c r="F313" s="3070" t="s">
        <v>5828</v>
      </c>
      <c r="G313" s="3070" t="s">
        <v>5829</v>
      </c>
      <c r="H313" s="3070">
        <v>1265164</v>
      </c>
      <c r="I313" s="3070">
        <v>1265164</v>
      </c>
      <c r="J313" s="3070">
        <v>102.67</v>
      </c>
      <c r="K313" s="3070">
        <v>74.61</v>
      </c>
      <c r="L313" s="3070">
        <v>0</v>
      </c>
      <c r="M313" s="3070">
        <v>0</v>
      </c>
      <c r="N313" s="3070">
        <v>15244.44</v>
      </c>
      <c r="O313" s="3070">
        <v>1565147</v>
      </c>
      <c r="P313" s="3070">
        <v>12322.63</v>
      </c>
      <c r="Q313" s="3070">
        <v>1265164</v>
      </c>
      <c r="R313" s="3070" t="s">
        <v>3227</v>
      </c>
      <c r="S313" s="3070" t="s">
        <v>5830</v>
      </c>
      <c r="T313" s="3070" t="s">
        <v>3246</v>
      </c>
      <c r="U313" s="3070" t="s">
        <v>3371</v>
      </c>
      <c r="V313" s="3070" t="s">
        <v>3230</v>
      </c>
      <c r="Y313" s="3070">
        <v>385164</v>
      </c>
      <c r="Z313" s="3070">
        <v>385164</v>
      </c>
      <c r="AA313" s="3070">
        <v>385164</v>
      </c>
      <c r="AB313" s="3070">
        <v>0</v>
      </c>
      <c r="AC313" s="3070">
        <v>880000</v>
      </c>
      <c r="AD313" s="3070">
        <v>880000</v>
      </c>
      <c r="AE313" s="3070">
        <v>0</v>
      </c>
      <c r="AI313" s="3070" t="s">
        <v>3227</v>
      </c>
      <c r="AJ313" s="3070">
        <v>0</v>
      </c>
      <c r="AK313" s="3070">
        <v>0</v>
      </c>
      <c r="AL313" s="3070">
        <v>0</v>
      </c>
      <c r="AM313" s="3070">
        <v>12322.63</v>
      </c>
      <c r="AN313" s="3070">
        <v>1265164</v>
      </c>
      <c r="AP313" s="3070">
        <v>1265164</v>
      </c>
      <c r="AQ313" s="3072">
        <v>45138</v>
      </c>
      <c r="AT313" s="3073">
        <v>45678</v>
      </c>
      <c r="AV313" s="3074">
        <v>3.21E+17</v>
      </c>
      <c r="AW313" s="3070" t="s">
        <v>5831</v>
      </c>
      <c r="AX313" s="3070" t="s">
        <v>5832</v>
      </c>
      <c r="AY313" s="3070" t="s">
        <v>3262</v>
      </c>
      <c r="BC313" s="3070" t="s">
        <v>3284</v>
      </c>
      <c r="BD313" s="3070" t="s">
        <v>3077</v>
      </c>
      <c r="BI313" s="3070" t="s">
        <v>3235</v>
      </c>
      <c r="BJ313" s="3070" t="s">
        <v>3338</v>
      </c>
      <c r="BL313" s="3070" t="s">
        <v>5833</v>
      </c>
      <c r="BM313" s="3075">
        <v>44257</v>
      </c>
      <c r="BN313" s="3070">
        <v>2</v>
      </c>
      <c r="BO313" s="3070" t="s">
        <v>3253</v>
      </c>
      <c r="BR313" s="3070">
        <v>230</v>
      </c>
      <c r="BS313" s="3070" t="s">
        <v>3238</v>
      </c>
      <c r="BZ313" s="3073">
        <v>44151.606944444444</v>
      </c>
      <c r="CA313" s="3070">
        <v>3</v>
      </c>
      <c r="CD313" s="3070" t="s">
        <v>3239</v>
      </c>
      <c r="CF313" s="3070" t="s">
        <v>3091</v>
      </c>
      <c r="CH313" s="3070" t="s">
        <v>3240</v>
      </c>
      <c r="CI313" s="3070">
        <v>0</v>
      </c>
      <c r="CK313" s="3070" t="s">
        <v>3262</v>
      </c>
      <c r="CL313" s="3070" t="s">
        <v>3262</v>
      </c>
      <c r="CM313" s="3070">
        <v>1160700.92</v>
      </c>
      <c r="CV313" s="3070" t="s">
        <v>3246</v>
      </c>
      <c r="CW313" s="3070" t="s">
        <v>5834</v>
      </c>
      <c r="CZ313" s="3070">
        <v>213894.57</v>
      </c>
      <c r="DA313" s="3070">
        <v>159426.93</v>
      </c>
      <c r="DB313" s="3070">
        <v>0</v>
      </c>
      <c r="DC313" s="3070">
        <v>0</v>
      </c>
      <c r="DD313" s="3070">
        <v>3290547602</v>
      </c>
      <c r="DE313" s="3070">
        <v>2764253109</v>
      </c>
      <c r="DF313" s="3070">
        <v>1464966739</v>
      </c>
      <c r="DG313" s="3070">
        <v>14938370</v>
      </c>
      <c r="DH313" s="3070">
        <v>1284348000</v>
      </c>
      <c r="DI313" s="3070">
        <v>1278128000</v>
      </c>
      <c r="DJ313" s="3070">
        <v>6220000</v>
      </c>
      <c r="DK313" s="3070">
        <v>0</v>
      </c>
      <c r="DL313" s="3070">
        <v>0</v>
      </c>
      <c r="DM313" s="3070">
        <v>25491817.620000001</v>
      </c>
      <c r="DN313" s="3070">
        <v>2764253109</v>
      </c>
      <c r="DP313" s="3070">
        <v>2764253109</v>
      </c>
    </row>
    <row r="314" spans="1:120">
      <c r="A314" s="3070">
        <v>313</v>
      </c>
      <c r="B314" s="3070" t="s">
        <v>3224</v>
      </c>
      <c r="C314" s="3070">
        <v>3</v>
      </c>
      <c r="E314" s="3070">
        <v>203</v>
      </c>
      <c r="F314" s="3070" t="s">
        <v>5835</v>
      </c>
      <c r="G314" s="3070" t="s">
        <v>5836</v>
      </c>
      <c r="H314" s="3070">
        <v>1348632</v>
      </c>
      <c r="I314" s="3070">
        <v>1348632</v>
      </c>
      <c r="J314" s="3070">
        <v>102.67</v>
      </c>
      <c r="K314" s="3070">
        <v>74.61</v>
      </c>
      <c r="L314" s="3070">
        <v>0</v>
      </c>
      <c r="M314" s="3070">
        <v>0</v>
      </c>
      <c r="N314" s="3070">
        <v>15244.44</v>
      </c>
      <c r="O314" s="3070">
        <v>1565147</v>
      </c>
      <c r="P314" s="3070">
        <v>13135.6</v>
      </c>
      <c r="Q314" s="3070">
        <v>1348632</v>
      </c>
      <c r="R314" s="3070" t="s">
        <v>3227</v>
      </c>
      <c r="S314" s="3070" t="s">
        <v>5837</v>
      </c>
      <c r="T314" s="3070" t="s">
        <v>3246</v>
      </c>
      <c r="U314" s="3070" t="s">
        <v>3247</v>
      </c>
      <c r="V314" s="3070" t="s">
        <v>3230</v>
      </c>
      <c r="Y314" s="3070">
        <v>608632</v>
      </c>
      <c r="Z314" s="3070">
        <v>608632</v>
      </c>
      <c r="AA314" s="3070">
        <v>608632</v>
      </c>
      <c r="AB314" s="3070">
        <v>0</v>
      </c>
      <c r="AC314" s="3070">
        <v>740000</v>
      </c>
      <c r="AD314" s="3070">
        <v>740000</v>
      </c>
      <c r="AE314" s="3070">
        <v>0</v>
      </c>
      <c r="AI314" s="3070" t="s">
        <v>3227</v>
      </c>
      <c r="AJ314" s="3070">
        <v>0</v>
      </c>
      <c r="AK314" s="3070">
        <v>0</v>
      </c>
      <c r="AL314" s="3070">
        <v>0</v>
      </c>
      <c r="AM314" s="3070">
        <v>13135.6</v>
      </c>
      <c r="AN314" s="3070">
        <v>1348632</v>
      </c>
      <c r="AP314" s="3070">
        <v>1348632</v>
      </c>
      <c r="AQ314" s="3072">
        <v>45138</v>
      </c>
      <c r="AT314" s="3073">
        <v>45678</v>
      </c>
      <c r="AV314" s="3070" t="s">
        <v>5838</v>
      </c>
      <c r="AW314" s="3070" t="s">
        <v>5839</v>
      </c>
      <c r="AX314" s="3070" t="s">
        <v>5840</v>
      </c>
      <c r="AY314" s="3070" t="s">
        <v>4019</v>
      </c>
      <c r="BC314" s="3070" t="s">
        <v>5841</v>
      </c>
      <c r="BD314" s="3070" t="s">
        <v>3077</v>
      </c>
      <c r="BI314" s="3070" t="s">
        <v>3235</v>
      </c>
      <c r="BJ314" s="3070" t="s">
        <v>3236</v>
      </c>
      <c r="BL314" s="3070" t="s">
        <v>5842</v>
      </c>
      <c r="BM314" s="3075">
        <v>44257</v>
      </c>
      <c r="BN314" s="3070">
        <v>3</v>
      </c>
      <c r="BO314" s="3070" t="s">
        <v>3253</v>
      </c>
      <c r="BR314" s="3070">
        <v>0</v>
      </c>
      <c r="BS314" s="3070" t="s">
        <v>3238</v>
      </c>
      <c r="BV314" s="3070" t="s">
        <v>5843</v>
      </c>
      <c r="BW314" s="3070" t="s">
        <v>5844</v>
      </c>
      <c r="BX314" s="3070" t="s">
        <v>5845</v>
      </c>
      <c r="BZ314" s="3073">
        <v>44261.684027777781</v>
      </c>
      <c r="CA314" s="3070">
        <v>3</v>
      </c>
      <c r="CD314" s="3070" t="s">
        <v>3239</v>
      </c>
      <c r="CF314" s="3070" t="s">
        <v>3091</v>
      </c>
      <c r="CH314" s="3070" t="s">
        <v>3240</v>
      </c>
      <c r="CI314" s="3070">
        <v>0</v>
      </c>
      <c r="CK314" s="3070" t="s">
        <v>4138</v>
      </c>
      <c r="CL314" s="3070" t="s">
        <v>4019</v>
      </c>
      <c r="CM314" s="3070">
        <v>1237277.06</v>
      </c>
      <c r="CV314" s="3070" t="s">
        <v>3246</v>
      </c>
      <c r="CW314" s="3070" t="s">
        <v>5846</v>
      </c>
      <c r="CX314" s="3070" t="s">
        <v>3510</v>
      </c>
      <c r="CZ314" s="3070">
        <v>213894.57</v>
      </c>
      <c r="DA314" s="3070">
        <v>159426.93</v>
      </c>
      <c r="DB314" s="3070">
        <v>0</v>
      </c>
      <c r="DC314" s="3070">
        <v>0</v>
      </c>
      <c r="DD314" s="3070">
        <v>3290547602</v>
      </c>
      <c r="DE314" s="3070">
        <v>2764253109</v>
      </c>
      <c r="DF314" s="3070">
        <v>1464966739</v>
      </c>
      <c r="DG314" s="3070">
        <v>14938370</v>
      </c>
      <c r="DH314" s="3070">
        <v>1284348000</v>
      </c>
      <c r="DI314" s="3070">
        <v>1278128000</v>
      </c>
      <c r="DJ314" s="3070">
        <v>6220000</v>
      </c>
      <c r="DK314" s="3070">
        <v>0</v>
      </c>
      <c r="DL314" s="3070">
        <v>0</v>
      </c>
      <c r="DM314" s="3070">
        <v>25491817.620000001</v>
      </c>
      <c r="DN314" s="3070">
        <v>2764253109</v>
      </c>
      <c r="DP314" s="3070">
        <v>2764253109</v>
      </c>
    </row>
    <row r="315" spans="1:120">
      <c r="A315" s="3070">
        <v>314</v>
      </c>
      <c r="B315" s="3070" t="s">
        <v>3224</v>
      </c>
      <c r="C315" s="3070">
        <v>3</v>
      </c>
      <c r="E315" s="3070">
        <v>204</v>
      </c>
      <c r="F315" s="3070" t="s">
        <v>5847</v>
      </c>
      <c r="G315" s="3070" t="s">
        <v>5848</v>
      </c>
      <c r="H315" s="3070">
        <v>1361703</v>
      </c>
      <c r="I315" s="3070">
        <v>1361703</v>
      </c>
      <c r="J315" s="3070">
        <v>114.02</v>
      </c>
      <c r="K315" s="3070">
        <v>82.85</v>
      </c>
      <c r="L315" s="3070">
        <v>0</v>
      </c>
      <c r="M315" s="3070">
        <v>0</v>
      </c>
      <c r="N315" s="3070">
        <v>14994.44</v>
      </c>
      <c r="O315" s="3070">
        <v>1709666</v>
      </c>
      <c r="P315" s="3070">
        <v>11942.67</v>
      </c>
      <c r="Q315" s="3070">
        <v>1361703</v>
      </c>
      <c r="R315" s="3070" t="s">
        <v>3227</v>
      </c>
      <c r="S315" s="3070" t="s">
        <v>5849</v>
      </c>
      <c r="T315" s="3070" t="s">
        <v>3246</v>
      </c>
      <c r="U315" s="3070" t="s">
        <v>3381</v>
      </c>
      <c r="V315" s="3070" t="s">
        <v>3230</v>
      </c>
      <c r="Y315" s="3070">
        <v>481703</v>
      </c>
      <c r="Z315" s="3070">
        <v>481703</v>
      </c>
      <c r="AA315" s="3070">
        <v>481703</v>
      </c>
      <c r="AB315" s="3070">
        <v>0</v>
      </c>
      <c r="AC315" s="3070">
        <v>880000</v>
      </c>
      <c r="AD315" s="3070">
        <v>880000</v>
      </c>
      <c r="AE315" s="3070">
        <v>0</v>
      </c>
      <c r="AI315" s="3070" t="s">
        <v>3227</v>
      </c>
      <c r="AJ315" s="3070">
        <v>0</v>
      </c>
      <c r="AK315" s="3070">
        <v>0</v>
      </c>
      <c r="AL315" s="3070">
        <v>0</v>
      </c>
      <c r="AM315" s="3070">
        <v>11942.67</v>
      </c>
      <c r="AN315" s="3070">
        <v>1361703</v>
      </c>
      <c r="AP315" s="3070">
        <v>1361703</v>
      </c>
      <c r="AQ315" s="3072">
        <v>45138</v>
      </c>
      <c r="AT315" s="3073">
        <v>45678</v>
      </c>
      <c r="AV315" s="3070" t="s">
        <v>5850</v>
      </c>
      <c r="AW315" s="3070" t="s">
        <v>5851</v>
      </c>
      <c r="AX315" s="3070" t="s">
        <v>5852</v>
      </c>
      <c r="AY315" s="3070" t="s">
        <v>4019</v>
      </c>
      <c r="BC315" s="3070" t="s">
        <v>4126</v>
      </c>
      <c r="BD315" s="3070" t="s">
        <v>3077</v>
      </c>
      <c r="BI315" s="3070" t="s">
        <v>3235</v>
      </c>
      <c r="BL315" s="3070" t="s">
        <v>5853</v>
      </c>
      <c r="BM315" s="3075">
        <v>44257</v>
      </c>
      <c r="BN315" s="3070">
        <v>4</v>
      </c>
      <c r="BO315" s="3070" t="s">
        <v>3253</v>
      </c>
      <c r="BR315" s="3070">
        <v>16</v>
      </c>
      <c r="BS315" s="3070" t="s">
        <v>3238</v>
      </c>
      <c r="BZ315" s="3073">
        <v>44227.810416666667</v>
      </c>
      <c r="CA315" s="3070">
        <v>3</v>
      </c>
      <c r="CD315" s="3070" t="s">
        <v>3239</v>
      </c>
      <c r="CF315" s="3070" t="s">
        <v>3091</v>
      </c>
      <c r="CH315" s="3070" t="s">
        <v>3240</v>
      </c>
      <c r="CI315" s="3070">
        <v>0</v>
      </c>
      <c r="CK315" s="3070" t="s">
        <v>4019</v>
      </c>
      <c r="CL315" s="3070" t="s">
        <v>4019</v>
      </c>
      <c r="CM315" s="3070">
        <v>1249268.81</v>
      </c>
      <c r="CV315" s="3070" t="s">
        <v>3246</v>
      </c>
      <c r="CW315" s="3070" t="s">
        <v>5854</v>
      </c>
      <c r="CZ315" s="3070">
        <v>213894.57</v>
      </c>
      <c r="DA315" s="3070">
        <v>159426.93</v>
      </c>
      <c r="DB315" s="3070">
        <v>0</v>
      </c>
      <c r="DC315" s="3070">
        <v>0</v>
      </c>
      <c r="DD315" s="3070">
        <v>3290547602</v>
      </c>
      <c r="DE315" s="3070">
        <v>2764253109</v>
      </c>
      <c r="DF315" s="3070">
        <v>1464966739</v>
      </c>
      <c r="DG315" s="3070">
        <v>14938370</v>
      </c>
      <c r="DH315" s="3070">
        <v>1284348000</v>
      </c>
      <c r="DI315" s="3070">
        <v>1278128000</v>
      </c>
      <c r="DJ315" s="3070">
        <v>6220000</v>
      </c>
      <c r="DK315" s="3070">
        <v>0</v>
      </c>
      <c r="DL315" s="3070">
        <v>0</v>
      </c>
      <c r="DM315" s="3070">
        <v>25491817.620000001</v>
      </c>
      <c r="DN315" s="3070">
        <v>2764253109</v>
      </c>
      <c r="DP315" s="3070">
        <v>2764253109</v>
      </c>
    </row>
    <row r="316" spans="1:120">
      <c r="A316" s="3070">
        <v>315</v>
      </c>
      <c r="B316" s="3070" t="s">
        <v>3224</v>
      </c>
      <c r="C316" s="3070">
        <v>3</v>
      </c>
      <c r="E316" s="3070">
        <v>301</v>
      </c>
      <c r="F316" s="3070" t="s">
        <v>5855</v>
      </c>
      <c r="G316" s="3070" t="s">
        <v>5856</v>
      </c>
      <c r="H316" s="3070">
        <v>408353</v>
      </c>
      <c r="I316" s="3070">
        <v>1361178</v>
      </c>
      <c r="J316" s="3070">
        <v>114.02</v>
      </c>
      <c r="K316" s="3070">
        <v>82.85</v>
      </c>
      <c r="L316" s="3070">
        <v>0</v>
      </c>
      <c r="M316" s="3070">
        <v>0</v>
      </c>
      <c r="N316" s="3070">
        <v>15144.44</v>
      </c>
      <c r="O316" s="3070">
        <v>1726769</v>
      </c>
      <c r="P316" s="3070">
        <v>11938.06</v>
      </c>
      <c r="Q316" s="3070">
        <v>1361178</v>
      </c>
      <c r="R316" s="3070" t="s">
        <v>3227</v>
      </c>
      <c r="S316" s="3070" t="s">
        <v>3353</v>
      </c>
      <c r="T316" s="3070" t="s">
        <v>3991</v>
      </c>
      <c r="V316" s="3070" t="s">
        <v>3230</v>
      </c>
      <c r="Y316" s="3070">
        <v>408353</v>
      </c>
      <c r="Z316" s="3070">
        <v>408353</v>
      </c>
      <c r="AA316" s="3070">
        <v>408353</v>
      </c>
      <c r="AB316" s="3070">
        <v>952825</v>
      </c>
      <c r="AC316" s="3070">
        <v>0</v>
      </c>
      <c r="AD316" s="3070">
        <v>0</v>
      </c>
      <c r="AE316" s="3070">
        <v>0</v>
      </c>
      <c r="AI316" s="3070" t="s">
        <v>3227</v>
      </c>
      <c r="AJ316" s="3070">
        <v>0</v>
      </c>
      <c r="AK316" s="3070">
        <v>0</v>
      </c>
      <c r="AL316" s="3070">
        <v>0</v>
      </c>
      <c r="AM316" s="3070">
        <v>11938.06</v>
      </c>
      <c r="AN316" s="3070">
        <v>1361178</v>
      </c>
      <c r="AP316" s="3070">
        <v>1361178</v>
      </c>
      <c r="AQ316" s="3072">
        <v>45138</v>
      </c>
      <c r="AT316" s="3073">
        <v>45678</v>
      </c>
      <c r="AV316" s="3074">
        <v>3.21E+17</v>
      </c>
      <c r="AW316" s="3070" t="s">
        <v>5857</v>
      </c>
      <c r="AX316" s="3070" t="s">
        <v>5858</v>
      </c>
      <c r="AY316" s="3070" t="s">
        <v>3892</v>
      </c>
      <c r="BA316" s="3070" t="s">
        <v>3892</v>
      </c>
      <c r="BC316" s="3070" t="s">
        <v>5859</v>
      </c>
      <c r="BD316" s="3070" t="s">
        <v>3077</v>
      </c>
      <c r="BI316" s="3070" t="s">
        <v>3235</v>
      </c>
      <c r="BL316" s="3070" t="s">
        <v>5860</v>
      </c>
      <c r="BM316" s="3075">
        <v>44258</v>
      </c>
      <c r="BN316" s="3070">
        <v>1</v>
      </c>
      <c r="BR316" s="3070">
        <v>21</v>
      </c>
      <c r="BS316" s="3070" t="s">
        <v>3238</v>
      </c>
      <c r="BU316" s="3070" t="s">
        <v>3892</v>
      </c>
      <c r="BZ316" s="3073">
        <v>44226.555555555555</v>
      </c>
      <c r="CA316" s="3070">
        <v>3</v>
      </c>
      <c r="CD316" s="3070" t="s">
        <v>3239</v>
      </c>
      <c r="CF316" s="3070" t="s">
        <v>3091</v>
      </c>
      <c r="CH316" s="3070" t="s">
        <v>3240</v>
      </c>
      <c r="CI316" s="3070">
        <v>0</v>
      </c>
      <c r="CK316" s="3070" t="s">
        <v>3892</v>
      </c>
      <c r="CL316" s="3070" t="s">
        <v>4056</v>
      </c>
      <c r="CM316" s="3070">
        <v>1248787.1599999999</v>
      </c>
      <c r="CV316" s="3070" t="s">
        <v>3494</v>
      </c>
      <c r="CW316" s="3070" t="s">
        <v>5861</v>
      </c>
      <c r="CZ316" s="3070">
        <v>213894.57</v>
      </c>
      <c r="DA316" s="3070">
        <v>159426.93</v>
      </c>
      <c r="DB316" s="3070">
        <v>0</v>
      </c>
      <c r="DC316" s="3070">
        <v>0</v>
      </c>
      <c r="DD316" s="3070">
        <v>3290547602</v>
      </c>
      <c r="DE316" s="3070">
        <v>2764253109</v>
      </c>
      <c r="DF316" s="3070">
        <v>1464966739</v>
      </c>
      <c r="DG316" s="3070">
        <v>14938370</v>
      </c>
      <c r="DH316" s="3070">
        <v>1284348000</v>
      </c>
      <c r="DI316" s="3070">
        <v>1278128000</v>
      </c>
      <c r="DJ316" s="3070">
        <v>6220000</v>
      </c>
      <c r="DK316" s="3070">
        <v>0</v>
      </c>
      <c r="DL316" s="3070">
        <v>0</v>
      </c>
      <c r="DM316" s="3070">
        <v>25491817.620000001</v>
      </c>
      <c r="DN316" s="3070">
        <v>2764253109</v>
      </c>
      <c r="DP316" s="3070">
        <v>2764253109</v>
      </c>
    </row>
    <row r="317" spans="1:120">
      <c r="A317" s="3070">
        <v>316</v>
      </c>
      <c r="B317" s="3070" t="s">
        <v>3224</v>
      </c>
      <c r="C317" s="3070">
        <v>3</v>
      </c>
      <c r="E317" s="3070">
        <v>302</v>
      </c>
      <c r="F317" s="3070" t="s">
        <v>5862</v>
      </c>
      <c r="G317" s="3070" t="s">
        <v>5863</v>
      </c>
      <c r="H317" s="3070">
        <v>1274924</v>
      </c>
      <c r="I317" s="3070">
        <v>1274924</v>
      </c>
      <c r="J317" s="3070">
        <v>102.67</v>
      </c>
      <c r="K317" s="3070">
        <v>74.61</v>
      </c>
      <c r="L317" s="3070">
        <v>0</v>
      </c>
      <c r="M317" s="3070">
        <v>0</v>
      </c>
      <c r="N317" s="3070">
        <v>15344.44</v>
      </c>
      <c r="O317" s="3070">
        <v>1575414</v>
      </c>
      <c r="P317" s="3070">
        <v>12417.69</v>
      </c>
      <c r="Q317" s="3070">
        <v>1274924</v>
      </c>
      <c r="R317" s="3070" t="s">
        <v>3227</v>
      </c>
      <c r="S317" s="3070" t="s">
        <v>5864</v>
      </c>
      <c r="T317" s="3070" t="s">
        <v>3246</v>
      </c>
      <c r="U317" s="3070" t="s">
        <v>3247</v>
      </c>
      <c r="V317" s="3070" t="s">
        <v>3230</v>
      </c>
      <c r="Y317" s="3070">
        <v>514924</v>
      </c>
      <c r="Z317" s="3070">
        <v>514924</v>
      </c>
      <c r="AA317" s="3070">
        <v>514924</v>
      </c>
      <c r="AB317" s="3070">
        <v>0</v>
      </c>
      <c r="AC317" s="3070">
        <v>760000</v>
      </c>
      <c r="AD317" s="3070">
        <v>760000</v>
      </c>
      <c r="AE317" s="3070">
        <v>0</v>
      </c>
      <c r="AI317" s="3070" t="s">
        <v>3227</v>
      </c>
      <c r="AJ317" s="3070">
        <v>0</v>
      </c>
      <c r="AK317" s="3070">
        <v>0</v>
      </c>
      <c r="AL317" s="3070">
        <v>0</v>
      </c>
      <c r="AM317" s="3070">
        <v>12417.69</v>
      </c>
      <c r="AN317" s="3070">
        <v>1274924</v>
      </c>
      <c r="AP317" s="3070">
        <v>1274924</v>
      </c>
      <c r="AQ317" s="3072">
        <v>45138</v>
      </c>
      <c r="AT317" s="3073">
        <v>45678</v>
      </c>
      <c r="AV317" s="3070" t="s">
        <v>5865</v>
      </c>
      <c r="AW317" s="3070" t="s">
        <v>5866</v>
      </c>
      <c r="AX317" s="3070" t="s">
        <v>5867</v>
      </c>
      <c r="AY317" s="3070" t="s">
        <v>3648</v>
      </c>
      <c r="BC317" s="3070" t="s">
        <v>3284</v>
      </c>
      <c r="BD317" s="3070" t="s">
        <v>3077</v>
      </c>
      <c r="BI317" s="3070" t="s">
        <v>3235</v>
      </c>
      <c r="BL317" s="3070" t="s">
        <v>5868</v>
      </c>
      <c r="BM317" s="3075">
        <v>44258</v>
      </c>
      <c r="BN317" s="3070">
        <v>2</v>
      </c>
      <c r="BO317" s="3070" t="s">
        <v>3253</v>
      </c>
      <c r="BR317" s="3070">
        <v>781</v>
      </c>
      <c r="BS317" s="3070" t="s">
        <v>3238</v>
      </c>
      <c r="BZ317" s="3073">
        <v>44153.802777777775</v>
      </c>
      <c r="CA317" s="3070">
        <v>3</v>
      </c>
      <c r="CD317" s="3070" t="s">
        <v>3239</v>
      </c>
      <c r="CF317" s="3070" t="s">
        <v>3091</v>
      </c>
      <c r="CH317" s="3070" t="s">
        <v>3240</v>
      </c>
      <c r="CI317" s="3070">
        <v>0</v>
      </c>
      <c r="CK317" s="3070" t="s">
        <v>3648</v>
      </c>
      <c r="CL317" s="3070" t="s">
        <v>3648</v>
      </c>
      <c r="CM317" s="3070">
        <v>1169655.05</v>
      </c>
      <c r="CV317" s="3070" t="s">
        <v>3246</v>
      </c>
      <c r="CW317" s="3070" t="s">
        <v>5869</v>
      </c>
      <c r="CZ317" s="3070">
        <v>213894.57</v>
      </c>
      <c r="DA317" s="3070">
        <v>159426.93</v>
      </c>
      <c r="DB317" s="3070">
        <v>0</v>
      </c>
      <c r="DC317" s="3070">
        <v>0</v>
      </c>
      <c r="DD317" s="3070">
        <v>3290547602</v>
      </c>
      <c r="DE317" s="3070">
        <v>2764253109</v>
      </c>
      <c r="DF317" s="3070">
        <v>1464966739</v>
      </c>
      <c r="DG317" s="3070">
        <v>14938370</v>
      </c>
      <c r="DH317" s="3070">
        <v>1284348000</v>
      </c>
      <c r="DI317" s="3070">
        <v>1278128000</v>
      </c>
      <c r="DJ317" s="3070">
        <v>6220000</v>
      </c>
      <c r="DK317" s="3070">
        <v>0</v>
      </c>
      <c r="DL317" s="3070">
        <v>0</v>
      </c>
      <c r="DM317" s="3070">
        <v>25491817.620000001</v>
      </c>
      <c r="DN317" s="3070">
        <v>2764253109</v>
      </c>
      <c r="DP317" s="3070">
        <v>2764253109</v>
      </c>
    </row>
    <row r="318" spans="1:120">
      <c r="A318" s="3070">
        <v>317</v>
      </c>
      <c r="B318" s="3070" t="s">
        <v>3224</v>
      </c>
      <c r="C318" s="3070">
        <v>3</v>
      </c>
      <c r="E318" s="3070">
        <v>303</v>
      </c>
      <c r="F318" s="3070" t="s">
        <v>5870</v>
      </c>
      <c r="G318" s="3070" t="s">
        <v>5871</v>
      </c>
      <c r="H318" s="3070">
        <v>1327240</v>
      </c>
      <c r="I318" s="3070">
        <v>1327240</v>
      </c>
      <c r="J318" s="3070">
        <v>102.67</v>
      </c>
      <c r="K318" s="3070">
        <v>74.61</v>
      </c>
      <c r="L318" s="3070">
        <v>0</v>
      </c>
      <c r="M318" s="3070">
        <v>0</v>
      </c>
      <c r="N318" s="3070">
        <v>15344.44</v>
      </c>
      <c r="O318" s="3070">
        <v>1575414</v>
      </c>
      <c r="P318" s="3070">
        <v>12927.24</v>
      </c>
      <c r="Q318" s="3070">
        <v>1327240</v>
      </c>
      <c r="R318" s="3070" t="s">
        <v>3227</v>
      </c>
      <c r="S318" s="3070" t="s">
        <v>5872</v>
      </c>
      <c r="T318" s="3070" t="s">
        <v>3246</v>
      </c>
      <c r="U318" s="3070" t="s">
        <v>3279</v>
      </c>
      <c r="V318" s="3070" t="s">
        <v>3230</v>
      </c>
      <c r="Y318" s="3070">
        <v>877240</v>
      </c>
      <c r="Z318" s="3070">
        <v>877240</v>
      </c>
      <c r="AA318" s="3070">
        <v>877240</v>
      </c>
      <c r="AB318" s="3070">
        <v>0</v>
      </c>
      <c r="AC318" s="3070">
        <v>450000</v>
      </c>
      <c r="AD318" s="3070">
        <v>450000</v>
      </c>
      <c r="AE318" s="3070">
        <v>0</v>
      </c>
      <c r="AI318" s="3070" t="s">
        <v>3227</v>
      </c>
      <c r="AJ318" s="3070">
        <v>0</v>
      </c>
      <c r="AK318" s="3070">
        <v>0</v>
      </c>
      <c r="AL318" s="3070">
        <v>0</v>
      </c>
      <c r="AM318" s="3070">
        <v>12927.24</v>
      </c>
      <c r="AN318" s="3070">
        <v>1327240</v>
      </c>
      <c r="AP318" s="3070">
        <v>1327240</v>
      </c>
      <c r="AQ318" s="3072">
        <v>45138</v>
      </c>
      <c r="AT318" s="3073">
        <v>45678</v>
      </c>
      <c r="AV318" s="3070" t="s">
        <v>5873</v>
      </c>
      <c r="AW318" s="3070" t="s">
        <v>5874</v>
      </c>
      <c r="AX318" s="3070" t="s">
        <v>5875</v>
      </c>
      <c r="AY318" s="3070" t="s">
        <v>3262</v>
      </c>
      <c r="BA318" s="3070" t="s">
        <v>3262</v>
      </c>
      <c r="BC318" s="3070" t="s">
        <v>5876</v>
      </c>
      <c r="BD318" s="3070" t="s">
        <v>3077</v>
      </c>
      <c r="BI318" s="3070" t="s">
        <v>3235</v>
      </c>
      <c r="BL318" s="3070" t="s">
        <v>5877</v>
      </c>
      <c r="BM318" s="3075">
        <v>44258</v>
      </c>
      <c r="BN318" s="3070">
        <v>3</v>
      </c>
      <c r="BO318" s="3070" t="s">
        <v>3253</v>
      </c>
      <c r="BR318" s="3070">
        <v>16</v>
      </c>
      <c r="BS318" s="3070" t="s">
        <v>3238</v>
      </c>
      <c r="BU318" s="3070" t="s">
        <v>3262</v>
      </c>
      <c r="BV318" s="3070" t="s">
        <v>5878</v>
      </c>
      <c r="BZ318" s="3073">
        <v>44178.65902777778</v>
      </c>
      <c r="CA318" s="3070">
        <v>3</v>
      </c>
      <c r="CD318" s="3070" t="s">
        <v>3239</v>
      </c>
      <c r="CF318" s="3070" t="s">
        <v>3091</v>
      </c>
      <c r="CH318" s="3070" t="s">
        <v>3240</v>
      </c>
      <c r="CI318" s="3070">
        <v>0</v>
      </c>
      <c r="CK318" s="3070" t="s">
        <v>3262</v>
      </c>
      <c r="CL318" s="3070" t="s">
        <v>3262</v>
      </c>
      <c r="CM318" s="3070">
        <v>1217651.3799999999</v>
      </c>
      <c r="CV318" s="3070" t="s">
        <v>3246</v>
      </c>
      <c r="CW318" s="3070" t="s">
        <v>5879</v>
      </c>
      <c r="CX318" s="3070" t="s">
        <v>3242</v>
      </c>
      <c r="CZ318" s="3070">
        <v>213894.57</v>
      </c>
      <c r="DA318" s="3070">
        <v>159426.93</v>
      </c>
      <c r="DB318" s="3070">
        <v>0</v>
      </c>
      <c r="DC318" s="3070">
        <v>0</v>
      </c>
      <c r="DD318" s="3070">
        <v>3290547602</v>
      </c>
      <c r="DE318" s="3070">
        <v>2764253109</v>
      </c>
      <c r="DF318" s="3070">
        <v>1464966739</v>
      </c>
      <c r="DG318" s="3070">
        <v>14938370</v>
      </c>
      <c r="DH318" s="3070">
        <v>1284348000</v>
      </c>
      <c r="DI318" s="3070">
        <v>1278128000</v>
      </c>
      <c r="DJ318" s="3070">
        <v>6220000</v>
      </c>
      <c r="DK318" s="3070">
        <v>0</v>
      </c>
      <c r="DL318" s="3070">
        <v>0</v>
      </c>
      <c r="DM318" s="3070">
        <v>25491817.620000001</v>
      </c>
      <c r="DN318" s="3070">
        <v>2764253109</v>
      </c>
      <c r="DP318" s="3070">
        <v>2764253109</v>
      </c>
    </row>
    <row r="319" spans="1:120">
      <c r="A319" s="3070">
        <v>318</v>
      </c>
      <c r="B319" s="3070" t="s">
        <v>3224</v>
      </c>
      <c r="C319" s="3070">
        <v>3</v>
      </c>
      <c r="E319" s="3070">
        <v>304</v>
      </c>
      <c r="F319" s="3070" t="s">
        <v>5880</v>
      </c>
      <c r="G319" s="3070" t="s">
        <v>5881</v>
      </c>
      <c r="H319" s="3070">
        <v>1488961</v>
      </c>
      <c r="I319" s="3070">
        <v>1488961</v>
      </c>
      <c r="J319" s="3070">
        <v>114.02</v>
      </c>
      <c r="K319" s="3070">
        <v>82.85</v>
      </c>
      <c r="L319" s="3070">
        <v>0</v>
      </c>
      <c r="M319" s="3070">
        <v>0</v>
      </c>
      <c r="N319" s="3070">
        <v>15094.44</v>
      </c>
      <c r="O319" s="3070">
        <v>1721068</v>
      </c>
      <c r="P319" s="3070">
        <v>13058.77</v>
      </c>
      <c r="Q319" s="3070">
        <v>1488961</v>
      </c>
      <c r="R319" s="3070" t="s">
        <v>3227</v>
      </c>
      <c r="S319" s="3070" t="s">
        <v>5882</v>
      </c>
      <c r="T319" s="3070" t="s">
        <v>3246</v>
      </c>
      <c r="U319" s="3070" t="s">
        <v>3247</v>
      </c>
      <c r="V319" s="3070" t="s">
        <v>3230</v>
      </c>
      <c r="Y319" s="3070">
        <v>498961</v>
      </c>
      <c r="Z319" s="3070">
        <v>498961</v>
      </c>
      <c r="AA319" s="3070">
        <v>498961</v>
      </c>
      <c r="AB319" s="3070">
        <v>0</v>
      </c>
      <c r="AC319" s="3070">
        <v>990000</v>
      </c>
      <c r="AD319" s="3070">
        <v>990000</v>
      </c>
      <c r="AE319" s="3070">
        <v>0</v>
      </c>
      <c r="AI319" s="3070" t="s">
        <v>3227</v>
      </c>
      <c r="AJ319" s="3070">
        <v>0</v>
      </c>
      <c r="AK319" s="3070">
        <v>0</v>
      </c>
      <c r="AL319" s="3070">
        <v>0</v>
      </c>
      <c r="AM319" s="3070">
        <v>13058.77</v>
      </c>
      <c r="AN319" s="3070">
        <v>1488961</v>
      </c>
      <c r="AP319" s="3070">
        <v>1488961</v>
      </c>
      <c r="AQ319" s="3072">
        <v>45138</v>
      </c>
      <c r="AT319" s="3073">
        <v>45678</v>
      </c>
      <c r="AV319" s="3070" t="s">
        <v>5883</v>
      </c>
      <c r="AW319" s="3070" t="s">
        <v>5884</v>
      </c>
      <c r="AX319" s="3070" t="s">
        <v>5885</v>
      </c>
      <c r="AY319" s="3070" t="s">
        <v>4265</v>
      </c>
      <c r="BC319" s="3070" t="s">
        <v>5886</v>
      </c>
      <c r="BD319" s="3070" t="s">
        <v>3077</v>
      </c>
      <c r="BI319" s="3070" t="s">
        <v>3235</v>
      </c>
      <c r="BJ319" s="3070" t="s">
        <v>3296</v>
      </c>
      <c r="BL319" s="3070" t="s">
        <v>5887</v>
      </c>
      <c r="BM319" s="3075">
        <v>44258</v>
      </c>
      <c r="BN319" s="3070">
        <v>4</v>
      </c>
      <c r="BO319" s="3070" t="s">
        <v>3253</v>
      </c>
      <c r="BR319" s="3070">
        <v>0</v>
      </c>
      <c r="BS319" s="3070" t="s">
        <v>3238</v>
      </c>
      <c r="BZ319" s="3073">
        <v>44276.601388888892</v>
      </c>
      <c r="CA319" s="3070">
        <v>3</v>
      </c>
      <c r="CD319" s="3070" t="s">
        <v>3239</v>
      </c>
      <c r="CF319" s="3070" t="s">
        <v>3091</v>
      </c>
      <c r="CH319" s="3070" t="s">
        <v>3240</v>
      </c>
      <c r="CI319" s="3070">
        <v>0</v>
      </c>
      <c r="CK319" s="3070" t="s">
        <v>4265</v>
      </c>
      <c r="CL319" s="3070" t="s">
        <v>4265</v>
      </c>
      <c r="CM319" s="3070">
        <v>1366019.27</v>
      </c>
      <c r="CV319" s="3070" t="s">
        <v>3246</v>
      </c>
      <c r="CW319" s="3070" t="s">
        <v>5888</v>
      </c>
      <c r="CX319" s="3070" t="s">
        <v>3267</v>
      </c>
      <c r="CZ319" s="3070">
        <v>213894.57</v>
      </c>
      <c r="DA319" s="3070">
        <v>159426.93</v>
      </c>
      <c r="DB319" s="3070">
        <v>0</v>
      </c>
      <c r="DC319" s="3070">
        <v>0</v>
      </c>
      <c r="DD319" s="3070">
        <v>3290547602</v>
      </c>
      <c r="DE319" s="3070">
        <v>2764253109</v>
      </c>
      <c r="DF319" s="3070">
        <v>1464966739</v>
      </c>
      <c r="DG319" s="3070">
        <v>14938370</v>
      </c>
      <c r="DH319" s="3070">
        <v>1284348000</v>
      </c>
      <c r="DI319" s="3070">
        <v>1278128000</v>
      </c>
      <c r="DJ319" s="3070">
        <v>6220000</v>
      </c>
      <c r="DK319" s="3070">
        <v>0</v>
      </c>
      <c r="DL319" s="3070">
        <v>0</v>
      </c>
      <c r="DM319" s="3070">
        <v>25491817.620000001</v>
      </c>
      <c r="DN319" s="3070">
        <v>2764253109</v>
      </c>
      <c r="DP319" s="3070">
        <v>2764253109</v>
      </c>
    </row>
    <row r="320" spans="1:120">
      <c r="A320" s="3070">
        <v>319</v>
      </c>
      <c r="B320" s="3070" t="s">
        <v>3224</v>
      </c>
      <c r="C320" s="3070">
        <v>3</v>
      </c>
      <c r="E320" s="3070">
        <v>401</v>
      </c>
      <c r="F320" s="3070" t="s">
        <v>5889</v>
      </c>
      <c r="G320" s="3070" t="s">
        <v>5890</v>
      </c>
      <c r="H320" s="3070">
        <v>1382125</v>
      </c>
      <c r="I320" s="3070">
        <v>1382125</v>
      </c>
      <c r="J320" s="3070">
        <v>114.02</v>
      </c>
      <c r="K320" s="3070">
        <v>82.85</v>
      </c>
      <c r="L320" s="3070">
        <v>0</v>
      </c>
      <c r="M320" s="3070">
        <v>0</v>
      </c>
      <c r="N320" s="3070">
        <v>15044.44</v>
      </c>
      <c r="O320" s="3070">
        <v>1715367</v>
      </c>
      <c r="P320" s="3070">
        <v>12121.78</v>
      </c>
      <c r="Q320" s="3070">
        <v>1382125</v>
      </c>
      <c r="R320" s="3070" t="s">
        <v>3227</v>
      </c>
      <c r="S320" s="3070" t="s">
        <v>5891</v>
      </c>
      <c r="T320" s="3070" t="s">
        <v>3991</v>
      </c>
      <c r="V320" s="3070" t="s">
        <v>3230</v>
      </c>
      <c r="Y320" s="3070">
        <v>414638</v>
      </c>
      <c r="Z320" s="3070">
        <v>138213</v>
      </c>
      <c r="AA320" s="3070">
        <v>1382125</v>
      </c>
      <c r="AB320" s="3070">
        <v>0</v>
      </c>
      <c r="AC320" s="3070">
        <v>0</v>
      </c>
      <c r="AD320" s="3070">
        <v>0</v>
      </c>
      <c r="AE320" s="3070">
        <v>0</v>
      </c>
      <c r="AI320" s="3070" t="s">
        <v>3227</v>
      </c>
      <c r="AJ320" s="3070">
        <v>0</v>
      </c>
      <c r="AK320" s="3070">
        <v>0</v>
      </c>
      <c r="AL320" s="3070">
        <v>0</v>
      </c>
      <c r="AM320" s="3070">
        <v>12121.78</v>
      </c>
      <c r="AN320" s="3070">
        <v>1382125</v>
      </c>
      <c r="AP320" s="3070">
        <v>1382125</v>
      </c>
      <c r="AQ320" s="3072">
        <v>45138</v>
      </c>
      <c r="AT320" s="3073">
        <v>45678</v>
      </c>
      <c r="AV320" s="3074">
        <v>3.21E+17</v>
      </c>
      <c r="AW320" s="3070" t="s">
        <v>5892</v>
      </c>
      <c r="AX320" s="3070" t="s">
        <v>5893</v>
      </c>
      <c r="AY320" s="3070" t="s">
        <v>3587</v>
      </c>
      <c r="BA320" s="3070" t="s">
        <v>3587</v>
      </c>
      <c r="BC320" s="3070" t="s">
        <v>5894</v>
      </c>
      <c r="BD320" s="3070" t="s">
        <v>3077</v>
      </c>
      <c r="BI320" s="3070" t="s">
        <v>3295</v>
      </c>
      <c r="BL320" s="3070" t="s">
        <v>5895</v>
      </c>
      <c r="BM320" s="3075">
        <v>44259</v>
      </c>
      <c r="BN320" s="3070">
        <v>1</v>
      </c>
      <c r="BR320" s="3070">
        <v>22</v>
      </c>
      <c r="BS320" s="3070" t="s">
        <v>3238</v>
      </c>
      <c r="BU320" s="3070" t="s">
        <v>3587</v>
      </c>
      <c r="BZ320" s="3073">
        <v>44199.703472222223</v>
      </c>
      <c r="CA320" s="3070">
        <v>3</v>
      </c>
      <c r="CD320" s="3070" t="s">
        <v>3239</v>
      </c>
      <c r="CF320" s="3070" t="s">
        <v>3091</v>
      </c>
      <c r="CH320" s="3070" t="s">
        <v>3240</v>
      </c>
      <c r="CI320" s="3070">
        <v>0</v>
      </c>
      <c r="CK320" s="3070" t="s">
        <v>3590</v>
      </c>
      <c r="CL320" s="3070" t="s">
        <v>3590</v>
      </c>
      <c r="CM320" s="3070">
        <v>1268004.5900000001</v>
      </c>
      <c r="CV320" s="3070" t="s">
        <v>3494</v>
      </c>
      <c r="CW320" s="3070" t="s">
        <v>5896</v>
      </c>
      <c r="CZ320" s="3070">
        <v>213894.57</v>
      </c>
      <c r="DA320" s="3070">
        <v>159426.93</v>
      </c>
      <c r="DB320" s="3070">
        <v>0</v>
      </c>
      <c r="DC320" s="3070">
        <v>0</v>
      </c>
      <c r="DD320" s="3070">
        <v>3290547602</v>
      </c>
      <c r="DE320" s="3070">
        <v>2764253109</v>
      </c>
      <c r="DF320" s="3070">
        <v>1464966739</v>
      </c>
      <c r="DG320" s="3070">
        <v>14938370</v>
      </c>
      <c r="DH320" s="3070">
        <v>1284348000</v>
      </c>
      <c r="DI320" s="3070">
        <v>1278128000</v>
      </c>
      <c r="DJ320" s="3070">
        <v>6220000</v>
      </c>
      <c r="DK320" s="3070">
        <v>0</v>
      </c>
      <c r="DL320" s="3070">
        <v>0</v>
      </c>
      <c r="DM320" s="3070">
        <v>25491817.620000001</v>
      </c>
      <c r="DN320" s="3070">
        <v>2764253109</v>
      </c>
      <c r="DP320" s="3070">
        <v>2764253109</v>
      </c>
    </row>
    <row r="321" spans="1:120">
      <c r="A321" s="3070">
        <v>320</v>
      </c>
      <c r="B321" s="3070" t="s">
        <v>3224</v>
      </c>
      <c r="C321" s="3070">
        <v>3</v>
      </c>
      <c r="E321" s="3070">
        <v>402</v>
      </c>
      <c r="F321" s="3070" t="s">
        <v>5897</v>
      </c>
      <c r="G321" s="3070" t="s">
        <v>5898</v>
      </c>
      <c r="H321" s="3070">
        <v>1337877</v>
      </c>
      <c r="I321" s="3070">
        <v>1337877</v>
      </c>
      <c r="J321" s="3070">
        <v>102.67</v>
      </c>
      <c r="K321" s="3070">
        <v>74.61</v>
      </c>
      <c r="L321" s="3070">
        <v>0</v>
      </c>
      <c r="M321" s="3070">
        <v>0</v>
      </c>
      <c r="N321" s="3070">
        <v>15244.44</v>
      </c>
      <c r="O321" s="3070">
        <v>1565147</v>
      </c>
      <c r="P321" s="3070">
        <v>13030.85</v>
      </c>
      <c r="Q321" s="3070">
        <v>1337877</v>
      </c>
      <c r="R321" s="3070" t="s">
        <v>3227</v>
      </c>
      <c r="S321" s="3070" t="s">
        <v>5899</v>
      </c>
      <c r="T321" s="3070" t="s">
        <v>3246</v>
      </c>
      <c r="U321" s="3070" t="s">
        <v>3279</v>
      </c>
      <c r="V321" s="3070" t="s">
        <v>3230</v>
      </c>
      <c r="Y321" s="3070">
        <v>407877</v>
      </c>
      <c r="Z321" s="3070">
        <v>133788</v>
      </c>
      <c r="AA321" s="3070">
        <v>407877</v>
      </c>
      <c r="AB321" s="3070">
        <v>0</v>
      </c>
      <c r="AC321" s="3070">
        <v>930000</v>
      </c>
      <c r="AD321" s="3070">
        <v>930000</v>
      </c>
      <c r="AE321" s="3070">
        <v>0</v>
      </c>
      <c r="AI321" s="3070" t="s">
        <v>3227</v>
      </c>
      <c r="AJ321" s="3070">
        <v>0</v>
      </c>
      <c r="AK321" s="3070">
        <v>0</v>
      </c>
      <c r="AL321" s="3070">
        <v>0</v>
      </c>
      <c r="AM321" s="3070">
        <v>13030.85</v>
      </c>
      <c r="AN321" s="3070">
        <v>1337877</v>
      </c>
      <c r="AP321" s="3070">
        <v>1337877</v>
      </c>
      <c r="AQ321" s="3072">
        <v>45138</v>
      </c>
      <c r="AT321" s="3073">
        <v>45678</v>
      </c>
      <c r="AV321" s="3070" t="s">
        <v>5900</v>
      </c>
      <c r="AW321" s="3070" t="s">
        <v>5901</v>
      </c>
      <c r="AX321" s="3070" t="s">
        <v>5902</v>
      </c>
      <c r="AY321" s="3070" t="s">
        <v>3364</v>
      </c>
      <c r="BA321" s="3070" t="s">
        <v>3364</v>
      </c>
      <c r="BC321" s="3070" t="s">
        <v>5903</v>
      </c>
      <c r="BD321" s="3070" t="s">
        <v>3077</v>
      </c>
      <c r="BI321" s="3070" t="s">
        <v>3235</v>
      </c>
      <c r="BL321" s="3070" t="s">
        <v>5904</v>
      </c>
      <c r="BM321" s="3075">
        <v>44259</v>
      </c>
      <c r="BN321" s="3070">
        <v>2</v>
      </c>
      <c r="BO321" s="3070" t="s">
        <v>3253</v>
      </c>
      <c r="BR321" s="3070">
        <v>940</v>
      </c>
      <c r="BS321" s="3070" t="s">
        <v>3238</v>
      </c>
      <c r="BT321" s="3070" t="s">
        <v>3481</v>
      </c>
      <c r="BU321" s="3070" t="s">
        <v>3364</v>
      </c>
      <c r="BV321" s="3070" t="s">
        <v>5905</v>
      </c>
      <c r="BZ321" s="3073">
        <v>44170.390277777777</v>
      </c>
      <c r="CA321" s="3070">
        <v>3</v>
      </c>
      <c r="CB321" s="3070" t="s">
        <v>3481</v>
      </c>
      <c r="CD321" s="3070" t="s">
        <v>3239</v>
      </c>
      <c r="CF321" s="3070" t="s">
        <v>3091</v>
      </c>
      <c r="CH321" s="3070" t="s">
        <v>3240</v>
      </c>
      <c r="CI321" s="3070">
        <v>0</v>
      </c>
      <c r="CK321" s="3070" t="s">
        <v>3364</v>
      </c>
      <c r="CL321" s="3070" t="s">
        <v>3364</v>
      </c>
      <c r="CM321" s="3070">
        <v>1227410.0900000001</v>
      </c>
      <c r="CV321" s="3070" t="s">
        <v>3246</v>
      </c>
      <c r="CW321" s="3070" t="s">
        <v>5906</v>
      </c>
      <c r="CX321" s="3070" t="s">
        <v>3311</v>
      </c>
      <c r="CZ321" s="3070">
        <v>213894.57</v>
      </c>
      <c r="DA321" s="3070">
        <v>159426.93</v>
      </c>
      <c r="DB321" s="3070">
        <v>0</v>
      </c>
      <c r="DC321" s="3070">
        <v>0</v>
      </c>
      <c r="DD321" s="3070">
        <v>3290547602</v>
      </c>
      <c r="DE321" s="3070">
        <v>2764253109</v>
      </c>
      <c r="DF321" s="3070">
        <v>1464966739</v>
      </c>
      <c r="DG321" s="3070">
        <v>14938370</v>
      </c>
      <c r="DH321" s="3070">
        <v>1284348000</v>
      </c>
      <c r="DI321" s="3070">
        <v>1278128000</v>
      </c>
      <c r="DJ321" s="3070">
        <v>6220000</v>
      </c>
      <c r="DK321" s="3070">
        <v>0</v>
      </c>
      <c r="DL321" s="3070">
        <v>0</v>
      </c>
      <c r="DM321" s="3070">
        <v>25491817.620000001</v>
      </c>
      <c r="DN321" s="3070">
        <v>2764253109</v>
      </c>
      <c r="DP321" s="3070">
        <v>2764253109</v>
      </c>
    </row>
    <row r="322" spans="1:120">
      <c r="A322" s="3070">
        <v>321</v>
      </c>
      <c r="B322" s="3070" t="s">
        <v>3224</v>
      </c>
      <c r="C322" s="3070">
        <v>3</v>
      </c>
      <c r="E322" s="3070">
        <v>403</v>
      </c>
      <c r="F322" s="3070" t="s">
        <v>5907</v>
      </c>
      <c r="G322" s="3070" t="s">
        <v>5908</v>
      </c>
      <c r="H322" s="3070">
        <v>1265164</v>
      </c>
      <c r="I322" s="3070">
        <v>1265164</v>
      </c>
      <c r="J322" s="3070">
        <v>102.67</v>
      </c>
      <c r="K322" s="3070">
        <v>74.61</v>
      </c>
      <c r="L322" s="3070">
        <v>0</v>
      </c>
      <c r="M322" s="3070">
        <v>0</v>
      </c>
      <c r="N322" s="3070">
        <v>15244.44</v>
      </c>
      <c r="O322" s="3070">
        <v>1565147</v>
      </c>
      <c r="P322" s="3070">
        <v>12322.63</v>
      </c>
      <c r="Q322" s="3070">
        <v>1265164</v>
      </c>
      <c r="R322" s="3070" t="s">
        <v>3227</v>
      </c>
      <c r="S322" s="3070" t="s">
        <v>5909</v>
      </c>
      <c r="T322" s="3070" t="s">
        <v>3246</v>
      </c>
      <c r="U322" s="3070" t="s">
        <v>3381</v>
      </c>
      <c r="V322" s="3070" t="s">
        <v>3230</v>
      </c>
      <c r="Y322" s="3070">
        <v>705164</v>
      </c>
      <c r="Z322" s="3070">
        <v>705164</v>
      </c>
      <c r="AA322" s="3070">
        <v>705164</v>
      </c>
      <c r="AB322" s="3070">
        <v>0</v>
      </c>
      <c r="AC322" s="3070">
        <v>560000</v>
      </c>
      <c r="AD322" s="3070">
        <v>560000</v>
      </c>
      <c r="AE322" s="3070">
        <v>0</v>
      </c>
      <c r="AI322" s="3070" t="s">
        <v>3227</v>
      </c>
      <c r="AJ322" s="3070">
        <v>0</v>
      </c>
      <c r="AK322" s="3070">
        <v>0</v>
      </c>
      <c r="AL322" s="3070">
        <v>0</v>
      </c>
      <c r="AM322" s="3070">
        <v>12322.63</v>
      </c>
      <c r="AN322" s="3070">
        <v>1265164</v>
      </c>
      <c r="AP322" s="3070">
        <v>1265164</v>
      </c>
      <c r="AQ322" s="3072">
        <v>45138</v>
      </c>
      <c r="AT322" s="3073">
        <v>45678</v>
      </c>
      <c r="AV322" s="3070" t="s">
        <v>5910</v>
      </c>
      <c r="AW322" s="3070" t="s">
        <v>5911</v>
      </c>
      <c r="AX322" s="3070" t="s">
        <v>5912</v>
      </c>
      <c r="AY322" s="3070" t="s">
        <v>3497</v>
      </c>
      <c r="BC322" s="3070" t="s">
        <v>3284</v>
      </c>
      <c r="BD322" s="3070" t="s">
        <v>3077</v>
      </c>
      <c r="BI322" s="3070" t="s">
        <v>3235</v>
      </c>
      <c r="BJ322" s="3070" t="s">
        <v>3296</v>
      </c>
      <c r="BL322" s="3070" t="s">
        <v>5913</v>
      </c>
      <c r="BM322" s="3075">
        <v>44259</v>
      </c>
      <c r="BN322" s="3070">
        <v>3</v>
      </c>
      <c r="BO322" s="3070" t="s">
        <v>3253</v>
      </c>
      <c r="BR322" s="3070">
        <v>259</v>
      </c>
      <c r="BS322" s="3070" t="s">
        <v>3238</v>
      </c>
      <c r="BZ322" s="3073">
        <v>44147.5</v>
      </c>
      <c r="CA322" s="3070">
        <v>3</v>
      </c>
      <c r="CD322" s="3070" t="s">
        <v>3239</v>
      </c>
      <c r="CF322" s="3070" t="s">
        <v>3091</v>
      </c>
      <c r="CH322" s="3070" t="s">
        <v>3240</v>
      </c>
      <c r="CI322" s="3070">
        <v>0</v>
      </c>
      <c r="CK322" s="3070" t="s">
        <v>3497</v>
      </c>
      <c r="CL322" s="3070" t="s">
        <v>3497</v>
      </c>
      <c r="CM322" s="3070">
        <v>1160700.92</v>
      </c>
      <c r="CV322" s="3070" t="s">
        <v>3246</v>
      </c>
      <c r="CW322" s="3070" t="s">
        <v>5914</v>
      </c>
      <c r="CX322" s="3070" t="s">
        <v>3242</v>
      </c>
      <c r="CZ322" s="3070">
        <v>213894.57</v>
      </c>
      <c r="DA322" s="3070">
        <v>159426.93</v>
      </c>
      <c r="DB322" s="3070">
        <v>0</v>
      </c>
      <c r="DC322" s="3070">
        <v>0</v>
      </c>
      <c r="DD322" s="3070">
        <v>3290547602</v>
      </c>
      <c r="DE322" s="3070">
        <v>2764253109</v>
      </c>
      <c r="DF322" s="3070">
        <v>1464966739</v>
      </c>
      <c r="DG322" s="3070">
        <v>14938370</v>
      </c>
      <c r="DH322" s="3070">
        <v>1284348000</v>
      </c>
      <c r="DI322" s="3070">
        <v>1278128000</v>
      </c>
      <c r="DJ322" s="3070">
        <v>6220000</v>
      </c>
      <c r="DK322" s="3070">
        <v>0</v>
      </c>
      <c r="DL322" s="3070">
        <v>0</v>
      </c>
      <c r="DM322" s="3070">
        <v>25491817.620000001</v>
      </c>
      <c r="DN322" s="3070">
        <v>2764253109</v>
      </c>
      <c r="DP322" s="3070">
        <v>2764253109</v>
      </c>
    </row>
    <row r="323" spans="1:120">
      <c r="A323" s="3070">
        <v>322</v>
      </c>
      <c r="B323" s="3070" t="s">
        <v>3224</v>
      </c>
      <c r="C323" s="3070">
        <v>3</v>
      </c>
      <c r="E323" s="3070">
        <v>404</v>
      </c>
      <c r="F323" s="3070" t="s">
        <v>5915</v>
      </c>
      <c r="G323" s="3070" t="s">
        <v>5916</v>
      </c>
      <c r="H323" s="3070">
        <v>1364150</v>
      </c>
      <c r="I323" s="3070">
        <v>1364150</v>
      </c>
      <c r="J323" s="3070">
        <v>114.02</v>
      </c>
      <c r="K323" s="3070">
        <v>82.85</v>
      </c>
      <c r="L323" s="3070">
        <v>0</v>
      </c>
      <c r="M323" s="3070">
        <v>0</v>
      </c>
      <c r="N323" s="3070">
        <v>14994.44</v>
      </c>
      <c r="O323" s="3070">
        <v>1709666</v>
      </c>
      <c r="P323" s="3070">
        <v>11964.13</v>
      </c>
      <c r="Q323" s="3070">
        <v>1364150</v>
      </c>
      <c r="R323" s="3070" t="s">
        <v>3227</v>
      </c>
      <c r="S323" s="3070" t="s">
        <v>5917</v>
      </c>
      <c r="T323" s="3070" t="s">
        <v>3229</v>
      </c>
      <c r="V323" s="3070" t="s">
        <v>3230</v>
      </c>
      <c r="Y323" s="3070">
        <v>272830</v>
      </c>
      <c r="Z323" s="3070">
        <v>272830</v>
      </c>
      <c r="AA323" s="3070">
        <v>1364150</v>
      </c>
      <c r="AB323" s="3070">
        <v>0</v>
      </c>
      <c r="AC323" s="3070">
        <v>0</v>
      </c>
      <c r="AD323" s="3070">
        <v>0</v>
      </c>
      <c r="AE323" s="3070">
        <v>0</v>
      </c>
      <c r="AI323" s="3070" t="s">
        <v>3227</v>
      </c>
      <c r="AJ323" s="3070">
        <v>0</v>
      </c>
      <c r="AK323" s="3070">
        <v>0</v>
      </c>
      <c r="AL323" s="3070">
        <v>0</v>
      </c>
      <c r="AM323" s="3070">
        <v>11964.13</v>
      </c>
      <c r="AN323" s="3070">
        <v>1364150</v>
      </c>
      <c r="AP323" s="3070">
        <v>1364150</v>
      </c>
      <c r="AQ323" s="3072">
        <v>45138</v>
      </c>
      <c r="AT323" s="3073">
        <v>45678</v>
      </c>
      <c r="AV323" s="3070" t="s">
        <v>5918</v>
      </c>
      <c r="AW323" s="3070" t="s">
        <v>5919</v>
      </c>
      <c r="AX323" s="3070" t="s">
        <v>5920</v>
      </c>
      <c r="AY323" s="3070" t="s">
        <v>5921</v>
      </c>
      <c r="BC323" s="3070" t="s">
        <v>3347</v>
      </c>
      <c r="BD323" s="3070" t="s">
        <v>3077</v>
      </c>
      <c r="BI323" s="3070" t="s">
        <v>3235</v>
      </c>
      <c r="BJ323" s="3070" t="s">
        <v>3338</v>
      </c>
      <c r="BL323" s="3070" t="s">
        <v>5922</v>
      </c>
      <c r="BM323" s="3075">
        <v>44259</v>
      </c>
      <c r="BN323" s="3070">
        <v>4</v>
      </c>
      <c r="BR323" s="3070">
        <v>950</v>
      </c>
      <c r="BS323" s="3070" t="s">
        <v>3238</v>
      </c>
      <c r="BZ323" s="3073">
        <v>44153.802083333336</v>
      </c>
      <c r="CA323" s="3070">
        <v>3</v>
      </c>
      <c r="CD323" s="3070" t="s">
        <v>3239</v>
      </c>
      <c r="CF323" s="3070" t="s">
        <v>3091</v>
      </c>
      <c r="CH323" s="3070" t="s">
        <v>3240</v>
      </c>
      <c r="CI323" s="3070">
        <v>0</v>
      </c>
      <c r="CK323" s="3070" t="s">
        <v>5921</v>
      </c>
      <c r="CL323" s="3070" t="s">
        <v>5921</v>
      </c>
      <c r="CM323" s="3070">
        <v>1251513.76</v>
      </c>
      <c r="CV323" s="3070" t="s">
        <v>3229</v>
      </c>
      <c r="CW323" s="3070" t="s">
        <v>5923</v>
      </c>
      <c r="CZ323" s="3070">
        <v>213894.57</v>
      </c>
      <c r="DA323" s="3070">
        <v>159426.93</v>
      </c>
      <c r="DB323" s="3070">
        <v>0</v>
      </c>
      <c r="DC323" s="3070">
        <v>0</v>
      </c>
      <c r="DD323" s="3070">
        <v>3290547602</v>
      </c>
      <c r="DE323" s="3070">
        <v>2764253109</v>
      </c>
      <c r="DF323" s="3070">
        <v>1464966739</v>
      </c>
      <c r="DG323" s="3070">
        <v>14938370</v>
      </c>
      <c r="DH323" s="3070">
        <v>1284348000</v>
      </c>
      <c r="DI323" s="3070">
        <v>1278128000</v>
      </c>
      <c r="DJ323" s="3070">
        <v>6220000</v>
      </c>
      <c r="DK323" s="3070">
        <v>0</v>
      </c>
      <c r="DL323" s="3070">
        <v>0</v>
      </c>
      <c r="DM323" s="3070">
        <v>25491817.620000001</v>
      </c>
      <c r="DN323" s="3070">
        <v>2764253109</v>
      </c>
      <c r="DP323" s="3070">
        <v>2764253109</v>
      </c>
    </row>
    <row r="324" spans="1:120">
      <c r="A324" s="3070">
        <v>323</v>
      </c>
      <c r="B324" s="3070" t="s">
        <v>3224</v>
      </c>
      <c r="C324" s="3070">
        <v>3</v>
      </c>
      <c r="E324" s="3070">
        <v>501</v>
      </c>
      <c r="F324" s="3070" t="s">
        <v>5924</v>
      </c>
      <c r="G324" s="3070" t="s">
        <v>5925</v>
      </c>
      <c r="H324" s="3070">
        <v>1461683</v>
      </c>
      <c r="I324" s="3070">
        <v>1461683</v>
      </c>
      <c r="J324" s="3070">
        <v>114.02</v>
      </c>
      <c r="K324" s="3070">
        <v>82.85</v>
      </c>
      <c r="L324" s="3070">
        <v>0</v>
      </c>
      <c r="M324" s="3070">
        <v>0</v>
      </c>
      <c r="N324" s="3070">
        <v>15194.44</v>
      </c>
      <c r="O324" s="3070">
        <v>1732470</v>
      </c>
      <c r="P324" s="3070">
        <v>12819.53</v>
      </c>
      <c r="Q324" s="3070">
        <v>1461683</v>
      </c>
      <c r="R324" s="3070" t="s">
        <v>3227</v>
      </c>
      <c r="S324" s="3070" t="s">
        <v>5926</v>
      </c>
      <c r="T324" s="3070" t="s">
        <v>3258</v>
      </c>
      <c r="U324" s="3070" t="s">
        <v>3259</v>
      </c>
      <c r="V324" s="3070" t="s">
        <v>3230</v>
      </c>
      <c r="Y324" s="3070">
        <v>521683</v>
      </c>
      <c r="Z324" s="3070">
        <v>175402</v>
      </c>
      <c r="AA324" s="3070">
        <v>521683</v>
      </c>
      <c r="AB324" s="3070">
        <v>0</v>
      </c>
      <c r="AC324" s="3070">
        <v>940000</v>
      </c>
      <c r="AD324" s="3070">
        <v>940000</v>
      </c>
      <c r="AE324" s="3070">
        <v>0</v>
      </c>
      <c r="AI324" s="3070" t="s">
        <v>3227</v>
      </c>
      <c r="AJ324" s="3070">
        <v>0</v>
      </c>
      <c r="AK324" s="3070">
        <v>0</v>
      </c>
      <c r="AL324" s="3070">
        <v>0</v>
      </c>
      <c r="AM324" s="3070">
        <v>12819.53</v>
      </c>
      <c r="AN324" s="3070">
        <v>1461683</v>
      </c>
      <c r="AP324" s="3070">
        <v>1461683</v>
      </c>
      <c r="AQ324" s="3072">
        <v>45138</v>
      </c>
      <c r="AT324" s="3073">
        <v>45678</v>
      </c>
      <c r="AV324" s="3074">
        <v>3.21E+17</v>
      </c>
      <c r="AW324" s="3070" t="s">
        <v>5927</v>
      </c>
      <c r="AX324" s="3070" t="s">
        <v>5928</v>
      </c>
      <c r="AY324" s="3070" t="s">
        <v>3306</v>
      </c>
      <c r="BA324" s="3070" t="s">
        <v>3306</v>
      </c>
      <c r="BC324" s="3070" t="s">
        <v>5929</v>
      </c>
      <c r="BD324" s="3070" t="s">
        <v>3077</v>
      </c>
      <c r="BI324" s="3070" t="s">
        <v>3295</v>
      </c>
      <c r="BL324" s="3070" t="s">
        <v>5930</v>
      </c>
      <c r="BM324" s="3075">
        <v>44260</v>
      </c>
      <c r="BN324" s="3070">
        <v>1</v>
      </c>
      <c r="BO324" s="3070" t="s">
        <v>3253</v>
      </c>
      <c r="BP324" s="3070" t="s">
        <v>3253</v>
      </c>
      <c r="BR324" s="3070">
        <v>13</v>
      </c>
      <c r="BS324" s="3070" t="s">
        <v>3238</v>
      </c>
      <c r="BT324" s="3070" t="s">
        <v>3481</v>
      </c>
      <c r="BU324" s="3070" t="s">
        <v>3306</v>
      </c>
      <c r="BV324" s="3070" t="s">
        <v>5931</v>
      </c>
      <c r="BZ324" s="3073">
        <v>44172.759027777778</v>
      </c>
      <c r="CA324" s="3070">
        <v>3</v>
      </c>
      <c r="CB324" s="3070" t="s">
        <v>3481</v>
      </c>
      <c r="CD324" s="3070" t="s">
        <v>3239</v>
      </c>
      <c r="CF324" s="3070" t="s">
        <v>3091</v>
      </c>
      <c r="CH324" s="3070" t="s">
        <v>3240</v>
      </c>
      <c r="CI324" s="3070">
        <v>0</v>
      </c>
      <c r="CJ324" s="3070" t="s">
        <v>3259</v>
      </c>
      <c r="CK324" s="3070" t="s">
        <v>3306</v>
      </c>
      <c r="CL324" s="3070" t="s">
        <v>3306</v>
      </c>
      <c r="CM324" s="3070">
        <v>1340993.58</v>
      </c>
      <c r="CV324" s="3070" t="s">
        <v>3258</v>
      </c>
      <c r="CW324" s="3070" t="s">
        <v>5932</v>
      </c>
      <c r="CZ324" s="3070">
        <v>213894.57</v>
      </c>
      <c r="DA324" s="3070">
        <v>159426.93</v>
      </c>
      <c r="DB324" s="3070">
        <v>0</v>
      </c>
      <c r="DC324" s="3070">
        <v>0</v>
      </c>
      <c r="DD324" s="3070">
        <v>3290547602</v>
      </c>
      <c r="DE324" s="3070">
        <v>2764253109</v>
      </c>
      <c r="DF324" s="3070">
        <v>1464966739</v>
      </c>
      <c r="DG324" s="3070">
        <v>14938370</v>
      </c>
      <c r="DH324" s="3070">
        <v>1284348000</v>
      </c>
      <c r="DI324" s="3070">
        <v>1278128000</v>
      </c>
      <c r="DJ324" s="3070">
        <v>6220000</v>
      </c>
      <c r="DK324" s="3070">
        <v>0</v>
      </c>
      <c r="DL324" s="3070">
        <v>0</v>
      </c>
      <c r="DM324" s="3070">
        <v>25491817.620000001</v>
      </c>
      <c r="DN324" s="3070">
        <v>2764253109</v>
      </c>
      <c r="DP324" s="3070">
        <v>2764253109</v>
      </c>
    </row>
    <row r="325" spans="1:120">
      <c r="A325" s="3070">
        <v>324</v>
      </c>
      <c r="B325" s="3070" t="s">
        <v>3224</v>
      </c>
      <c r="C325" s="3070">
        <v>3</v>
      </c>
      <c r="E325" s="3070">
        <v>502</v>
      </c>
      <c r="F325" s="3070" t="s">
        <v>5933</v>
      </c>
      <c r="G325" s="3070" t="s">
        <v>5934</v>
      </c>
      <c r="H325" s="3070">
        <v>1279804</v>
      </c>
      <c r="I325" s="3070">
        <v>1279804</v>
      </c>
      <c r="J325" s="3070">
        <v>102.67</v>
      </c>
      <c r="K325" s="3070">
        <v>74.61</v>
      </c>
      <c r="L325" s="3070">
        <v>0</v>
      </c>
      <c r="M325" s="3070">
        <v>0</v>
      </c>
      <c r="N325" s="3070">
        <v>15394.44</v>
      </c>
      <c r="O325" s="3070">
        <v>1580547</v>
      </c>
      <c r="P325" s="3070">
        <v>12465.22</v>
      </c>
      <c r="Q325" s="3070">
        <v>1279804</v>
      </c>
      <c r="R325" s="3070" t="s">
        <v>3227</v>
      </c>
      <c r="S325" s="3070" t="s">
        <v>5935</v>
      </c>
      <c r="T325" s="3070" t="s">
        <v>3246</v>
      </c>
      <c r="U325" s="3070" t="s">
        <v>3467</v>
      </c>
      <c r="V325" s="3070" t="s">
        <v>3230</v>
      </c>
      <c r="Y325" s="3070">
        <v>479804</v>
      </c>
      <c r="Z325" s="3070">
        <v>479804</v>
      </c>
      <c r="AA325" s="3070">
        <v>479804</v>
      </c>
      <c r="AB325" s="3070">
        <v>0</v>
      </c>
      <c r="AC325" s="3070">
        <v>800000</v>
      </c>
      <c r="AD325" s="3070">
        <v>800000</v>
      </c>
      <c r="AE325" s="3070">
        <v>0</v>
      </c>
      <c r="AI325" s="3070" t="s">
        <v>3227</v>
      </c>
      <c r="AJ325" s="3070">
        <v>0</v>
      </c>
      <c r="AK325" s="3070">
        <v>0</v>
      </c>
      <c r="AL325" s="3070">
        <v>0</v>
      </c>
      <c r="AM325" s="3070">
        <v>12465.22</v>
      </c>
      <c r="AN325" s="3070">
        <v>1279804</v>
      </c>
      <c r="AP325" s="3070">
        <v>1279804</v>
      </c>
      <c r="AQ325" s="3072">
        <v>45138</v>
      </c>
      <c r="AT325" s="3073">
        <v>45678</v>
      </c>
      <c r="AV325" s="3074">
        <v>3.21E+17</v>
      </c>
      <c r="AW325" s="3070" t="s">
        <v>5936</v>
      </c>
      <c r="AX325" s="3070" t="s">
        <v>5937</v>
      </c>
      <c r="AY325" s="3070" t="s">
        <v>3364</v>
      </c>
      <c r="BC325" s="3070" t="s">
        <v>3284</v>
      </c>
      <c r="BD325" s="3070" t="s">
        <v>3077</v>
      </c>
      <c r="BI325" s="3070" t="s">
        <v>3235</v>
      </c>
      <c r="BJ325" s="3070" t="s">
        <v>3296</v>
      </c>
      <c r="BL325" s="3070" t="s">
        <v>5938</v>
      </c>
      <c r="BM325" s="3075">
        <v>44260</v>
      </c>
      <c r="BN325" s="3070">
        <v>2</v>
      </c>
      <c r="BO325" s="3070" t="s">
        <v>3253</v>
      </c>
      <c r="BR325" s="3070">
        <v>878</v>
      </c>
      <c r="BS325" s="3070" t="s">
        <v>3238</v>
      </c>
      <c r="BZ325" s="3073">
        <v>44142.599305555559</v>
      </c>
      <c r="CA325" s="3070">
        <v>3</v>
      </c>
      <c r="CD325" s="3070" t="s">
        <v>3239</v>
      </c>
      <c r="CF325" s="3070" t="s">
        <v>3091</v>
      </c>
      <c r="CH325" s="3070" t="s">
        <v>3240</v>
      </c>
      <c r="CI325" s="3070">
        <v>0</v>
      </c>
      <c r="CK325" s="3070" t="s">
        <v>3364</v>
      </c>
      <c r="CL325" s="3070" t="s">
        <v>3364</v>
      </c>
      <c r="CM325" s="3070">
        <v>1174132.1100000001</v>
      </c>
      <c r="CV325" s="3070" t="s">
        <v>3246</v>
      </c>
      <c r="CW325" s="3070" t="s">
        <v>5939</v>
      </c>
      <c r="CZ325" s="3070">
        <v>213894.57</v>
      </c>
      <c r="DA325" s="3070">
        <v>159426.93</v>
      </c>
      <c r="DB325" s="3070">
        <v>0</v>
      </c>
      <c r="DC325" s="3070">
        <v>0</v>
      </c>
      <c r="DD325" s="3070">
        <v>3290547602</v>
      </c>
      <c r="DE325" s="3070">
        <v>2764253109</v>
      </c>
      <c r="DF325" s="3070">
        <v>1464966739</v>
      </c>
      <c r="DG325" s="3070">
        <v>14938370</v>
      </c>
      <c r="DH325" s="3070">
        <v>1284348000</v>
      </c>
      <c r="DI325" s="3070">
        <v>1278128000</v>
      </c>
      <c r="DJ325" s="3070">
        <v>6220000</v>
      </c>
      <c r="DK325" s="3070">
        <v>0</v>
      </c>
      <c r="DL325" s="3070">
        <v>0</v>
      </c>
      <c r="DM325" s="3070">
        <v>25491817.620000001</v>
      </c>
      <c r="DN325" s="3070">
        <v>2764253109</v>
      </c>
      <c r="DP325" s="3070">
        <v>2764253109</v>
      </c>
    </row>
    <row r="326" spans="1:120">
      <c r="A326" s="3070">
        <v>325</v>
      </c>
      <c r="B326" s="3070" t="s">
        <v>3224</v>
      </c>
      <c r="C326" s="3070">
        <v>3</v>
      </c>
      <c r="E326" s="3070">
        <v>503</v>
      </c>
      <c r="F326" s="3070" t="s">
        <v>5940</v>
      </c>
      <c r="G326" s="3070" t="s">
        <v>5941</v>
      </c>
      <c r="H326" s="3070">
        <v>1279804</v>
      </c>
      <c r="I326" s="3070">
        <v>1279804</v>
      </c>
      <c r="J326" s="3070">
        <v>102.67</v>
      </c>
      <c r="K326" s="3070">
        <v>74.61</v>
      </c>
      <c r="L326" s="3070">
        <v>0</v>
      </c>
      <c r="M326" s="3070">
        <v>0</v>
      </c>
      <c r="N326" s="3070">
        <v>15394.44</v>
      </c>
      <c r="O326" s="3070">
        <v>1580547</v>
      </c>
      <c r="P326" s="3070">
        <v>12465.22</v>
      </c>
      <c r="Q326" s="3070">
        <v>1279804</v>
      </c>
      <c r="R326" s="3070" t="s">
        <v>3227</v>
      </c>
      <c r="S326" s="3070" t="s">
        <v>5942</v>
      </c>
      <c r="T326" s="3070" t="s">
        <v>3258</v>
      </c>
      <c r="U326" s="3070" t="s">
        <v>3259</v>
      </c>
      <c r="V326" s="3070" t="s">
        <v>3230</v>
      </c>
      <c r="Y326" s="3070">
        <v>389804</v>
      </c>
      <c r="Z326" s="3070">
        <v>389804</v>
      </c>
      <c r="AA326" s="3070">
        <v>389804</v>
      </c>
      <c r="AB326" s="3070">
        <v>0</v>
      </c>
      <c r="AC326" s="3070">
        <v>890000</v>
      </c>
      <c r="AD326" s="3070">
        <v>890000</v>
      </c>
      <c r="AE326" s="3070">
        <v>0</v>
      </c>
      <c r="AI326" s="3070" t="s">
        <v>3227</v>
      </c>
      <c r="AJ326" s="3070">
        <v>0</v>
      </c>
      <c r="AK326" s="3070">
        <v>0</v>
      </c>
      <c r="AL326" s="3070">
        <v>0</v>
      </c>
      <c r="AM326" s="3070">
        <v>12465.22</v>
      </c>
      <c r="AN326" s="3070">
        <v>1279804</v>
      </c>
      <c r="AP326" s="3070">
        <v>1279804</v>
      </c>
      <c r="AQ326" s="3072">
        <v>45138</v>
      </c>
      <c r="AT326" s="3073">
        <v>45678</v>
      </c>
      <c r="AV326" s="3070" t="s">
        <v>5943</v>
      </c>
      <c r="AW326" s="3070" t="s">
        <v>5944</v>
      </c>
      <c r="AX326" s="3070" t="s">
        <v>5945</v>
      </c>
      <c r="AY326" s="3070" t="s">
        <v>3262</v>
      </c>
      <c r="BC326" s="3070" t="s">
        <v>3263</v>
      </c>
      <c r="BD326" s="3070" t="s">
        <v>3077</v>
      </c>
      <c r="BI326" s="3070" t="s">
        <v>3235</v>
      </c>
      <c r="BL326" s="3070" t="s">
        <v>5946</v>
      </c>
      <c r="BM326" s="3075">
        <v>44260</v>
      </c>
      <c r="BN326" s="3070">
        <v>3</v>
      </c>
      <c r="BO326" s="3070" t="s">
        <v>3253</v>
      </c>
      <c r="BP326" s="3070" t="s">
        <v>3253</v>
      </c>
      <c r="BR326" s="3070">
        <v>529</v>
      </c>
      <c r="BS326" s="3070" t="s">
        <v>3238</v>
      </c>
      <c r="BZ326" s="3073">
        <v>44142.63958333333</v>
      </c>
      <c r="CA326" s="3070">
        <v>3</v>
      </c>
      <c r="CD326" s="3070" t="s">
        <v>3239</v>
      </c>
      <c r="CF326" s="3070" t="s">
        <v>3091</v>
      </c>
      <c r="CH326" s="3070" t="s">
        <v>3240</v>
      </c>
      <c r="CI326" s="3070">
        <v>0</v>
      </c>
      <c r="CJ326" s="3070" t="s">
        <v>3259</v>
      </c>
      <c r="CK326" s="3070" t="s">
        <v>3262</v>
      </c>
      <c r="CL326" s="3070" t="s">
        <v>3262</v>
      </c>
      <c r="CM326" s="3070">
        <v>1174132.1100000001</v>
      </c>
      <c r="CV326" s="3070" t="s">
        <v>3258</v>
      </c>
      <c r="CW326" s="3070" t="s">
        <v>5947</v>
      </c>
      <c r="CZ326" s="3070">
        <v>213894.57</v>
      </c>
      <c r="DA326" s="3070">
        <v>159426.93</v>
      </c>
      <c r="DB326" s="3070">
        <v>0</v>
      </c>
      <c r="DC326" s="3070">
        <v>0</v>
      </c>
      <c r="DD326" s="3070">
        <v>3290547602</v>
      </c>
      <c r="DE326" s="3070">
        <v>2764253109</v>
      </c>
      <c r="DF326" s="3070">
        <v>1464966739</v>
      </c>
      <c r="DG326" s="3070">
        <v>14938370</v>
      </c>
      <c r="DH326" s="3070">
        <v>1284348000</v>
      </c>
      <c r="DI326" s="3070">
        <v>1278128000</v>
      </c>
      <c r="DJ326" s="3070">
        <v>6220000</v>
      </c>
      <c r="DK326" s="3070">
        <v>0</v>
      </c>
      <c r="DL326" s="3070">
        <v>0</v>
      </c>
      <c r="DM326" s="3070">
        <v>25491817.620000001</v>
      </c>
      <c r="DN326" s="3070">
        <v>2764253109</v>
      </c>
      <c r="DP326" s="3070">
        <v>2764253109</v>
      </c>
    </row>
    <row r="327" spans="1:120">
      <c r="A327" s="3070">
        <v>326</v>
      </c>
      <c r="B327" s="3070" t="s">
        <v>3224</v>
      </c>
      <c r="C327" s="3070">
        <v>3</v>
      </c>
      <c r="E327" s="3070">
        <v>504</v>
      </c>
      <c r="F327" s="3070" t="s">
        <v>5948</v>
      </c>
      <c r="G327" s="3070" t="s">
        <v>5949</v>
      </c>
      <c r="H327" s="3070">
        <v>1394187</v>
      </c>
      <c r="I327" s="3070">
        <v>1394187</v>
      </c>
      <c r="J327" s="3070">
        <v>114.02</v>
      </c>
      <c r="K327" s="3070">
        <v>82.85</v>
      </c>
      <c r="L327" s="3070">
        <v>0</v>
      </c>
      <c r="M327" s="3070">
        <v>0</v>
      </c>
      <c r="N327" s="3070">
        <v>15144.44</v>
      </c>
      <c r="O327" s="3070">
        <v>1726769</v>
      </c>
      <c r="P327" s="3070">
        <v>12227.57</v>
      </c>
      <c r="Q327" s="3070">
        <v>1394187</v>
      </c>
      <c r="R327" s="3070" t="s">
        <v>3227</v>
      </c>
      <c r="S327" s="3070" t="s">
        <v>5950</v>
      </c>
      <c r="T327" s="3070" t="s">
        <v>3258</v>
      </c>
      <c r="U327" s="3070" t="s">
        <v>3259</v>
      </c>
      <c r="V327" s="3070" t="s">
        <v>3230</v>
      </c>
      <c r="Y327" s="3070">
        <v>684187</v>
      </c>
      <c r="Z327" s="3070">
        <v>684187</v>
      </c>
      <c r="AA327" s="3070">
        <v>684187</v>
      </c>
      <c r="AB327" s="3070">
        <v>0</v>
      </c>
      <c r="AC327" s="3070">
        <v>710000</v>
      </c>
      <c r="AD327" s="3070">
        <v>710000</v>
      </c>
      <c r="AE327" s="3070">
        <v>0</v>
      </c>
      <c r="AI327" s="3070" t="s">
        <v>3227</v>
      </c>
      <c r="AJ327" s="3070">
        <v>0</v>
      </c>
      <c r="AK327" s="3070">
        <v>0</v>
      </c>
      <c r="AL327" s="3070">
        <v>0</v>
      </c>
      <c r="AM327" s="3070">
        <v>12227.57</v>
      </c>
      <c r="AN327" s="3070">
        <v>1394187</v>
      </c>
      <c r="AP327" s="3070">
        <v>1394187</v>
      </c>
      <c r="AQ327" s="3072">
        <v>45138</v>
      </c>
      <c r="AT327" s="3073">
        <v>45678</v>
      </c>
      <c r="AV327" s="3074">
        <v>3.21E+17</v>
      </c>
      <c r="AW327" s="3070" t="s">
        <v>5951</v>
      </c>
      <c r="AX327" s="3070" t="s">
        <v>5952</v>
      </c>
      <c r="AY327" s="3070" t="s">
        <v>3364</v>
      </c>
      <c r="BC327" s="3070" t="s">
        <v>3263</v>
      </c>
      <c r="BD327" s="3070" t="s">
        <v>3077</v>
      </c>
      <c r="BI327" s="3070" t="s">
        <v>3235</v>
      </c>
      <c r="BJ327" s="3070" t="s">
        <v>3338</v>
      </c>
      <c r="BL327" s="3070" t="s">
        <v>5953</v>
      </c>
      <c r="BM327" s="3075">
        <v>44260</v>
      </c>
      <c r="BN327" s="3070">
        <v>4</v>
      </c>
      <c r="BO327" s="3070" t="s">
        <v>3253</v>
      </c>
      <c r="BP327" s="3070" t="s">
        <v>3253</v>
      </c>
      <c r="BR327" s="3070">
        <v>250</v>
      </c>
      <c r="BS327" s="3070" t="s">
        <v>3238</v>
      </c>
      <c r="BZ327" s="3073">
        <v>44143.744444444441</v>
      </c>
      <c r="CA327" s="3070">
        <v>3</v>
      </c>
      <c r="CD327" s="3070" t="s">
        <v>3239</v>
      </c>
      <c r="CF327" s="3070" t="s">
        <v>3091</v>
      </c>
      <c r="CH327" s="3070" t="s">
        <v>3240</v>
      </c>
      <c r="CI327" s="3070">
        <v>0</v>
      </c>
      <c r="CJ327" s="3070" t="s">
        <v>3259</v>
      </c>
      <c r="CK327" s="3070" t="s">
        <v>3364</v>
      </c>
      <c r="CL327" s="3070" t="s">
        <v>3364</v>
      </c>
      <c r="CM327" s="3070">
        <v>1279070.6399999999</v>
      </c>
      <c r="CV327" s="3070" t="s">
        <v>3258</v>
      </c>
      <c r="CW327" s="3070" t="s">
        <v>5954</v>
      </c>
      <c r="CZ327" s="3070">
        <v>213894.57</v>
      </c>
      <c r="DA327" s="3070">
        <v>159426.93</v>
      </c>
      <c r="DB327" s="3070">
        <v>0</v>
      </c>
      <c r="DC327" s="3070">
        <v>0</v>
      </c>
      <c r="DD327" s="3070">
        <v>3290547602</v>
      </c>
      <c r="DE327" s="3070">
        <v>2764253109</v>
      </c>
      <c r="DF327" s="3070">
        <v>1464966739</v>
      </c>
      <c r="DG327" s="3070">
        <v>14938370</v>
      </c>
      <c r="DH327" s="3070">
        <v>1284348000</v>
      </c>
      <c r="DI327" s="3070">
        <v>1278128000</v>
      </c>
      <c r="DJ327" s="3070">
        <v>6220000</v>
      </c>
      <c r="DK327" s="3070">
        <v>0</v>
      </c>
      <c r="DL327" s="3070">
        <v>0</v>
      </c>
      <c r="DM327" s="3070">
        <v>25491817.620000001</v>
      </c>
      <c r="DN327" s="3070">
        <v>2764253109</v>
      </c>
      <c r="DP327" s="3070">
        <v>2764253109</v>
      </c>
    </row>
    <row r="328" spans="1:120">
      <c r="A328" s="3070">
        <v>327</v>
      </c>
      <c r="B328" s="3070" t="s">
        <v>3224</v>
      </c>
      <c r="C328" s="3070">
        <v>3</v>
      </c>
      <c r="E328" s="3070">
        <v>601</v>
      </c>
      <c r="F328" s="3070" t="s">
        <v>5955</v>
      </c>
      <c r="G328" s="3070" t="s">
        <v>5956</v>
      </c>
      <c r="H328" s="3070">
        <v>1405026</v>
      </c>
      <c r="I328" s="3070">
        <v>1405026</v>
      </c>
      <c r="J328" s="3070">
        <v>114.02</v>
      </c>
      <c r="K328" s="3070">
        <v>82.85</v>
      </c>
      <c r="L328" s="3070">
        <v>0</v>
      </c>
      <c r="M328" s="3070">
        <v>0</v>
      </c>
      <c r="N328" s="3070">
        <v>15244.44</v>
      </c>
      <c r="O328" s="3070">
        <v>1738171</v>
      </c>
      <c r="P328" s="3070">
        <v>12322.63</v>
      </c>
      <c r="Q328" s="3070">
        <v>1405026</v>
      </c>
      <c r="R328" s="3070" t="s">
        <v>3227</v>
      </c>
      <c r="S328" s="3070" t="s">
        <v>5957</v>
      </c>
      <c r="T328" s="3070" t="s">
        <v>3246</v>
      </c>
      <c r="U328" s="3070" t="s">
        <v>3279</v>
      </c>
      <c r="V328" s="3070" t="s">
        <v>3230</v>
      </c>
      <c r="Y328" s="3070">
        <v>425026</v>
      </c>
      <c r="Z328" s="3070">
        <v>425026</v>
      </c>
      <c r="AA328" s="3070">
        <v>425026</v>
      </c>
      <c r="AB328" s="3070">
        <v>0</v>
      </c>
      <c r="AC328" s="3070">
        <v>980000</v>
      </c>
      <c r="AD328" s="3070">
        <v>980000</v>
      </c>
      <c r="AE328" s="3070">
        <v>0</v>
      </c>
      <c r="AI328" s="3070" t="s">
        <v>3227</v>
      </c>
      <c r="AJ328" s="3070">
        <v>0</v>
      </c>
      <c r="AK328" s="3070">
        <v>0</v>
      </c>
      <c r="AL328" s="3070">
        <v>0</v>
      </c>
      <c r="AM328" s="3070">
        <v>12322.63</v>
      </c>
      <c r="AN328" s="3070">
        <v>1405026</v>
      </c>
      <c r="AP328" s="3070">
        <v>1405026</v>
      </c>
      <c r="AQ328" s="3072">
        <v>45138</v>
      </c>
      <c r="AT328" s="3073">
        <v>45678</v>
      </c>
      <c r="AV328" s="3070" t="s">
        <v>5958</v>
      </c>
      <c r="AW328" s="3070" t="s">
        <v>5959</v>
      </c>
      <c r="AX328" s="3070" t="s">
        <v>5960</v>
      </c>
      <c r="AY328" s="3070" t="s">
        <v>3364</v>
      </c>
      <c r="BC328" s="3070" t="s">
        <v>3284</v>
      </c>
      <c r="BD328" s="3070" t="s">
        <v>3077</v>
      </c>
      <c r="BI328" s="3070" t="s">
        <v>3235</v>
      </c>
      <c r="BJ328" s="3070" t="s">
        <v>3338</v>
      </c>
      <c r="BL328" s="3070" t="s">
        <v>5961</v>
      </c>
      <c r="BM328" s="3075">
        <v>44261</v>
      </c>
      <c r="BN328" s="3070">
        <v>1</v>
      </c>
      <c r="BO328" s="3070" t="s">
        <v>3253</v>
      </c>
      <c r="BR328" s="3070">
        <v>20</v>
      </c>
      <c r="BS328" s="3070" t="s">
        <v>3238</v>
      </c>
      <c r="BZ328" s="3073">
        <v>44142.611805555556</v>
      </c>
      <c r="CA328" s="3070">
        <v>3</v>
      </c>
      <c r="CD328" s="3070" t="s">
        <v>3239</v>
      </c>
      <c r="CF328" s="3070" t="s">
        <v>3091</v>
      </c>
      <c r="CH328" s="3070" t="s">
        <v>3240</v>
      </c>
      <c r="CI328" s="3070">
        <v>0</v>
      </c>
      <c r="CK328" s="3070" t="s">
        <v>3364</v>
      </c>
      <c r="CL328" s="3070" t="s">
        <v>3364</v>
      </c>
      <c r="CM328" s="3070">
        <v>1289014.68</v>
      </c>
      <c r="CV328" s="3070" t="s">
        <v>3246</v>
      </c>
      <c r="CW328" s="3070" t="s">
        <v>5962</v>
      </c>
      <c r="CX328" s="3070" t="s">
        <v>3267</v>
      </c>
      <c r="CZ328" s="3070">
        <v>213894.57</v>
      </c>
      <c r="DA328" s="3070">
        <v>159426.93</v>
      </c>
      <c r="DB328" s="3070">
        <v>0</v>
      </c>
      <c r="DC328" s="3070">
        <v>0</v>
      </c>
      <c r="DD328" s="3070">
        <v>3290547602</v>
      </c>
      <c r="DE328" s="3070">
        <v>2764253109</v>
      </c>
      <c r="DF328" s="3070">
        <v>1464966739</v>
      </c>
      <c r="DG328" s="3070">
        <v>14938370</v>
      </c>
      <c r="DH328" s="3070">
        <v>1284348000</v>
      </c>
      <c r="DI328" s="3070">
        <v>1278128000</v>
      </c>
      <c r="DJ328" s="3070">
        <v>6220000</v>
      </c>
      <c r="DK328" s="3070">
        <v>0</v>
      </c>
      <c r="DL328" s="3070">
        <v>0</v>
      </c>
      <c r="DM328" s="3070">
        <v>25491817.620000001</v>
      </c>
      <c r="DN328" s="3070">
        <v>2764253109</v>
      </c>
      <c r="DP328" s="3070">
        <v>2764253109</v>
      </c>
    </row>
    <row r="329" spans="1:120">
      <c r="A329" s="3070">
        <v>328</v>
      </c>
      <c r="B329" s="3070" t="s">
        <v>3224</v>
      </c>
      <c r="C329" s="3070">
        <v>3</v>
      </c>
      <c r="E329" s="3070">
        <v>602</v>
      </c>
      <c r="F329" s="3070" t="s">
        <v>5963</v>
      </c>
      <c r="G329" s="3070" t="s">
        <v>5964</v>
      </c>
      <c r="H329" s="3070">
        <v>1284684</v>
      </c>
      <c r="I329" s="3070">
        <v>1284684</v>
      </c>
      <c r="J329" s="3070">
        <v>102.67</v>
      </c>
      <c r="K329" s="3070">
        <v>74.61</v>
      </c>
      <c r="L329" s="3070">
        <v>0</v>
      </c>
      <c r="M329" s="3070">
        <v>0</v>
      </c>
      <c r="N329" s="3070">
        <v>15444.44</v>
      </c>
      <c r="O329" s="3070">
        <v>1585681</v>
      </c>
      <c r="P329" s="3070">
        <v>12512.75</v>
      </c>
      <c r="Q329" s="3070">
        <v>1284684</v>
      </c>
      <c r="R329" s="3070" t="s">
        <v>3227</v>
      </c>
      <c r="S329" s="3070" t="s">
        <v>5965</v>
      </c>
      <c r="T329" s="3070" t="s">
        <v>3258</v>
      </c>
      <c r="U329" s="3070" t="s">
        <v>3259</v>
      </c>
      <c r="V329" s="3070" t="s">
        <v>3230</v>
      </c>
      <c r="Y329" s="3070">
        <v>394684</v>
      </c>
      <c r="Z329" s="3070">
        <v>394684</v>
      </c>
      <c r="AA329" s="3070">
        <v>394684</v>
      </c>
      <c r="AB329" s="3070">
        <v>0</v>
      </c>
      <c r="AC329" s="3070">
        <v>890000</v>
      </c>
      <c r="AD329" s="3070">
        <v>890000</v>
      </c>
      <c r="AE329" s="3070">
        <v>0</v>
      </c>
      <c r="AI329" s="3070" t="s">
        <v>3227</v>
      </c>
      <c r="AJ329" s="3070">
        <v>0</v>
      </c>
      <c r="AK329" s="3070">
        <v>0</v>
      </c>
      <c r="AL329" s="3070">
        <v>0</v>
      </c>
      <c r="AM329" s="3070">
        <v>12512.75</v>
      </c>
      <c r="AN329" s="3070">
        <v>1284684</v>
      </c>
      <c r="AP329" s="3070">
        <v>1284684</v>
      </c>
      <c r="AQ329" s="3072">
        <v>45138</v>
      </c>
      <c r="AT329" s="3073">
        <v>45678</v>
      </c>
      <c r="AV329" s="3074">
        <v>3.21E+17</v>
      </c>
      <c r="AW329" s="3070" t="s">
        <v>5966</v>
      </c>
      <c r="AX329" s="3070" t="s">
        <v>5967</v>
      </c>
      <c r="AY329" s="3070" t="s">
        <v>3648</v>
      </c>
      <c r="BC329" s="3070" t="s">
        <v>3263</v>
      </c>
      <c r="BD329" s="3070" t="s">
        <v>3077</v>
      </c>
      <c r="BI329" s="3070" t="s">
        <v>3235</v>
      </c>
      <c r="BJ329" s="3070" t="s">
        <v>3682</v>
      </c>
      <c r="BL329" s="3070" t="s">
        <v>5968</v>
      </c>
      <c r="BM329" s="3075">
        <v>44261</v>
      </c>
      <c r="BN329" s="3070">
        <v>2</v>
      </c>
      <c r="BO329" s="3070" t="s">
        <v>3253</v>
      </c>
      <c r="BP329" s="3070" t="s">
        <v>3253</v>
      </c>
      <c r="BR329" s="3070">
        <v>0</v>
      </c>
      <c r="BS329" s="3070" t="s">
        <v>3238</v>
      </c>
      <c r="BZ329" s="3073">
        <v>44153.88958333333</v>
      </c>
      <c r="CA329" s="3070">
        <v>3</v>
      </c>
      <c r="CD329" s="3070" t="s">
        <v>3239</v>
      </c>
      <c r="CF329" s="3070" t="s">
        <v>3091</v>
      </c>
      <c r="CH329" s="3070" t="s">
        <v>3240</v>
      </c>
      <c r="CI329" s="3070">
        <v>0</v>
      </c>
      <c r="CJ329" s="3070" t="s">
        <v>3259</v>
      </c>
      <c r="CK329" s="3070" t="s">
        <v>3632</v>
      </c>
      <c r="CL329" s="3070" t="s">
        <v>3648</v>
      </c>
      <c r="CM329" s="3070">
        <v>1178609.17</v>
      </c>
      <c r="CV329" s="3070" t="s">
        <v>3258</v>
      </c>
      <c r="CW329" s="3070" t="s">
        <v>5969</v>
      </c>
      <c r="CX329" s="3070" t="s">
        <v>3267</v>
      </c>
      <c r="CZ329" s="3070">
        <v>213894.57</v>
      </c>
      <c r="DA329" s="3070">
        <v>159426.93</v>
      </c>
      <c r="DB329" s="3070">
        <v>0</v>
      </c>
      <c r="DC329" s="3070">
        <v>0</v>
      </c>
      <c r="DD329" s="3070">
        <v>3290547602</v>
      </c>
      <c r="DE329" s="3070">
        <v>2764253109</v>
      </c>
      <c r="DF329" s="3070">
        <v>1464966739</v>
      </c>
      <c r="DG329" s="3070">
        <v>14938370</v>
      </c>
      <c r="DH329" s="3070">
        <v>1284348000</v>
      </c>
      <c r="DI329" s="3070">
        <v>1278128000</v>
      </c>
      <c r="DJ329" s="3070">
        <v>6220000</v>
      </c>
      <c r="DK329" s="3070">
        <v>0</v>
      </c>
      <c r="DL329" s="3070">
        <v>0</v>
      </c>
      <c r="DM329" s="3070">
        <v>25491817.620000001</v>
      </c>
      <c r="DN329" s="3070">
        <v>2764253109</v>
      </c>
      <c r="DP329" s="3070">
        <v>2764253109</v>
      </c>
    </row>
    <row r="330" spans="1:120">
      <c r="A330" s="3070">
        <v>329</v>
      </c>
      <c r="B330" s="3070" t="s">
        <v>3224</v>
      </c>
      <c r="C330" s="3070">
        <v>3</v>
      </c>
      <c r="E330" s="3070">
        <v>603</v>
      </c>
      <c r="F330" s="3070" t="s">
        <v>5970</v>
      </c>
      <c r="G330" s="3070" t="s">
        <v>5971</v>
      </c>
      <c r="H330" s="3070">
        <v>1284684</v>
      </c>
      <c r="I330" s="3070">
        <v>1284684</v>
      </c>
      <c r="J330" s="3070">
        <v>102.67</v>
      </c>
      <c r="K330" s="3070">
        <v>74.61</v>
      </c>
      <c r="L330" s="3070">
        <v>0</v>
      </c>
      <c r="M330" s="3070">
        <v>0</v>
      </c>
      <c r="N330" s="3070">
        <v>15444.44</v>
      </c>
      <c r="O330" s="3070">
        <v>1585681</v>
      </c>
      <c r="P330" s="3070">
        <v>12512.75</v>
      </c>
      <c r="Q330" s="3070">
        <v>1284684</v>
      </c>
      <c r="R330" s="3070" t="s">
        <v>3227</v>
      </c>
      <c r="S330" s="3070" t="s">
        <v>5972</v>
      </c>
      <c r="T330" s="3070" t="s">
        <v>3258</v>
      </c>
      <c r="U330" s="3070" t="s">
        <v>3259</v>
      </c>
      <c r="V330" s="3070" t="s">
        <v>3230</v>
      </c>
      <c r="Y330" s="3070">
        <v>604684</v>
      </c>
      <c r="Z330" s="3070">
        <v>128468</v>
      </c>
      <c r="AA330" s="3070">
        <v>604684</v>
      </c>
      <c r="AB330" s="3070">
        <v>0</v>
      </c>
      <c r="AC330" s="3070">
        <v>680000</v>
      </c>
      <c r="AD330" s="3070">
        <v>680000</v>
      </c>
      <c r="AE330" s="3070">
        <v>0</v>
      </c>
      <c r="AI330" s="3070" t="s">
        <v>3227</v>
      </c>
      <c r="AJ330" s="3070">
        <v>0</v>
      </c>
      <c r="AK330" s="3070">
        <v>0</v>
      </c>
      <c r="AL330" s="3070">
        <v>0</v>
      </c>
      <c r="AM330" s="3070">
        <v>12512.75</v>
      </c>
      <c r="AN330" s="3070">
        <v>1284684</v>
      </c>
      <c r="AP330" s="3070">
        <v>1284684</v>
      </c>
      <c r="AQ330" s="3072">
        <v>45138</v>
      </c>
      <c r="AT330" s="3073">
        <v>45678</v>
      </c>
      <c r="AV330" s="3070" t="s">
        <v>5973</v>
      </c>
      <c r="AW330" s="3070" t="s">
        <v>5974</v>
      </c>
      <c r="AX330" s="3070" t="s">
        <v>5975</v>
      </c>
      <c r="AY330" s="3070" t="s">
        <v>3306</v>
      </c>
      <c r="BC330" s="3070" t="s">
        <v>3263</v>
      </c>
      <c r="BD330" s="3070" t="s">
        <v>3077</v>
      </c>
      <c r="BI330" s="3070" t="s">
        <v>3235</v>
      </c>
      <c r="BL330" s="3070" t="s">
        <v>5976</v>
      </c>
      <c r="BM330" s="3075">
        <v>44261</v>
      </c>
      <c r="BN330" s="3070">
        <v>3</v>
      </c>
      <c r="BO330" s="3070" t="s">
        <v>3253</v>
      </c>
      <c r="BP330" s="3070" t="s">
        <v>3253</v>
      </c>
      <c r="BR330" s="3070">
        <v>654</v>
      </c>
      <c r="BS330" s="3070" t="s">
        <v>3238</v>
      </c>
      <c r="BZ330" s="3073">
        <v>44149.779861111114</v>
      </c>
      <c r="CA330" s="3070">
        <v>3</v>
      </c>
      <c r="CD330" s="3070" t="s">
        <v>3239</v>
      </c>
      <c r="CF330" s="3070" t="s">
        <v>3091</v>
      </c>
      <c r="CH330" s="3070" t="s">
        <v>3240</v>
      </c>
      <c r="CI330" s="3070">
        <v>0</v>
      </c>
      <c r="CJ330" s="3070" t="s">
        <v>3259</v>
      </c>
      <c r="CK330" s="3070" t="s">
        <v>3306</v>
      </c>
      <c r="CL330" s="3070" t="s">
        <v>3306</v>
      </c>
      <c r="CM330" s="3070">
        <v>1178609.17</v>
      </c>
      <c r="CV330" s="3070" t="s">
        <v>3258</v>
      </c>
      <c r="CW330" s="3070" t="s">
        <v>5977</v>
      </c>
      <c r="CX330" s="3070" t="s">
        <v>3242</v>
      </c>
      <c r="CZ330" s="3070">
        <v>213894.57</v>
      </c>
      <c r="DA330" s="3070">
        <v>159426.93</v>
      </c>
      <c r="DB330" s="3070">
        <v>0</v>
      </c>
      <c r="DC330" s="3070">
        <v>0</v>
      </c>
      <c r="DD330" s="3070">
        <v>3290547602</v>
      </c>
      <c r="DE330" s="3070">
        <v>2764253109</v>
      </c>
      <c r="DF330" s="3070">
        <v>1464966739</v>
      </c>
      <c r="DG330" s="3070">
        <v>14938370</v>
      </c>
      <c r="DH330" s="3070">
        <v>1284348000</v>
      </c>
      <c r="DI330" s="3070">
        <v>1278128000</v>
      </c>
      <c r="DJ330" s="3070">
        <v>6220000</v>
      </c>
      <c r="DK330" s="3070">
        <v>0</v>
      </c>
      <c r="DL330" s="3070">
        <v>0</v>
      </c>
      <c r="DM330" s="3070">
        <v>25491817.620000001</v>
      </c>
      <c r="DN330" s="3070">
        <v>2764253109</v>
      </c>
      <c r="DP330" s="3070">
        <v>2764253109</v>
      </c>
    </row>
    <row r="331" spans="1:120">
      <c r="A331" s="3070">
        <v>330</v>
      </c>
      <c r="B331" s="3070" t="s">
        <v>3224</v>
      </c>
      <c r="C331" s="3070">
        <v>3</v>
      </c>
      <c r="E331" s="3070">
        <v>604</v>
      </c>
      <c r="F331" s="3070" t="s">
        <v>5978</v>
      </c>
      <c r="G331" s="3070" t="s">
        <v>5979</v>
      </c>
      <c r="H331" s="3070">
        <v>1399606</v>
      </c>
      <c r="I331" s="3070">
        <v>1399606</v>
      </c>
      <c r="J331" s="3070">
        <v>114.02</v>
      </c>
      <c r="K331" s="3070">
        <v>82.85</v>
      </c>
      <c r="L331" s="3070">
        <v>0</v>
      </c>
      <c r="M331" s="3070">
        <v>0</v>
      </c>
      <c r="N331" s="3070">
        <v>15194.44</v>
      </c>
      <c r="O331" s="3070">
        <v>1732470</v>
      </c>
      <c r="P331" s="3070">
        <v>12275.09</v>
      </c>
      <c r="Q331" s="3070">
        <v>1399606</v>
      </c>
      <c r="R331" s="3070" t="s">
        <v>3227</v>
      </c>
      <c r="S331" s="3070" t="s">
        <v>5980</v>
      </c>
      <c r="T331" s="3070" t="s">
        <v>3258</v>
      </c>
      <c r="U331" s="3070" t="s">
        <v>3259</v>
      </c>
      <c r="V331" s="3070" t="s">
        <v>3230</v>
      </c>
      <c r="Y331" s="3070">
        <v>999606</v>
      </c>
      <c r="Z331" s="3070">
        <v>999606</v>
      </c>
      <c r="AA331" s="3070">
        <v>999606</v>
      </c>
      <c r="AB331" s="3070">
        <v>0</v>
      </c>
      <c r="AC331" s="3070">
        <v>400000</v>
      </c>
      <c r="AD331" s="3070">
        <v>400000</v>
      </c>
      <c r="AE331" s="3070">
        <v>0</v>
      </c>
      <c r="AI331" s="3070" t="s">
        <v>3227</v>
      </c>
      <c r="AJ331" s="3070">
        <v>0</v>
      </c>
      <c r="AK331" s="3070">
        <v>0</v>
      </c>
      <c r="AL331" s="3070">
        <v>0</v>
      </c>
      <c r="AM331" s="3070">
        <v>12275.09</v>
      </c>
      <c r="AN331" s="3070">
        <v>1399606</v>
      </c>
      <c r="AP331" s="3070">
        <v>1399606</v>
      </c>
      <c r="AQ331" s="3072">
        <v>45138</v>
      </c>
      <c r="AT331" s="3073">
        <v>45678</v>
      </c>
      <c r="AV331" s="3070" t="s">
        <v>5981</v>
      </c>
      <c r="AW331" s="3070" t="s">
        <v>5982</v>
      </c>
      <c r="AX331" s="3070" t="s">
        <v>5983</v>
      </c>
      <c r="AY331" s="3070" t="s">
        <v>3393</v>
      </c>
      <c r="BC331" s="3070" t="s">
        <v>3263</v>
      </c>
      <c r="BD331" s="3070" t="s">
        <v>3077</v>
      </c>
      <c r="BI331" s="3070" t="s">
        <v>3235</v>
      </c>
      <c r="BJ331" s="3070" t="s">
        <v>3296</v>
      </c>
      <c r="BL331" s="3070" t="s">
        <v>5984</v>
      </c>
      <c r="BM331" s="3075">
        <v>44261</v>
      </c>
      <c r="BN331" s="3070">
        <v>4</v>
      </c>
      <c r="BO331" s="3070" t="s">
        <v>3253</v>
      </c>
      <c r="BP331" s="3070" t="s">
        <v>3253</v>
      </c>
      <c r="BR331" s="3070">
        <v>461</v>
      </c>
      <c r="BS331" s="3070" t="s">
        <v>3238</v>
      </c>
      <c r="BZ331" s="3073">
        <v>44142.629861111112</v>
      </c>
      <c r="CA331" s="3070">
        <v>3</v>
      </c>
      <c r="CD331" s="3070" t="s">
        <v>3239</v>
      </c>
      <c r="CF331" s="3070" t="s">
        <v>3091</v>
      </c>
      <c r="CH331" s="3070" t="s">
        <v>3240</v>
      </c>
      <c r="CI331" s="3070">
        <v>0</v>
      </c>
      <c r="CJ331" s="3070" t="s">
        <v>3259</v>
      </c>
      <c r="CK331" s="3070" t="s">
        <v>3393</v>
      </c>
      <c r="CL331" s="3070" t="s">
        <v>3393</v>
      </c>
      <c r="CM331" s="3070">
        <v>1284042.2</v>
      </c>
      <c r="CV331" s="3070" t="s">
        <v>3258</v>
      </c>
      <c r="CW331" s="3070" t="s">
        <v>5985</v>
      </c>
      <c r="CZ331" s="3070">
        <v>213894.57</v>
      </c>
      <c r="DA331" s="3070">
        <v>159426.93</v>
      </c>
      <c r="DB331" s="3070">
        <v>0</v>
      </c>
      <c r="DC331" s="3070">
        <v>0</v>
      </c>
      <c r="DD331" s="3070">
        <v>3290547602</v>
      </c>
      <c r="DE331" s="3070">
        <v>2764253109</v>
      </c>
      <c r="DF331" s="3070">
        <v>1464966739</v>
      </c>
      <c r="DG331" s="3070">
        <v>14938370</v>
      </c>
      <c r="DH331" s="3070">
        <v>1284348000</v>
      </c>
      <c r="DI331" s="3070">
        <v>1278128000</v>
      </c>
      <c r="DJ331" s="3070">
        <v>6220000</v>
      </c>
      <c r="DK331" s="3070">
        <v>0</v>
      </c>
      <c r="DL331" s="3070">
        <v>0</v>
      </c>
      <c r="DM331" s="3070">
        <v>25491817.620000001</v>
      </c>
      <c r="DN331" s="3070">
        <v>2764253109</v>
      </c>
      <c r="DP331" s="3070">
        <v>2764253109</v>
      </c>
    </row>
    <row r="332" spans="1:120">
      <c r="A332" s="3070">
        <v>331</v>
      </c>
      <c r="B332" s="3070" t="s">
        <v>3224</v>
      </c>
      <c r="C332" s="3070">
        <v>3</v>
      </c>
      <c r="E332" s="3070">
        <v>701</v>
      </c>
      <c r="F332" s="3070" t="s">
        <v>5986</v>
      </c>
      <c r="G332" s="3070" t="s">
        <v>5987</v>
      </c>
      <c r="H332" s="3070">
        <v>1410445</v>
      </c>
      <c r="I332" s="3070">
        <v>1410445</v>
      </c>
      <c r="J332" s="3070">
        <v>114.02</v>
      </c>
      <c r="K332" s="3070">
        <v>82.85</v>
      </c>
      <c r="L332" s="3070">
        <v>0</v>
      </c>
      <c r="M332" s="3070">
        <v>0</v>
      </c>
      <c r="N332" s="3070">
        <v>15294.44</v>
      </c>
      <c r="O332" s="3070">
        <v>1743872</v>
      </c>
      <c r="P332" s="3070">
        <v>12370.15</v>
      </c>
      <c r="Q332" s="3070">
        <v>1410445</v>
      </c>
      <c r="R332" s="3070" t="s">
        <v>3227</v>
      </c>
      <c r="S332" s="3070" t="s">
        <v>5988</v>
      </c>
      <c r="T332" s="3070" t="s">
        <v>3302</v>
      </c>
      <c r="V332" s="3070" t="s">
        <v>3230</v>
      </c>
      <c r="Y332" s="3070">
        <v>141045</v>
      </c>
      <c r="Z332" s="3070">
        <v>141045</v>
      </c>
      <c r="AA332" s="3070">
        <v>1410445</v>
      </c>
      <c r="AB332" s="3070">
        <v>0</v>
      </c>
      <c r="AC332" s="3070">
        <v>0</v>
      </c>
      <c r="AD332" s="3070">
        <v>0</v>
      </c>
      <c r="AE332" s="3070">
        <v>0</v>
      </c>
      <c r="AI332" s="3070" t="s">
        <v>3227</v>
      </c>
      <c r="AJ332" s="3070">
        <v>0</v>
      </c>
      <c r="AK332" s="3070">
        <v>0</v>
      </c>
      <c r="AL332" s="3070">
        <v>0</v>
      </c>
      <c r="AM332" s="3070">
        <v>12370.15</v>
      </c>
      <c r="AN332" s="3070">
        <v>1410445</v>
      </c>
      <c r="AP332" s="3070">
        <v>1410445</v>
      </c>
      <c r="AQ332" s="3072">
        <v>45138</v>
      </c>
      <c r="AT332" s="3073">
        <v>45678</v>
      </c>
      <c r="AV332" s="3070" t="s">
        <v>5989</v>
      </c>
      <c r="AW332" s="3070" t="s">
        <v>5990</v>
      </c>
      <c r="AX332" s="3070" t="s">
        <v>5991</v>
      </c>
      <c r="AY332" s="3070" t="s">
        <v>3722</v>
      </c>
      <c r="BC332" s="3070" t="s">
        <v>3307</v>
      </c>
      <c r="BD332" s="3070" t="s">
        <v>3077</v>
      </c>
      <c r="BI332" s="3070" t="s">
        <v>3235</v>
      </c>
      <c r="BJ332" s="3070" t="s">
        <v>3338</v>
      </c>
      <c r="BL332" s="3070" t="s">
        <v>5992</v>
      </c>
      <c r="BM332" s="3075">
        <v>44262</v>
      </c>
      <c r="BN332" s="3070">
        <v>1</v>
      </c>
      <c r="BR332" s="3070">
        <v>171</v>
      </c>
      <c r="BS332" s="3070" t="s">
        <v>3238</v>
      </c>
      <c r="BZ332" s="3073">
        <v>44142.622916666667</v>
      </c>
      <c r="CA332" s="3070">
        <v>3</v>
      </c>
      <c r="CD332" s="3070" t="s">
        <v>3239</v>
      </c>
      <c r="CF332" s="3070" t="s">
        <v>3091</v>
      </c>
      <c r="CH332" s="3070" t="s">
        <v>3240</v>
      </c>
      <c r="CI332" s="3070">
        <v>0</v>
      </c>
      <c r="CK332" s="3070" t="s">
        <v>3722</v>
      </c>
      <c r="CL332" s="3070" t="s">
        <v>3722</v>
      </c>
      <c r="CM332" s="3070">
        <v>1293986.24</v>
      </c>
      <c r="CV332" s="3070" t="s">
        <v>3309</v>
      </c>
      <c r="CW332" s="3070" t="s">
        <v>5993</v>
      </c>
      <c r="CZ332" s="3070">
        <v>213894.57</v>
      </c>
      <c r="DA332" s="3070">
        <v>159426.93</v>
      </c>
      <c r="DB332" s="3070">
        <v>0</v>
      </c>
      <c r="DC332" s="3070">
        <v>0</v>
      </c>
      <c r="DD332" s="3070">
        <v>3290547602</v>
      </c>
      <c r="DE332" s="3070">
        <v>2764253109</v>
      </c>
      <c r="DF332" s="3070">
        <v>1464966739</v>
      </c>
      <c r="DG332" s="3070">
        <v>14938370</v>
      </c>
      <c r="DH332" s="3070">
        <v>1284348000</v>
      </c>
      <c r="DI332" s="3070">
        <v>1278128000</v>
      </c>
      <c r="DJ332" s="3070">
        <v>6220000</v>
      </c>
      <c r="DK332" s="3070">
        <v>0</v>
      </c>
      <c r="DL332" s="3070">
        <v>0</v>
      </c>
      <c r="DM332" s="3070">
        <v>25491817.620000001</v>
      </c>
      <c r="DN332" s="3070">
        <v>2764253109</v>
      </c>
      <c r="DP332" s="3070">
        <v>2764253109</v>
      </c>
    </row>
    <row r="333" spans="1:120">
      <c r="A333" s="3070">
        <v>332</v>
      </c>
      <c r="B333" s="3070" t="s">
        <v>3224</v>
      </c>
      <c r="C333" s="3070">
        <v>3</v>
      </c>
      <c r="E333" s="3070">
        <v>702</v>
      </c>
      <c r="F333" s="3070" t="s">
        <v>5994</v>
      </c>
      <c r="G333" s="3070" t="s">
        <v>5995</v>
      </c>
      <c r="H333" s="3070">
        <v>1289564</v>
      </c>
      <c r="I333" s="3070">
        <v>1289564</v>
      </c>
      <c r="J333" s="3070">
        <v>102.67</v>
      </c>
      <c r="K333" s="3070">
        <v>74.61</v>
      </c>
      <c r="L333" s="3070">
        <v>0</v>
      </c>
      <c r="M333" s="3070">
        <v>0</v>
      </c>
      <c r="N333" s="3070">
        <v>15494.44</v>
      </c>
      <c r="O333" s="3070">
        <v>1590814</v>
      </c>
      <c r="P333" s="3070">
        <v>12560.28</v>
      </c>
      <c r="Q333" s="3070">
        <v>1289564</v>
      </c>
      <c r="R333" s="3070" t="s">
        <v>3227</v>
      </c>
      <c r="S333" s="3070" t="s">
        <v>5996</v>
      </c>
      <c r="T333" s="3070" t="s">
        <v>3246</v>
      </c>
      <c r="U333" s="3070" t="s">
        <v>3539</v>
      </c>
      <c r="V333" s="3070" t="s">
        <v>3230</v>
      </c>
      <c r="Y333" s="3070">
        <v>519564</v>
      </c>
      <c r="Z333" s="3070">
        <v>519564</v>
      </c>
      <c r="AA333" s="3070">
        <v>519564</v>
      </c>
      <c r="AB333" s="3070">
        <v>0</v>
      </c>
      <c r="AC333" s="3070">
        <v>770000</v>
      </c>
      <c r="AD333" s="3070">
        <v>770000</v>
      </c>
      <c r="AE333" s="3070">
        <v>0</v>
      </c>
      <c r="AI333" s="3070" t="s">
        <v>3227</v>
      </c>
      <c r="AJ333" s="3070">
        <v>0</v>
      </c>
      <c r="AK333" s="3070">
        <v>0</v>
      </c>
      <c r="AL333" s="3070">
        <v>0</v>
      </c>
      <c r="AM333" s="3070">
        <v>12560.28</v>
      </c>
      <c r="AN333" s="3070">
        <v>1289564</v>
      </c>
      <c r="AP333" s="3070">
        <v>1289564</v>
      </c>
      <c r="AQ333" s="3072">
        <v>45138</v>
      </c>
      <c r="AT333" s="3073">
        <v>45678</v>
      </c>
      <c r="AV333" s="3070" t="s">
        <v>5997</v>
      </c>
      <c r="AW333" s="3070" t="s">
        <v>5998</v>
      </c>
      <c r="AX333" s="3070" t="s">
        <v>5999</v>
      </c>
      <c r="AY333" s="3070" t="s">
        <v>3681</v>
      </c>
      <c r="BC333" s="3070" t="s">
        <v>3284</v>
      </c>
      <c r="BD333" s="3070" t="s">
        <v>3077</v>
      </c>
      <c r="BI333" s="3070" t="s">
        <v>3235</v>
      </c>
      <c r="BJ333" s="3070" t="s">
        <v>3338</v>
      </c>
      <c r="BL333" s="3070" t="s">
        <v>6000</v>
      </c>
      <c r="BM333" s="3075">
        <v>44262</v>
      </c>
      <c r="BN333" s="3070">
        <v>2</v>
      </c>
      <c r="BO333" s="3070" t="s">
        <v>3253</v>
      </c>
      <c r="BR333" s="3070">
        <v>329</v>
      </c>
      <c r="BS333" s="3070" t="s">
        <v>3238</v>
      </c>
      <c r="BZ333" s="3073">
        <v>44142.602083333331</v>
      </c>
      <c r="CA333" s="3070">
        <v>3</v>
      </c>
      <c r="CD333" s="3070" t="s">
        <v>3239</v>
      </c>
      <c r="CF333" s="3070" t="s">
        <v>3091</v>
      </c>
      <c r="CH333" s="3070" t="s">
        <v>3240</v>
      </c>
      <c r="CI333" s="3070">
        <v>0</v>
      </c>
      <c r="CK333" s="3070" t="s">
        <v>3681</v>
      </c>
      <c r="CL333" s="3070" t="s">
        <v>3681</v>
      </c>
      <c r="CM333" s="3070">
        <v>1183086.24</v>
      </c>
      <c r="CV333" s="3070" t="s">
        <v>3246</v>
      </c>
      <c r="CW333" s="3070" t="s">
        <v>6001</v>
      </c>
      <c r="CZ333" s="3070">
        <v>213894.57</v>
      </c>
      <c r="DA333" s="3070">
        <v>159426.93</v>
      </c>
      <c r="DB333" s="3070">
        <v>0</v>
      </c>
      <c r="DC333" s="3070">
        <v>0</v>
      </c>
      <c r="DD333" s="3070">
        <v>3290547602</v>
      </c>
      <c r="DE333" s="3070">
        <v>2764253109</v>
      </c>
      <c r="DF333" s="3070">
        <v>1464966739</v>
      </c>
      <c r="DG333" s="3070">
        <v>14938370</v>
      </c>
      <c r="DH333" s="3070">
        <v>1284348000</v>
      </c>
      <c r="DI333" s="3070">
        <v>1278128000</v>
      </c>
      <c r="DJ333" s="3070">
        <v>6220000</v>
      </c>
      <c r="DK333" s="3070">
        <v>0</v>
      </c>
      <c r="DL333" s="3070">
        <v>0</v>
      </c>
      <c r="DM333" s="3070">
        <v>25491817.620000001</v>
      </c>
      <c r="DN333" s="3070">
        <v>2764253109</v>
      </c>
      <c r="DP333" s="3070">
        <v>2764253109</v>
      </c>
    </row>
    <row r="334" spans="1:120">
      <c r="A334" s="3070">
        <v>333</v>
      </c>
      <c r="B334" s="3070" t="s">
        <v>3224</v>
      </c>
      <c r="C334" s="3070">
        <v>3</v>
      </c>
      <c r="E334" s="3070">
        <v>703</v>
      </c>
      <c r="F334" s="3070" t="s">
        <v>6002</v>
      </c>
      <c r="G334" s="3070" t="s">
        <v>6003</v>
      </c>
      <c r="H334" s="3070">
        <v>1289564</v>
      </c>
      <c r="I334" s="3070">
        <v>1289564</v>
      </c>
      <c r="J334" s="3070">
        <v>102.67</v>
      </c>
      <c r="K334" s="3070">
        <v>74.61</v>
      </c>
      <c r="L334" s="3070">
        <v>0</v>
      </c>
      <c r="M334" s="3070">
        <v>0</v>
      </c>
      <c r="N334" s="3070">
        <v>15494.44</v>
      </c>
      <c r="O334" s="3070">
        <v>1590814</v>
      </c>
      <c r="P334" s="3070">
        <v>12560.28</v>
      </c>
      <c r="Q334" s="3070">
        <v>1289564</v>
      </c>
      <c r="R334" s="3070" t="s">
        <v>3227</v>
      </c>
      <c r="S334" s="3070" t="s">
        <v>6004</v>
      </c>
      <c r="T334" s="3070" t="s">
        <v>3246</v>
      </c>
      <c r="U334" s="3070" t="s">
        <v>3247</v>
      </c>
      <c r="V334" s="3070" t="s">
        <v>3230</v>
      </c>
      <c r="Y334" s="3070">
        <v>939564</v>
      </c>
      <c r="Z334" s="3070">
        <v>939564</v>
      </c>
      <c r="AA334" s="3070">
        <v>939564</v>
      </c>
      <c r="AB334" s="3070">
        <v>0</v>
      </c>
      <c r="AC334" s="3070">
        <v>350000</v>
      </c>
      <c r="AD334" s="3070">
        <v>350000</v>
      </c>
      <c r="AE334" s="3070">
        <v>0</v>
      </c>
      <c r="AI334" s="3070" t="s">
        <v>3227</v>
      </c>
      <c r="AJ334" s="3070">
        <v>0</v>
      </c>
      <c r="AK334" s="3070">
        <v>0</v>
      </c>
      <c r="AL334" s="3070">
        <v>0</v>
      </c>
      <c r="AM334" s="3070">
        <v>12560.28</v>
      </c>
      <c r="AN334" s="3070">
        <v>1289564</v>
      </c>
      <c r="AP334" s="3070">
        <v>1289564</v>
      </c>
      <c r="AQ334" s="3072">
        <v>45138</v>
      </c>
      <c r="AT334" s="3073">
        <v>45678</v>
      </c>
      <c r="AV334" s="3070" t="s">
        <v>6005</v>
      </c>
      <c r="AW334" s="3070" t="s">
        <v>6006</v>
      </c>
      <c r="AX334" s="3070" t="s">
        <v>6007</v>
      </c>
      <c r="AY334" s="3070" t="s">
        <v>3722</v>
      </c>
      <c r="BC334" s="3070" t="s">
        <v>3284</v>
      </c>
      <c r="BD334" s="3070" t="s">
        <v>3077</v>
      </c>
      <c r="BI334" s="3070" t="s">
        <v>3235</v>
      </c>
      <c r="BJ334" s="3070" t="s">
        <v>3338</v>
      </c>
      <c r="BL334" s="3070" t="s">
        <v>6008</v>
      </c>
      <c r="BM334" s="3075">
        <v>44262</v>
      </c>
      <c r="BN334" s="3070">
        <v>3</v>
      </c>
      <c r="BO334" s="3070" t="s">
        <v>3253</v>
      </c>
      <c r="BR334" s="3070">
        <v>430</v>
      </c>
      <c r="BS334" s="3070" t="s">
        <v>3238</v>
      </c>
      <c r="BZ334" s="3073">
        <v>44142.613888888889</v>
      </c>
      <c r="CA334" s="3070">
        <v>3</v>
      </c>
      <c r="CD334" s="3070" t="s">
        <v>3239</v>
      </c>
      <c r="CF334" s="3070" t="s">
        <v>3091</v>
      </c>
      <c r="CH334" s="3070" t="s">
        <v>3240</v>
      </c>
      <c r="CI334" s="3070">
        <v>0</v>
      </c>
      <c r="CK334" s="3070" t="s">
        <v>3722</v>
      </c>
      <c r="CL334" s="3070" t="s">
        <v>3722</v>
      </c>
      <c r="CM334" s="3070">
        <v>1183086.24</v>
      </c>
      <c r="CV334" s="3070" t="s">
        <v>3246</v>
      </c>
      <c r="CW334" s="3070" t="s">
        <v>6009</v>
      </c>
      <c r="CZ334" s="3070">
        <v>213894.57</v>
      </c>
      <c r="DA334" s="3070">
        <v>159426.93</v>
      </c>
      <c r="DB334" s="3070">
        <v>0</v>
      </c>
      <c r="DC334" s="3070">
        <v>0</v>
      </c>
      <c r="DD334" s="3070">
        <v>3290547602</v>
      </c>
      <c r="DE334" s="3070">
        <v>2764253109</v>
      </c>
      <c r="DF334" s="3070">
        <v>1464966739</v>
      </c>
      <c r="DG334" s="3070">
        <v>14938370</v>
      </c>
      <c r="DH334" s="3070">
        <v>1284348000</v>
      </c>
      <c r="DI334" s="3070">
        <v>1278128000</v>
      </c>
      <c r="DJ334" s="3070">
        <v>6220000</v>
      </c>
      <c r="DK334" s="3070">
        <v>0</v>
      </c>
      <c r="DL334" s="3070">
        <v>0</v>
      </c>
      <c r="DM334" s="3070">
        <v>25491817.620000001</v>
      </c>
      <c r="DN334" s="3070">
        <v>2764253109</v>
      </c>
      <c r="DP334" s="3070">
        <v>2764253109</v>
      </c>
    </row>
    <row r="335" spans="1:120">
      <c r="A335" s="3070">
        <v>334</v>
      </c>
      <c r="B335" s="3070" t="s">
        <v>3224</v>
      </c>
      <c r="C335" s="3070">
        <v>3</v>
      </c>
      <c r="E335" s="3070">
        <v>704</v>
      </c>
      <c r="F335" s="3070" t="s">
        <v>6010</v>
      </c>
      <c r="G335" s="3070" t="s">
        <v>6011</v>
      </c>
      <c r="H335" s="3070">
        <v>1405026</v>
      </c>
      <c r="I335" s="3070">
        <v>1405026</v>
      </c>
      <c r="J335" s="3070">
        <v>114.02</v>
      </c>
      <c r="K335" s="3070">
        <v>82.85</v>
      </c>
      <c r="L335" s="3070">
        <v>0</v>
      </c>
      <c r="M335" s="3070">
        <v>0</v>
      </c>
      <c r="N335" s="3070">
        <v>15244.44</v>
      </c>
      <c r="O335" s="3070">
        <v>1738171</v>
      </c>
      <c r="P335" s="3070">
        <v>12322.63</v>
      </c>
      <c r="Q335" s="3070">
        <v>1405026</v>
      </c>
      <c r="R335" s="3070" t="s">
        <v>3227</v>
      </c>
      <c r="S335" s="3070" t="s">
        <v>6012</v>
      </c>
      <c r="T335" s="3070" t="s">
        <v>3258</v>
      </c>
      <c r="U335" s="3070" t="s">
        <v>3259</v>
      </c>
      <c r="V335" s="3070" t="s">
        <v>3230</v>
      </c>
      <c r="Y335" s="3070">
        <v>695026</v>
      </c>
      <c r="Z335" s="3070">
        <v>695026</v>
      </c>
      <c r="AA335" s="3070">
        <v>695026</v>
      </c>
      <c r="AB335" s="3070">
        <v>0</v>
      </c>
      <c r="AC335" s="3070">
        <v>710000</v>
      </c>
      <c r="AD335" s="3070">
        <v>710000</v>
      </c>
      <c r="AE335" s="3070">
        <v>0</v>
      </c>
      <c r="AI335" s="3070" t="s">
        <v>3227</v>
      </c>
      <c r="AJ335" s="3070">
        <v>0</v>
      </c>
      <c r="AK335" s="3070">
        <v>0</v>
      </c>
      <c r="AL335" s="3070">
        <v>0</v>
      </c>
      <c r="AM335" s="3070">
        <v>12322.63</v>
      </c>
      <c r="AN335" s="3070">
        <v>1405026</v>
      </c>
      <c r="AP335" s="3070">
        <v>1405026</v>
      </c>
      <c r="AQ335" s="3072">
        <v>45138</v>
      </c>
      <c r="AT335" s="3073">
        <v>45678</v>
      </c>
      <c r="AV335" s="3070" t="s">
        <v>6013</v>
      </c>
      <c r="AW335" s="3070" t="s">
        <v>6014</v>
      </c>
      <c r="AX335" s="3070" t="s">
        <v>6015</v>
      </c>
      <c r="AY335" s="3070" t="s">
        <v>3632</v>
      </c>
      <c r="BC335" s="3070" t="s">
        <v>3263</v>
      </c>
      <c r="BD335" s="3070" t="s">
        <v>3077</v>
      </c>
      <c r="BI335" s="3070" t="s">
        <v>3295</v>
      </c>
      <c r="BJ335" s="3070" t="s">
        <v>6016</v>
      </c>
      <c r="BL335" s="3070" t="s">
        <v>6017</v>
      </c>
      <c r="BM335" s="3075">
        <v>44262</v>
      </c>
      <c r="BN335" s="3070">
        <v>4</v>
      </c>
      <c r="BO335" s="3070" t="s">
        <v>3253</v>
      </c>
      <c r="BP335" s="3070" t="s">
        <v>3253</v>
      </c>
      <c r="BR335" s="3070">
        <v>318</v>
      </c>
      <c r="BS335" s="3070" t="s">
        <v>3238</v>
      </c>
      <c r="BZ335" s="3073">
        <v>44142.643750000003</v>
      </c>
      <c r="CA335" s="3070">
        <v>3</v>
      </c>
      <c r="CD335" s="3070" t="s">
        <v>3239</v>
      </c>
      <c r="CF335" s="3070" t="s">
        <v>3091</v>
      </c>
      <c r="CH335" s="3070" t="s">
        <v>3240</v>
      </c>
      <c r="CI335" s="3070">
        <v>0</v>
      </c>
      <c r="CJ335" s="3070" t="s">
        <v>3259</v>
      </c>
      <c r="CK335" s="3070" t="s">
        <v>3632</v>
      </c>
      <c r="CL335" s="3070" t="s">
        <v>3632</v>
      </c>
      <c r="CM335" s="3070">
        <v>1289014.68</v>
      </c>
      <c r="CV335" s="3070" t="s">
        <v>3258</v>
      </c>
      <c r="CW335" s="3070" t="s">
        <v>6018</v>
      </c>
      <c r="CZ335" s="3070">
        <v>213894.57</v>
      </c>
      <c r="DA335" s="3070">
        <v>159426.93</v>
      </c>
      <c r="DB335" s="3070">
        <v>0</v>
      </c>
      <c r="DC335" s="3070">
        <v>0</v>
      </c>
      <c r="DD335" s="3070">
        <v>3290547602</v>
      </c>
      <c r="DE335" s="3070">
        <v>2764253109</v>
      </c>
      <c r="DF335" s="3070">
        <v>1464966739</v>
      </c>
      <c r="DG335" s="3070">
        <v>14938370</v>
      </c>
      <c r="DH335" s="3070">
        <v>1284348000</v>
      </c>
      <c r="DI335" s="3070">
        <v>1278128000</v>
      </c>
      <c r="DJ335" s="3070">
        <v>6220000</v>
      </c>
      <c r="DK335" s="3070">
        <v>0</v>
      </c>
      <c r="DL335" s="3070">
        <v>0</v>
      </c>
      <c r="DM335" s="3070">
        <v>25491817.620000001</v>
      </c>
      <c r="DN335" s="3070">
        <v>2764253109</v>
      </c>
      <c r="DP335" s="3070">
        <v>2764253109</v>
      </c>
    </row>
    <row r="336" spans="1:120">
      <c r="A336" s="3070">
        <v>335</v>
      </c>
      <c r="B336" s="3070" t="s">
        <v>3224</v>
      </c>
      <c r="C336" s="3070">
        <v>3</v>
      </c>
      <c r="E336" s="3070">
        <v>801</v>
      </c>
      <c r="F336" s="3070" t="s">
        <v>6019</v>
      </c>
      <c r="G336" s="3070" t="s">
        <v>6020</v>
      </c>
      <c r="H336" s="3070">
        <v>1415865</v>
      </c>
      <c r="I336" s="3070">
        <v>1415865</v>
      </c>
      <c r="J336" s="3070">
        <v>114.02</v>
      </c>
      <c r="K336" s="3070">
        <v>82.85</v>
      </c>
      <c r="L336" s="3070">
        <v>0</v>
      </c>
      <c r="M336" s="3070">
        <v>0</v>
      </c>
      <c r="N336" s="3070">
        <v>15344.44</v>
      </c>
      <c r="O336" s="3070">
        <v>1749573</v>
      </c>
      <c r="P336" s="3070">
        <v>12417.69</v>
      </c>
      <c r="Q336" s="3070">
        <v>1415865</v>
      </c>
      <c r="R336" s="3070" t="s">
        <v>3227</v>
      </c>
      <c r="S336" s="3070" t="s">
        <v>6021</v>
      </c>
      <c r="T336" s="3070" t="s">
        <v>3258</v>
      </c>
      <c r="U336" s="3070" t="s">
        <v>3259</v>
      </c>
      <c r="V336" s="3070" t="s">
        <v>3230</v>
      </c>
      <c r="Y336" s="3070">
        <v>755865</v>
      </c>
      <c r="Z336" s="3070">
        <v>755865</v>
      </c>
      <c r="AA336" s="3070">
        <v>755865</v>
      </c>
      <c r="AB336" s="3070">
        <v>0</v>
      </c>
      <c r="AC336" s="3070">
        <v>660000</v>
      </c>
      <c r="AD336" s="3070">
        <v>660000</v>
      </c>
      <c r="AE336" s="3070">
        <v>0</v>
      </c>
      <c r="AI336" s="3070" t="s">
        <v>3227</v>
      </c>
      <c r="AJ336" s="3070">
        <v>0</v>
      </c>
      <c r="AK336" s="3070">
        <v>0</v>
      </c>
      <c r="AL336" s="3070">
        <v>0</v>
      </c>
      <c r="AM336" s="3070">
        <v>12417.69</v>
      </c>
      <c r="AN336" s="3070">
        <v>1415865</v>
      </c>
      <c r="AP336" s="3070">
        <v>1415865</v>
      </c>
      <c r="AQ336" s="3072">
        <v>45138</v>
      </c>
      <c r="AT336" s="3073">
        <v>45678</v>
      </c>
      <c r="AV336" s="3074">
        <v>3.21E+17</v>
      </c>
      <c r="AW336" s="3070" t="s">
        <v>6022</v>
      </c>
      <c r="AX336" s="3070" t="s">
        <v>6023</v>
      </c>
      <c r="AY336" s="3070" t="s">
        <v>3597</v>
      </c>
      <c r="BC336" s="3070" t="s">
        <v>3263</v>
      </c>
      <c r="BD336" s="3070" t="s">
        <v>3077</v>
      </c>
      <c r="BI336" s="3070" t="s">
        <v>3295</v>
      </c>
      <c r="BJ336" s="3070" t="s">
        <v>3338</v>
      </c>
      <c r="BL336" s="3070" t="s">
        <v>6024</v>
      </c>
      <c r="BM336" s="3075">
        <v>44263</v>
      </c>
      <c r="BN336" s="3070">
        <v>1</v>
      </c>
      <c r="BO336" s="3070" t="s">
        <v>3253</v>
      </c>
      <c r="BP336" s="3070" t="s">
        <v>3253</v>
      </c>
      <c r="BR336" s="3070">
        <v>278</v>
      </c>
      <c r="BS336" s="3070" t="s">
        <v>3238</v>
      </c>
      <c r="BZ336" s="3073">
        <v>44142.618055555555</v>
      </c>
      <c r="CA336" s="3070">
        <v>3</v>
      </c>
      <c r="CD336" s="3070" t="s">
        <v>3239</v>
      </c>
      <c r="CF336" s="3070" t="s">
        <v>3091</v>
      </c>
      <c r="CH336" s="3070" t="s">
        <v>3240</v>
      </c>
      <c r="CI336" s="3070">
        <v>0</v>
      </c>
      <c r="CJ336" s="3070" t="s">
        <v>3259</v>
      </c>
      <c r="CK336" s="3070" t="s">
        <v>3597</v>
      </c>
      <c r="CL336" s="3070" t="s">
        <v>3597</v>
      </c>
      <c r="CM336" s="3070">
        <v>1298958.7</v>
      </c>
      <c r="CV336" s="3070" t="s">
        <v>3258</v>
      </c>
      <c r="CW336" s="3070" t="s">
        <v>6025</v>
      </c>
      <c r="CZ336" s="3070">
        <v>213894.57</v>
      </c>
      <c r="DA336" s="3070">
        <v>159426.93</v>
      </c>
      <c r="DB336" s="3070">
        <v>0</v>
      </c>
      <c r="DC336" s="3070">
        <v>0</v>
      </c>
      <c r="DD336" s="3070">
        <v>3290547602</v>
      </c>
      <c r="DE336" s="3070">
        <v>2764253109</v>
      </c>
      <c r="DF336" s="3070">
        <v>1464966739</v>
      </c>
      <c r="DG336" s="3070">
        <v>14938370</v>
      </c>
      <c r="DH336" s="3070">
        <v>1284348000</v>
      </c>
      <c r="DI336" s="3070">
        <v>1278128000</v>
      </c>
      <c r="DJ336" s="3070">
        <v>6220000</v>
      </c>
      <c r="DK336" s="3070">
        <v>0</v>
      </c>
      <c r="DL336" s="3070">
        <v>0</v>
      </c>
      <c r="DM336" s="3070">
        <v>25491817.620000001</v>
      </c>
      <c r="DN336" s="3070">
        <v>2764253109</v>
      </c>
      <c r="DP336" s="3070">
        <v>2764253109</v>
      </c>
    </row>
    <row r="337" spans="1:120">
      <c r="A337" s="3070">
        <v>336</v>
      </c>
      <c r="B337" s="3070" t="s">
        <v>3224</v>
      </c>
      <c r="C337" s="3070">
        <v>3</v>
      </c>
      <c r="E337" s="3070">
        <v>802</v>
      </c>
      <c r="F337" s="3070" t="s">
        <v>6026</v>
      </c>
      <c r="G337" s="3070" t="s">
        <v>6027</v>
      </c>
      <c r="H337" s="3070">
        <v>1294443</v>
      </c>
      <c r="I337" s="3070">
        <v>1294443</v>
      </c>
      <c r="J337" s="3070">
        <v>102.67</v>
      </c>
      <c r="K337" s="3070">
        <v>74.61</v>
      </c>
      <c r="L337" s="3070">
        <v>0</v>
      </c>
      <c r="M337" s="3070">
        <v>0</v>
      </c>
      <c r="N337" s="3070">
        <v>15544.44</v>
      </c>
      <c r="O337" s="3070">
        <v>1595948</v>
      </c>
      <c r="P337" s="3070">
        <v>12607.8</v>
      </c>
      <c r="Q337" s="3070">
        <v>1294443</v>
      </c>
      <c r="R337" s="3070" t="s">
        <v>3227</v>
      </c>
      <c r="S337" s="3070" t="s">
        <v>6028</v>
      </c>
      <c r="T337" s="3070" t="s">
        <v>3246</v>
      </c>
      <c r="U337" s="3070" t="s">
        <v>3259</v>
      </c>
      <c r="V337" s="3070" t="s">
        <v>3230</v>
      </c>
      <c r="Y337" s="3070">
        <v>994443</v>
      </c>
      <c r="Z337" s="3070">
        <v>994443</v>
      </c>
      <c r="AA337" s="3070">
        <v>994443</v>
      </c>
      <c r="AB337" s="3070">
        <v>0</v>
      </c>
      <c r="AC337" s="3070">
        <v>300000</v>
      </c>
      <c r="AD337" s="3070">
        <v>300000</v>
      </c>
      <c r="AE337" s="3070">
        <v>0</v>
      </c>
      <c r="AI337" s="3070" t="s">
        <v>3227</v>
      </c>
      <c r="AJ337" s="3070">
        <v>0</v>
      </c>
      <c r="AK337" s="3070">
        <v>0</v>
      </c>
      <c r="AL337" s="3070">
        <v>0</v>
      </c>
      <c r="AM337" s="3070">
        <v>12607.8</v>
      </c>
      <c r="AN337" s="3070">
        <v>1294443</v>
      </c>
      <c r="AP337" s="3070">
        <v>1294443</v>
      </c>
      <c r="AQ337" s="3072">
        <v>45138</v>
      </c>
      <c r="AT337" s="3073">
        <v>45678</v>
      </c>
      <c r="AV337" s="3070" t="s">
        <v>6029</v>
      </c>
      <c r="AW337" s="3070" t="s">
        <v>6030</v>
      </c>
      <c r="AX337" s="3070" t="s">
        <v>6031</v>
      </c>
      <c r="AY337" s="3070" t="s">
        <v>3722</v>
      </c>
      <c r="BC337" s="3070" t="s">
        <v>3284</v>
      </c>
      <c r="BD337" s="3070" t="s">
        <v>3077</v>
      </c>
      <c r="BI337" s="3070" t="s">
        <v>3235</v>
      </c>
      <c r="BJ337" s="3070" t="s">
        <v>3236</v>
      </c>
      <c r="BL337" s="3070" t="s">
        <v>6032</v>
      </c>
      <c r="BM337" s="3075">
        <v>44263</v>
      </c>
      <c r="BN337" s="3070">
        <v>2</v>
      </c>
      <c r="BO337" s="3070" t="s">
        <v>3253</v>
      </c>
      <c r="BR337" s="3070">
        <v>291</v>
      </c>
      <c r="BS337" s="3070" t="s">
        <v>3238</v>
      </c>
      <c r="BZ337" s="3073">
        <v>44142.597222222219</v>
      </c>
      <c r="CA337" s="3070">
        <v>3</v>
      </c>
      <c r="CD337" s="3070" t="s">
        <v>3239</v>
      </c>
      <c r="CF337" s="3070" t="s">
        <v>3091</v>
      </c>
      <c r="CH337" s="3070" t="s">
        <v>3240</v>
      </c>
      <c r="CI337" s="3070">
        <v>0</v>
      </c>
      <c r="CK337" s="3070" t="s">
        <v>3722</v>
      </c>
      <c r="CL337" s="3070" t="s">
        <v>3722</v>
      </c>
      <c r="CM337" s="3070">
        <v>1187562.3899999999</v>
      </c>
      <c r="CV337" s="3070" t="s">
        <v>3246</v>
      </c>
      <c r="CW337" s="3070" t="s">
        <v>6033</v>
      </c>
      <c r="CX337" s="3070" t="s">
        <v>3267</v>
      </c>
      <c r="CZ337" s="3070">
        <v>213894.57</v>
      </c>
      <c r="DA337" s="3070">
        <v>159426.93</v>
      </c>
      <c r="DB337" s="3070">
        <v>0</v>
      </c>
      <c r="DC337" s="3070">
        <v>0</v>
      </c>
      <c r="DD337" s="3070">
        <v>3290547602</v>
      </c>
      <c r="DE337" s="3070">
        <v>2764253109</v>
      </c>
      <c r="DF337" s="3070">
        <v>1464966739</v>
      </c>
      <c r="DG337" s="3070">
        <v>14938370</v>
      </c>
      <c r="DH337" s="3070">
        <v>1284348000</v>
      </c>
      <c r="DI337" s="3070">
        <v>1278128000</v>
      </c>
      <c r="DJ337" s="3070">
        <v>6220000</v>
      </c>
      <c r="DK337" s="3070">
        <v>0</v>
      </c>
      <c r="DL337" s="3070">
        <v>0</v>
      </c>
      <c r="DM337" s="3070">
        <v>25491817.620000001</v>
      </c>
      <c r="DN337" s="3070">
        <v>2764253109</v>
      </c>
      <c r="DP337" s="3070">
        <v>2764253109</v>
      </c>
    </row>
    <row r="338" spans="1:120">
      <c r="A338" s="3070">
        <v>337</v>
      </c>
      <c r="B338" s="3070" t="s">
        <v>3224</v>
      </c>
      <c r="C338" s="3070">
        <v>3</v>
      </c>
      <c r="E338" s="3070">
        <v>803</v>
      </c>
      <c r="F338" s="3070" t="s">
        <v>6034</v>
      </c>
      <c r="G338" s="3070" t="s">
        <v>6035</v>
      </c>
      <c r="H338" s="3070">
        <v>1294443</v>
      </c>
      <c r="I338" s="3070">
        <v>1294443</v>
      </c>
      <c r="J338" s="3070">
        <v>102.67</v>
      </c>
      <c r="K338" s="3070">
        <v>74.61</v>
      </c>
      <c r="L338" s="3070">
        <v>0</v>
      </c>
      <c r="M338" s="3070">
        <v>0</v>
      </c>
      <c r="N338" s="3070">
        <v>15544.44</v>
      </c>
      <c r="O338" s="3070">
        <v>1595948</v>
      </c>
      <c r="P338" s="3070">
        <v>12607.8</v>
      </c>
      <c r="Q338" s="3070">
        <v>1294443</v>
      </c>
      <c r="R338" s="3070" t="s">
        <v>3227</v>
      </c>
      <c r="S338" s="3070" t="s">
        <v>6036</v>
      </c>
      <c r="T338" s="3070" t="s">
        <v>3246</v>
      </c>
      <c r="U338" s="3070" t="s">
        <v>3279</v>
      </c>
      <c r="V338" s="3070" t="s">
        <v>3230</v>
      </c>
      <c r="Y338" s="3070">
        <v>394443</v>
      </c>
      <c r="Z338" s="3070">
        <v>394443</v>
      </c>
      <c r="AA338" s="3070">
        <v>394443</v>
      </c>
      <c r="AB338" s="3070">
        <v>0</v>
      </c>
      <c r="AC338" s="3070">
        <v>900000</v>
      </c>
      <c r="AD338" s="3070">
        <v>900000</v>
      </c>
      <c r="AE338" s="3070">
        <v>0</v>
      </c>
      <c r="AI338" s="3070" t="s">
        <v>3227</v>
      </c>
      <c r="AJ338" s="3070">
        <v>0</v>
      </c>
      <c r="AK338" s="3070">
        <v>0</v>
      </c>
      <c r="AL338" s="3070">
        <v>0</v>
      </c>
      <c r="AM338" s="3070">
        <v>12607.8</v>
      </c>
      <c r="AN338" s="3070">
        <v>1294443</v>
      </c>
      <c r="AP338" s="3070">
        <v>1294443</v>
      </c>
      <c r="AQ338" s="3072">
        <v>45138</v>
      </c>
      <c r="AT338" s="3073">
        <v>45678</v>
      </c>
      <c r="AV338" s="3074">
        <v>1.43E+17</v>
      </c>
      <c r="AW338" s="3070" t="s">
        <v>6037</v>
      </c>
      <c r="AX338" s="3070" t="s">
        <v>6038</v>
      </c>
      <c r="AY338" s="3070" t="s">
        <v>3419</v>
      </c>
      <c r="BC338" s="3070" t="s">
        <v>3284</v>
      </c>
      <c r="BD338" s="3070" t="s">
        <v>3077</v>
      </c>
      <c r="BI338" s="3070" t="s">
        <v>3235</v>
      </c>
      <c r="BJ338" s="3070" t="s">
        <v>3338</v>
      </c>
      <c r="BL338" s="3070" t="s">
        <v>6039</v>
      </c>
      <c r="BM338" s="3075">
        <v>44263</v>
      </c>
      <c r="BN338" s="3070">
        <v>3</v>
      </c>
      <c r="BO338" s="3070" t="s">
        <v>3253</v>
      </c>
      <c r="BR338" s="3070">
        <v>583</v>
      </c>
      <c r="BS338" s="3070" t="s">
        <v>3238</v>
      </c>
      <c r="BZ338" s="3073">
        <v>44142.620833333334</v>
      </c>
      <c r="CA338" s="3070">
        <v>3</v>
      </c>
      <c r="CD338" s="3070" t="s">
        <v>3239</v>
      </c>
      <c r="CF338" s="3070" t="s">
        <v>3091</v>
      </c>
      <c r="CH338" s="3070" t="s">
        <v>3240</v>
      </c>
      <c r="CI338" s="3070">
        <v>0</v>
      </c>
      <c r="CK338" s="3070" t="s">
        <v>3419</v>
      </c>
      <c r="CL338" s="3070" t="s">
        <v>3419</v>
      </c>
      <c r="CM338" s="3070">
        <v>1187562.3899999999</v>
      </c>
      <c r="CV338" s="3070" t="s">
        <v>3246</v>
      </c>
      <c r="CW338" s="3070" t="s">
        <v>6040</v>
      </c>
      <c r="CZ338" s="3070">
        <v>213894.57</v>
      </c>
      <c r="DA338" s="3070">
        <v>159426.93</v>
      </c>
      <c r="DB338" s="3070">
        <v>0</v>
      </c>
      <c r="DC338" s="3070">
        <v>0</v>
      </c>
      <c r="DD338" s="3070">
        <v>3290547602</v>
      </c>
      <c r="DE338" s="3070">
        <v>2764253109</v>
      </c>
      <c r="DF338" s="3070">
        <v>1464966739</v>
      </c>
      <c r="DG338" s="3070">
        <v>14938370</v>
      </c>
      <c r="DH338" s="3070">
        <v>1284348000</v>
      </c>
      <c r="DI338" s="3070">
        <v>1278128000</v>
      </c>
      <c r="DJ338" s="3070">
        <v>6220000</v>
      </c>
      <c r="DK338" s="3070">
        <v>0</v>
      </c>
      <c r="DL338" s="3070">
        <v>0</v>
      </c>
      <c r="DM338" s="3070">
        <v>25491817.620000001</v>
      </c>
      <c r="DN338" s="3070">
        <v>2764253109</v>
      </c>
      <c r="DP338" s="3070">
        <v>2764253109</v>
      </c>
    </row>
    <row r="339" spans="1:120">
      <c r="A339" s="3070">
        <v>338</v>
      </c>
      <c r="B339" s="3070" t="s">
        <v>3224</v>
      </c>
      <c r="C339" s="3070">
        <v>3</v>
      </c>
      <c r="E339" s="3070">
        <v>804</v>
      </c>
      <c r="F339" s="3070" t="s">
        <v>6041</v>
      </c>
      <c r="G339" s="3070" t="s">
        <v>6042</v>
      </c>
      <c r="H339" s="3070">
        <v>1410445</v>
      </c>
      <c r="I339" s="3070">
        <v>1410445</v>
      </c>
      <c r="J339" s="3070">
        <v>114.02</v>
      </c>
      <c r="K339" s="3070">
        <v>82.85</v>
      </c>
      <c r="L339" s="3070">
        <v>0</v>
      </c>
      <c r="M339" s="3070">
        <v>0</v>
      </c>
      <c r="N339" s="3070">
        <v>15294.44</v>
      </c>
      <c r="O339" s="3070">
        <v>1743872</v>
      </c>
      <c r="P339" s="3070">
        <v>12370.15</v>
      </c>
      <c r="Q339" s="3070">
        <v>1410445</v>
      </c>
      <c r="R339" s="3070" t="s">
        <v>3227</v>
      </c>
      <c r="S339" s="3070" t="s">
        <v>6043</v>
      </c>
      <c r="T339" s="3070" t="s">
        <v>3258</v>
      </c>
      <c r="U339" s="3070" t="s">
        <v>3259</v>
      </c>
      <c r="V339" s="3070" t="s">
        <v>3230</v>
      </c>
      <c r="Y339" s="3070">
        <v>610445</v>
      </c>
      <c r="Z339" s="3070">
        <v>610445</v>
      </c>
      <c r="AA339" s="3070">
        <v>610445</v>
      </c>
      <c r="AB339" s="3070">
        <v>0</v>
      </c>
      <c r="AC339" s="3070">
        <v>800000</v>
      </c>
      <c r="AD339" s="3070">
        <v>800000</v>
      </c>
      <c r="AE339" s="3070">
        <v>0</v>
      </c>
      <c r="AI339" s="3070" t="s">
        <v>3227</v>
      </c>
      <c r="AJ339" s="3070">
        <v>0</v>
      </c>
      <c r="AK339" s="3070">
        <v>0</v>
      </c>
      <c r="AL339" s="3070">
        <v>0</v>
      </c>
      <c r="AM339" s="3070">
        <v>12370.15</v>
      </c>
      <c r="AN339" s="3070">
        <v>1410445</v>
      </c>
      <c r="AP339" s="3070">
        <v>1410445</v>
      </c>
      <c r="AQ339" s="3072">
        <v>45138</v>
      </c>
      <c r="AT339" s="3073">
        <v>45678</v>
      </c>
      <c r="AV339" s="3070" t="s">
        <v>6044</v>
      </c>
      <c r="AW339" s="3070" t="s">
        <v>6045</v>
      </c>
      <c r="AX339" s="3070" t="s">
        <v>6046</v>
      </c>
      <c r="AY339" s="3070" t="s">
        <v>3681</v>
      </c>
      <c r="BC339" s="3070" t="s">
        <v>3263</v>
      </c>
      <c r="BD339" s="3070" t="s">
        <v>3077</v>
      </c>
      <c r="BI339" s="3070" t="s">
        <v>3235</v>
      </c>
      <c r="BJ339" s="3070" t="s">
        <v>3296</v>
      </c>
      <c r="BL339" s="3070" t="s">
        <v>6047</v>
      </c>
      <c r="BM339" s="3075">
        <v>44263</v>
      </c>
      <c r="BN339" s="3070">
        <v>4</v>
      </c>
      <c r="BO339" s="3070" t="s">
        <v>3253</v>
      </c>
      <c r="BP339" s="3070" t="s">
        <v>3253</v>
      </c>
      <c r="BR339" s="3070">
        <v>436</v>
      </c>
      <c r="BS339" s="3070" t="s">
        <v>3238</v>
      </c>
      <c r="BZ339" s="3073">
        <v>44142.631249999999</v>
      </c>
      <c r="CA339" s="3070">
        <v>3</v>
      </c>
      <c r="CD339" s="3070" t="s">
        <v>3239</v>
      </c>
      <c r="CF339" s="3070" t="s">
        <v>3091</v>
      </c>
      <c r="CH339" s="3070" t="s">
        <v>3240</v>
      </c>
      <c r="CI339" s="3070">
        <v>0</v>
      </c>
      <c r="CJ339" s="3070" t="s">
        <v>3259</v>
      </c>
      <c r="CK339" s="3070" t="s">
        <v>3681</v>
      </c>
      <c r="CL339" s="3070" t="s">
        <v>3681</v>
      </c>
      <c r="CM339" s="3070">
        <v>1293986.24</v>
      </c>
      <c r="CV339" s="3070" t="s">
        <v>3258</v>
      </c>
      <c r="CW339" s="3070" t="s">
        <v>6048</v>
      </c>
      <c r="CX339" s="3070" t="s">
        <v>3242</v>
      </c>
      <c r="CZ339" s="3070">
        <v>213894.57</v>
      </c>
      <c r="DA339" s="3070">
        <v>159426.93</v>
      </c>
      <c r="DB339" s="3070">
        <v>0</v>
      </c>
      <c r="DC339" s="3070">
        <v>0</v>
      </c>
      <c r="DD339" s="3070">
        <v>3290547602</v>
      </c>
      <c r="DE339" s="3070">
        <v>2764253109</v>
      </c>
      <c r="DF339" s="3070">
        <v>1464966739</v>
      </c>
      <c r="DG339" s="3070">
        <v>14938370</v>
      </c>
      <c r="DH339" s="3070">
        <v>1284348000</v>
      </c>
      <c r="DI339" s="3070">
        <v>1278128000</v>
      </c>
      <c r="DJ339" s="3070">
        <v>6220000</v>
      </c>
      <c r="DK339" s="3070">
        <v>0</v>
      </c>
      <c r="DL339" s="3070">
        <v>0</v>
      </c>
      <c r="DM339" s="3070">
        <v>25491817.620000001</v>
      </c>
      <c r="DN339" s="3070">
        <v>2764253109</v>
      </c>
      <c r="DP339" s="3070">
        <v>2764253109</v>
      </c>
    </row>
    <row r="340" spans="1:120">
      <c r="A340" s="3070">
        <v>339</v>
      </c>
      <c r="B340" s="3070" t="s">
        <v>3224</v>
      </c>
      <c r="C340" s="3070">
        <v>3</v>
      </c>
      <c r="E340" s="3070">
        <v>901</v>
      </c>
      <c r="F340" s="3070" t="s">
        <v>6049</v>
      </c>
      <c r="G340" s="3070" t="s">
        <v>6050</v>
      </c>
      <c r="H340" s="3070">
        <v>1421284</v>
      </c>
      <c r="I340" s="3070">
        <v>1421284</v>
      </c>
      <c r="J340" s="3070">
        <v>114.02</v>
      </c>
      <c r="K340" s="3070">
        <v>82.85</v>
      </c>
      <c r="L340" s="3070">
        <v>0</v>
      </c>
      <c r="M340" s="3070">
        <v>0</v>
      </c>
      <c r="N340" s="3070">
        <v>15394.44</v>
      </c>
      <c r="O340" s="3070">
        <v>1755274</v>
      </c>
      <c r="P340" s="3070">
        <v>12465.22</v>
      </c>
      <c r="Q340" s="3070">
        <v>1421284</v>
      </c>
      <c r="R340" s="3070" t="s">
        <v>3227</v>
      </c>
      <c r="S340" s="3070" t="s">
        <v>6051</v>
      </c>
      <c r="T340" s="3070" t="s">
        <v>3246</v>
      </c>
      <c r="U340" s="3070" t="s">
        <v>3467</v>
      </c>
      <c r="V340" s="3070" t="s">
        <v>3230</v>
      </c>
      <c r="Y340" s="3070">
        <v>431284</v>
      </c>
      <c r="Z340" s="3070">
        <v>431284</v>
      </c>
      <c r="AA340" s="3070">
        <v>431284</v>
      </c>
      <c r="AB340" s="3070">
        <v>0</v>
      </c>
      <c r="AC340" s="3070">
        <v>990000</v>
      </c>
      <c r="AD340" s="3070">
        <v>990000</v>
      </c>
      <c r="AE340" s="3070">
        <v>0</v>
      </c>
      <c r="AI340" s="3070" t="s">
        <v>3227</v>
      </c>
      <c r="AJ340" s="3070">
        <v>0</v>
      </c>
      <c r="AK340" s="3070">
        <v>0</v>
      </c>
      <c r="AL340" s="3070">
        <v>0</v>
      </c>
      <c r="AM340" s="3070">
        <v>12465.22</v>
      </c>
      <c r="AN340" s="3070">
        <v>1421284</v>
      </c>
      <c r="AP340" s="3070">
        <v>1421284</v>
      </c>
      <c r="AQ340" s="3072">
        <v>45138</v>
      </c>
      <c r="AT340" s="3073">
        <v>45678</v>
      </c>
      <c r="AV340" s="3070" t="s">
        <v>6052</v>
      </c>
      <c r="AW340" s="3070" t="s">
        <v>6053</v>
      </c>
      <c r="AX340" s="3070" t="s">
        <v>6054</v>
      </c>
      <c r="AY340" s="3070" t="s">
        <v>3632</v>
      </c>
      <c r="BC340" s="3070" t="s">
        <v>3284</v>
      </c>
      <c r="BD340" s="3070" t="s">
        <v>3077</v>
      </c>
      <c r="BI340" s="3070" t="s">
        <v>3295</v>
      </c>
      <c r="BJ340" s="3070" t="s">
        <v>3264</v>
      </c>
      <c r="BL340" s="3070" t="s">
        <v>6055</v>
      </c>
      <c r="BM340" s="3075">
        <v>44264</v>
      </c>
      <c r="BN340" s="3070">
        <v>1</v>
      </c>
      <c r="BO340" s="3070" t="s">
        <v>3253</v>
      </c>
      <c r="BR340" s="3070">
        <v>648</v>
      </c>
      <c r="BS340" s="3070" t="s">
        <v>3238</v>
      </c>
      <c r="BZ340" s="3073">
        <v>44142.620833333334</v>
      </c>
      <c r="CA340" s="3070">
        <v>3</v>
      </c>
      <c r="CD340" s="3070" t="s">
        <v>3239</v>
      </c>
      <c r="CF340" s="3070" t="s">
        <v>3091</v>
      </c>
      <c r="CH340" s="3070" t="s">
        <v>3240</v>
      </c>
      <c r="CI340" s="3070">
        <v>0</v>
      </c>
      <c r="CK340" s="3070" t="s">
        <v>3632</v>
      </c>
      <c r="CL340" s="3070" t="s">
        <v>3632</v>
      </c>
      <c r="CM340" s="3070">
        <v>1303930.28</v>
      </c>
      <c r="CV340" s="3070" t="s">
        <v>3246</v>
      </c>
      <c r="CW340" s="3070" t="s">
        <v>6056</v>
      </c>
      <c r="CZ340" s="3070">
        <v>213894.57</v>
      </c>
      <c r="DA340" s="3070">
        <v>159426.93</v>
      </c>
      <c r="DB340" s="3070">
        <v>0</v>
      </c>
      <c r="DC340" s="3070">
        <v>0</v>
      </c>
      <c r="DD340" s="3070">
        <v>3290547602</v>
      </c>
      <c r="DE340" s="3070">
        <v>2764253109</v>
      </c>
      <c r="DF340" s="3070">
        <v>1464966739</v>
      </c>
      <c r="DG340" s="3070">
        <v>14938370</v>
      </c>
      <c r="DH340" s="3070">
        <v>1284348000</v>
      </c>
      <c r="DI340" s="3070">
        <v>1278128000</v>
      </c>
      <c r="DJ340" s="3070">
        <v>6220000</v>
      </c>
      <c r="DK340" s="3070">
        <v>0</v>
      </c>
      <c r="DL340" s="3070">
        <v>0</v>
      </c>
      <c r="DM340" s="3070">
        <v>25491817.620000001</v>
      </c>
      <c r="DN340" s="3070">
        <v>2764253109</v>
      </c>
      <c r="DP340" s="3070">
        <v>2764253109</v>
      </c>
    </row>
    <row r="341" spans="1:120">
      <c r="A341" s="3070">
        <v>340</v>
      </c>
      <c r="B341" s="3070" t="s">
        <v>3224</v>
      </c>
      <c r="C341" s="3070">
        <v>3</v>
      </c>
      <c r="E341" s="3070">
        <v>902</v>
      </c>
      <c r="F341" s="3070" t="s">
        <v>6057</v>
      </c>
      <c r="G341" s="3070" t="s">
        <v>6058</v>
      </c>
      <c r="H341" s="3070">
        <v>1299324</v>
      </c>
      <c r="I341" s="3070">
        <v>1299324</v>
      </c>
      <c r="J341" s="3070">
        <v>102.67</v>
      </c>
      <c r="K341" s="3070">
        <v>74.61</v>
      </c>
      <c r="L341" s="3070">
        <v>0</v>
      </c>
      <c r="M341" s="3070">
        <v>0</v>
      </c>
      <c r="N341" s="3070">
        <v>15594.44</v>
      </c>
      <c r="O341" s="3070">
        <v>1601081</v>
      </c>
      <c r="P341" s="3070">
        <v>12655.34</v>
      </c>
      <c r="Q341" s="3070">
        <v>1299324</v>
      </c>
      <c r="R341" s="3070" t="s">
        <v>3227</v>
      </c>
      <c r="S341" s="3070" t="s">
        <v>6059</v>
      </c>
      <c r="T341" s="3070" t="s">
        <v>3246</v>
      </c>
      <c r="U341" s="3070" t="s">
        <v>3259</v>
      </c>
      <c r="V341" s="3070" t="s">
        <v>3230</v>
      </c>
      <c r="Y341" s="3070">
        <v>499324</v>
      </c>
      <c r="Z341" s="3070">
        <v>499324</v>
      </c>
      <c r="AA341" s="3070">
        <v>499324</v>
      </c>
      <c r="AB341" s="3070">
        <v>0</v>
      </c>
      <c r="AC341" s="3070">
        <v>800000</v>
      </c>
      <c r="AD341" s="3070">
        <v>800000</v>
      </c>
      <c r="AE341" s="3070">
        <v>0</v>
      </c>
      <c r="AI341" s="3070" t="s">
        <v>3227</v>
      </c>
      <c r="AJ341" s="3070">
        <v>0</v>
      </c>
      <c r="AK341" s="3070">
        <v>0</v>
      </c>
      <c r="AL341" s="3070">
        <v>0</v>
      </c>
      <c r="AM341" s="3070">
        <v>12655.34</v>
      </c>
      <c r="AN341" s="3070">
        <v>1299324</v>
      </c>
      <c r="AP341" s="3070">
        <v>1299324</v>
      </c>
      <c r="AQ341" s="3072">
        <v>45138</v>
      </c>
      <c r="AT341" s="3073">
        <v>45678</v>
      </c>
      <c r="AV341" s="3074">
        <v>3.21E+17</v>
      </c>
      <c r="AW341" s="3070" t="s">
        <v>6060</v>
      </c>
      <c r="AX341" s="3070" t="s">
        <v>6061</v>
      </c>
      <c r="AY341" s="3070" t="s">
        <v>3429</v>
      </c>
      <c r="BC341" s="3070" t="s">
        <v>3284</v>
      </c>
      <c r="BD341" s="3070" t="s">
        <v>3077</v>
      </c>
      <c r="BI341" s="3070" t="s">
        <v>3235</v>
      </c>
      <c r="BL341" s="3070" t="s">
        <v>6062</v>
      </c>
      <c r="BM341" s="3075">
        <v>44264</v>
      </c>
      <c r="BN341" s="3070">
        <v>2</v>
      </c>
      <c r="BO341" s="3070" t="s">
        <v>3253</v>
      </c>
      <c r="BR341" s="3070">
        <v>33</v>
      </c>
      <c r="BS341" s="3070" t="s">
        <v>3238</v>
      </c>
      <c r="BZ341" s="3073">
        <v>44143.685416666667</v>
      </c>
      <c r="CA341" s="3070">
        <v>3</v>
      </c>
      <c r="CD341" s="3070" t="s">
        <v>3239</v>
      </c>
      <c r="CF341" s="3070" t="s">
        <v>3091</v>
      </c>
      <c r="CH341" s="3070" t="s">
        <v>3240</v>
      </c>
      <c r="CI341" s="3070">
        <v>0</v>
      </c>
      <c r="CK341" s="3070" t="s">
        <v>3429</v>
      </c>
      <c r="CL341" s="3070" t="s">
        <v>3429</v>
      </c>
      <c r="CM341" s="3070">
        <v>1192040.3700000001</v>
      </c>
      <c r="CV341" s="3070" t="s">
        <v>3246</v>
      </c>
      <c r="CW341" s="3070" t="s">
        <v>6063</v>
      </c>
      <c r="CX341" s="3070" t="s">
        <v>3311</v>
      </c>
      <c r="CZ341" s="3070">
        <v>213894.57</v>
      </c>
      <c r="DA341" s="3070">
        <v>159426.93</v>
      </c>
      <c r="DB341" s="3070">
        <v>0</v>
      </c>
      <c r="DC341" s="3070">
        <v>0</v>
      </c>
      <c r="DD341" s="3070">
        <v>3290547602</v>
      </c>
      <c r="DE341" s="3070">
        <v>2764253109</v>
      </c>
      <c r="DF341" s="3070">
        <v>1464966739</v>
      </c>
      <c r="DG341" s="3070">
        <v>14938370</v>
      </c>
      <c r="DH341" s="3070">
        <v>1284348000</v>
      </c>
      <c r="DI341" s="3070">
        <v>1278128000</v>
      </c>
      <c r="DJ341" s="3070">
        <v>6220000</v>
      </c>
      <c r="DK341" s="3070">
        <v>0</v>
      </c>
      <c r="DL341" s="3070">
        <v>0</v>
      </c>
      <c r="DM341" s="3070">
        <v>25491817.620000001</v>
      </c>
      <c r="DN341" s="3070">
        <v>2764253109</v>
      </c>
      <c r="DP341" s="3070">
        <v>2764253109</v>
      </c>
    </row>
    <row r="342" spans="1:120">
      <c r="A342" s="3070">
        <v>341</v>
      </c>
      <c r="B342" s="3070" t="s">
        <v>3224</v>
      </c>
      <c r="C342" s="3070">
        <v>3</v>
      </c>
      <c r="E342" s="3070">
        <v>903</v>
      </c>
      <c r="F342" s="3070" t="s">
        <v>6064</v>
      </c>
      <c r="G342" s="3070" t="s">
        <v>6065</v>
      </c>
      <c r="H342" s="3070">
        <v>1299324</v>
      </c>
      <c r="I342" s="3070">
        <v>1299324</v>
      </c>
      <c r="J342" s="3070">
        <v>102.67</v>
      </c>
      <c r="K342" s="3070">
        <v>74.61</v>
      </c>
      <c r="L342" s="3070">
        <v>0</v>
      </c>
      <c r="M342" s="3070">
        <v>0</v>
      </c>
      <c r="N342" s="3070">
        <v>15594.44</v>
      </c>
      <c r="O342" s="3070">
        <v>1601081</v>
      </c>
      <c r="P342" s="3070">
        <v>12655.34</v>
      </c>
      <c r="Q342" s="3070">
        <v>1299324</v>
      </c>
      <c r="R342" s="3070" t="s">
        <v>3227</v>
      </c>
      <c r="S342" s="3070" t="s">
        <v>6066</v>
      </c>
      <c r="T342" s="3070" t="s">
        <v>3258</v>
      </c>
      <c r="U342" s="3070" t="s">
        <v>3259</v>
      </c>
      <c r="V342" s="3070" t="s">
        <v>3230</v>
      </c>
      <c r="Y342" s="3070">
        <v>509324</v>
      </c>
      <c r="Z342" s="3070">
        <v>509324</v>
      </c>
      <c r="AA342" s="3070">
        <v>509324</v>
      </c>
      <c r="AB342" s="3070">
        <v>0</v>
      </c>
      <c r="AC342" s="3070">
        <v>790000</v>
      </c>
      <c r="AD342" s="3070">
        <v>790000</v>
      </c>
      <c r="AE342" s="3070">
        <v>0</v>
      </c>
      <c r="AI342" s="3070" t="s">
        <v>3227</v>
      </c>
      <c r="AJ342" s="3070">
        <v>0</v>
      </c>
      <c r="AK342" s="3070">
        <v>0</v>
      </c>
      <c r="AL342" s="3070">
        <v>0</v>
      </c>
      <c r="AM342" s="3070">
        <v>12655.34</v>
      </c>
      <c r="AN342" s="3070">
        <v>1299324</v>
      </c>
      <c r="AP342" s="3070">
        <v>1299324</v>
      </c>
      <c r="AQ342" s="3072">
        <v>45138</v>
      </c>
      <c r="AT342" s="3073">
        <v>45678</v>
      </c>
      <c r="AV342" s="3070" t="s">
        <v>6067</v>
      </c>
      <c r="AW342" s="3070" t="s">
        <v>6068</v>
      </c>
      <c r="AX342" s="3070" t="s">
        <v>6069</v>
      </c>
      <c r="AY342" s="3070" t="s">
        <v>5921</v>
      </c>
      <c r="BC342" s="3070" t="s">
        <v>3263</v>
      </c>
      <c r="BD342" s="3070" t="s">
        <v>3077</v>
      </c>
      <c r="BI342" s="3070" t="s">
        <v>3235</v>
      </c>
      <c r="BL342" s="3070" t="s">
        <v>6070</v>
      </c>
      <c r="BM342" s="3075">
        <v>44264</v>
      </c>
      <c r="BN342" s="3070">
        <v>3</v>
      </c>
      <c r="BO342" s="3070" t="s">
        <v>3253</v>
      </c>
      <c r="BP342" s="3070" t="s">
        <v>3253</v>
      </c>
      <c r="BR342" s="3070">
        <v>827</v>
      </c>
      <c r="BS342" s="3070" t="s">
        <v>3238</v>
      </c>
      <c r="BZ342" s="3073">
        <v>44142.631249999999</v>
      </c>
      <c r="CA342" s="3070">
        <v>3</v>
      </c>
      <c r="CD342" s="3070" t="s">
        <v>3239</v>
      </c>
      <c r="CF342" s="3070" t="s">
        <v>3091</v>
      </c>
      <c r="CH342" s="3070" t="s">
        <v>3240</v>
      </c>
      <c r="CI342" s="3070">
        <v>0</v>
      </c>
      <c r="CJ342" s="3070" t="s">
        <v>3259</v>
      </c>
      <c r="CK342" s="3070" t="s">
        <v>5921</v>
      </c>
      <c r="CL342" s="3070" t="s">
        <v>5921</v>
      </c>
      <c r="CM342" s="3070">
        <v>1192040.3700000001</v>
      </c>
      <c r="CV342" s="3070" t="s">
        <v>3258</v>
      </c>
      <c r="CW342" s="3070" t="s">
        <v>6071</v>
      </c>
      <c r="CX342" s="3070" t="s">
        <v>3267</v>
      </c>
      <c r="CZ342" s="3070">
        <v>213894.57</v>
      </c>
      <c r="DA342" s="3070">
        <v>159426.93</v>
      </c>
      <c r="DB342" s="3070">
        <v>0</v>
      </c>
      <c r="DC342" s="3070">
        <v>0</v>
      </c>
      <c r="DD342" s="3070">
        <v>3290547602</v>
      </c>
      <c r="DE342" s="3070">
        <v>2764253109</v>
      </c>
      <c r="DF342" s="3070">
        <v>1464966739</v>
      </c>
      <c r="DG342" s="3070">
        <v>14938370</v>
      </c>
      <c r="DH342" s="3070">
        <v>1284348000</v>
      </c>
      <c r="DI342" s="3070">
        <v>1278128000</v>
      </c>
      <c r="DJ342" s="3070">
        <v>6220000</v>
      </c>
      <c r="DK342" s="3070">
        <v>0</v>
      </c>
      <c r="DL342" s="3070">
        <v>0</v>
      </c>
      <c r="DM342" s="3070">
        <v>25491817.620000001</v>
      </c>
      <c r="DN342" s="3070">
        <v>2764253109</v>
      </c>
      <c r="DP342" s="3070">
        <v>2764253109</v>
      </c>
    </row>
    <row r="343" spans="1:120">
      <c r="A343" s="3070">
        <v>342</v>
      </c>
      <c r="B343" s="3070" t="s">
        <v>3224</v>
      </c>
      <c r="C343" s="3070">
        <v>3</v>
      </c>
      <c r="E343" s="3070">
        <v>904</v>
      </c>
      <c r="F343" s="3070" t="s">
        <v>6072</v>
      </c>
      <c r="G343" s="3070" t="s">
        <v>6073</v>
      </c>
      <c r="H343" s="3070">
        <v>1415865</v>
      </c>
      <c r="I343" s="3070">
        <v>1415865</v>
      </c>
      <c r="J343" s="3070">
        <v>114.02</v>
      </c>
      <c r="K343" s="3070">
        <v>82.85</v>
      </c>
      <c r="L343" s="3070">
        <v>0</v>
      </c>
      <c r="M343" s="3070">
        <v>0</v>
      </c>
      <c r="N343" s="3070">
        <v>15344.44</v>
      </c>
      <c r="O343" s="3070">
        <v>1749573</v>
      </c>
      <c r="P343" s="3070">
        <v>12417.69</v>
      </c>
      <c r="Q343" s="3070">
        <v>1415865</v>
      </c>
      <c r="R343" s="3070" t="s">
        <v>3227</v>
      </c>
      <c r="S343" s="3070" t="s">
        <v>6074</v>
      </c>
      <c r="T343" s="3070" t="s">
        <v>3246</v>
      </c>
      <c r="U343" s="3070" t="s">
        <v>3381</v>
      </c>
      <c r="V343" s="3070" t="s">
        <v>3230</v>
      </c>
      <c r="Y343" s="3070">
        <v>425865</v>
      </c>
      <c r="Z343" s="3070">
        <v>425865</v>
      </c>
      <c r="AA343" s="3070">
        <v>425865</v>
      </c>
      <c r="AB343" s="3070">
        <v>0</v>
      </c>
      <c r="AC343" s="3070">
        <v>990000</v>
      </c>
      <c r="AD343" s="3070">
        <v>990000</v>
      </c>
      <c r="AE343" s="3070">
        <v>0</v>
      </c>
      <c r="AI343" s="3070" t="s">
        <v>3227</v>
      </c>
      <c r="AJ343" s="3070">
        <v>0</v>
      </c>
      <c r="AK343" s="3070">
        <v>0</v>
      </c>
      <c r="AL343" s="3070">
        <v>0</v>
      </c>
      <c r="AM343" s="3070">
        <v>12417.69</v>
      </c>
      <c r="AN343" s="3070">
        <v>1415865</v>
      </c>
      <c r="AP343" s="3070">
        <v>1415865</v>
      </c>
      <c r="AQ343" s="3072">
        <v>45138</v>
      </c>
      <c r="AT343" s="3073">
        <v>45678</v>
      </c>
      <c r="AV343" s="3070" t="s">
        <v>6075</v>
      </c>
      <c r="AW343" s="3070" t="s">
        <v>6076</v>
      </c>
      <c r="AX343" s="3070" t="s">
        <v>6077</v>
      </c>
      <c r="AY343" s="3070" t="s">
        <v>3722</v>
      </c>
      <c r="BC343" s="3070" t="s">
        <v>3284</v>
      </c>
      <c r="BD343" s="3070" t="s">
        <v>3077</v>
      </c>
      <c r="BI343" s="3070" t="s">
        <v>3235</v>
      </c>
      <c r="BJ343" s="3070" t="s">
        <v>3338</v>
      </c>
      <c r="BL343" s="3070" t="s">
        <v>6078</v>
      </c>
      <c r="BM343" s="3075">
        <v>44264</v>
      </c>
      <c r="BN343" s="3070">
        <v>4</v>
      </c>
      <c r="BO343" s="3070" t="s">
        <v>3253</v>
      </c>
      <c r="BR343" s="3070">
        <v>26</v>
      </c>
      <c r="BS343" s="3070" t="s">
        <v>3238</v>
      </c>
      <c r="BZ343" s="3073">
        <v>44142.609027777777</v>
      </c>
      <c r="CA343" s="3070">
        <v>3</v>
      </c>
      <c r="CD343" s="3070" t="s">
        <v>3239</v>
      </c>
      <c r="CF343" s="3070" t="s">
        <v>3091</v>
      </c>
      <c r="CH343" s="3070" t="s">
        <v>3240</v>
      </c>
      <c r="CI343" s="3070">
        <v>0</v>
      </c>
      <c r="CK343" s="3070" t="s">
        <v>3722</v>
      </c>
      <c r="CL343" s="3070" t="s">
        <v>3722</v>
      </c>
      <c r="CM343" s="3070">
        <v>1298958.72</v>
      </c>
      <c r="CV343" s="3070" t="s">
        <v>3246</v>
      </c>
      <c r="CW343" s="3070" t="s">
        <v>6079</v>
      </c>
      <c r="CZ343" s="3070">
        <v>213894.57</v>
      </c>
      <c r="DA343" s="3070">
        <v>159426.93</v>
      </c>
      <c r="DB343" s="3070">
        <v>0</v>
      </c>
      <c r="DC343" s="3070">
        <v>0</v>
      </c>
      <c r="DD343" s="3070">
        <v>3290547602</v>
      </c>
      <c r="DE343" s="3070">
        <v>2764253109</v>
      </c>
      <c r="DF343" s="3070">
        <v>1464966739</v>
      </c>
      <c r="DG343" s="3070">
        <v>14938370</v>
      </c>
      <c r="DH343" s="3070">
        <v>1284348000</v>
      </c>
      <c r="DI343" s="3070">
        <v>1278128000</v>
      </c>
      <c r="DJ343" s="3070">
        <v>6220000</v>
      </c>
      <c r="DK343" s="3070">
        <v>0</v>
      </c>
      <c r="DL343" s="3070">
        <v>0</v>
      </c>
      <c r="DM343" s="3070">
        <v>25491817.620000001</v>
      </c>
      <c r="DN343" s="3070">
        <v>2764253109</v>
      </c>
      <c r="DP343" s="3070">
        <v>2764253109</v>
      </c>
    </row>
    <row r="344" spans="1:120">
      <c r="A344" s="3070">
        <v>343</v>
      </c>
      <c r="B344" s="3070" t="s">
        <v>3224</v>
      </c>
      <c r="C344" s="3070">
        <v>4</v>
      </c>
      <c r="D344" s="3070">
        <v>1</v>
      </c>
      <c r="E344" s="3070">
        <v>1001</v>
      </c>
      <c r="F344" s="3070" t="s">
        <v>6080</v>
      </c>
      <c r="G344" s="3070" t="s">
        <v>6081</v>
      </c>
      <c r="H344" s="3070">
        <v>1727685</v>
      </c>
      <c r="I344" s="3070">
        <v>1727685</v>
      </c>
      <c r="J344" s="3070">
        <v>132.62</v>
      </c>
      <c r="K344" s="3070">
        <v>100.59</v>
      </c>
      <c r="L344" s="3070">
        <v>0</v>
      </c>
      <c r="M344" s="3070">
        <v>0</v>
      </c>
      <c r="N344" s="3070">
        <v>15744.44</v>
      </c>
      <c r="O344" s="3070">
        <v>2088028</v>
      </c>
      <c r="P344" s="3070">
        <v>13027.33</v>
      </c>
      <c r="Q344" s="3070">
        <v>1727685</v>
      </c>
      <c r="R344" s="3070" t="s">
        <v>3227</v>
      </c>
      <c r="S344" s="3070" t="s">
        <v>6082</v>
      </c>
      <c r="T344" s="3070" t="s">
        <v>3258</v>
      </c>
      <c r="U344" s="3070" t="s">
        <v>3259</v>
      </c>
      <c r="V344" s="3070" t="s">
        <v>3230</v>
      </c>
      <c r="Y344" s="3070">
        <v>527685</v>
      </c>
      <c r="Z344" s="3070">
        <v>527685</v>
      </c>
      <c r="AA344" s="3070">
        <v>527685</v>
      </c>
      <c r="AB344" s="3070">
        <v>0</v>
      </c>
      <c r="AC344" s="3070">
        <v>1200000</v>
      </c>
      <c r="AD344" s="3070">
        <v>1200000</v>
      </c>
      <c r="AE344" s="3070">
        <v>0</v>
      </c>
      <c r="AI344" s="3070" t="s">
        <v>3227</v>
      </c>
      <c r="AJ344" s="3070">
        <v>0</v>
      </c>
      <c r="AK344" s="3070">
        <v>0</v>
      </c>
      <c r="AL344" s="3070">
        <v>0</v>
      </c>
      <c r="AM344" s="3070">
        <v>13027.33</v>
      </c>
      <c r="AN344" s="3070">
        <v>1727685</v>
      </c>
      <c r="AP344" s="3070">
        <v>1727685</v>
      </c>
      <c r="AQ344" s="3072">
        <v>45230</v>
      </c>
      <c r="AT344" s="3073">
        <v>45770</v>
      </c>
      <c r="AV344" s="3074">
        <v>3.21E+17</v>
      </c>
      <c r="AW344" s="3070" t="s">
        <v>6083</v>
      </c>
      <c r="AX344" s="3070" t="s">
        <v>6084</v>
      </c>
      <c r="AY344" s="3070" t="s">
        <v>3981</v>
      </c>
      <c r="BC344" s="3070" t="s">
        <v>6085</v>
      </c>
      <c r="BD344" s="3070" t="s">
        <v>3075</v>
      </c>
      <c r="BI344" s="3070" t="s">
        <v>3235</v>
      </c>
      <c r="BL344" s="3070" t="s">
        <v>6086</v>
      </c>
      <c r="BM344" s="3075">
        <v>44287</v>
      </c>
      <c r="BN344" s="3070">
        <v>-10</v>
      </c>
      <c r="BO344" s="3070" t="s">
        <v>3253</v>
      </c>
      <c r="BP344" s="3070" t="s">
        <v>3253</v>
      </c>
      <c r="BR344" s="3070">
        <v>21</v>
      </c>
      <c r="BS344" s="3070" t="s">
        <v>3238</v>
      </c>
      <c r="BZ344" s="3073">
        <v>44199.67291666667</v>
      </c>
      <c r="CA344" s="3070">
        <v>4</v>
      </c>
      <c r="CD344" s="3070" t="s">
        <v>3239</v>
      </c>
      <c r="CF344" s="3070" t="s">
        <v>3091</v>
      </c>
      <c r="CH344" s="3070" t="s">
        <v>3240</v>
      </c>
      <c r="CI344" s="3070">
        <v>0</v>
      </c>
      <c r="CJ344" s="3070" t="s">
        <v>3259</v>
      </c>
      <c r="CK344" s="3070" t="s">
        <v>3986</v>
      </c>
      <c r="CL344" s="3070" t="s">
        <v>3986</v>
      </c>
      <c r="CM344" s="3070">
        <v>1585032.11</v>
      </c>
      <c r="CV344" s="3070" t="s">
        <v>3258</v>
      </c>
      <c r="CW344" s="3070" t="s">
        <v>6087</v>
      </c>
      <c r="CZ344" s="3070">
        <v>213894.57</v>
      </c>
      <c r="DA344" s="3070">
        <v>159426.93</v>
      </c>
      <c r="DB344" s="3070">
        <v>0</v>
      </c>
      <c r="DC344" s="3070">
        <v>0</v>
      </c>
      <c r="DD344" s="3070">
        <v>3290547602</v>
      </c>
      <c r="DE344" s="3070">
        <v>2764253109</v>
      </c>
      <c r="DF344" s="3070">
        <v>1464966739</v>
      </c>
      <c r="DG344" s="3070">
        <v>14938370</v>
      </c>
      <c r="DH344" s="3070">
        <v>1284348000</v>
      </c>
      <c r="DI344" s="3070">
        <v>1278128000</v>
      </c>
      <c r="DJ344" s="3070">
        <v>6220000</v>
      </c>
      <c r="DK344" s="3070">
        <v>0</v>
      </c>
      <c r="DL344" s="3070">
        <v>0</v>
      </c>
      <c r="DM344" s="3070">
        <v>25491817.620000001</v>
      </c>
      <c r="DN344" s="3070">
        <v>2764253109</v>
      </c>
      <c r="DP344" s="3070">
        <v>2764253109</v>
      </c>
    </row>
    <row r="345" spans="1:120">
      <c r="A345" s="3070">
        <v>344</v>
      </c>
      <c r="B345" s="3070" t="s">
        <v>3224</v>
      </c>
      <c r="C345" s="3070">
        <v>4</v>
      </c>
      <c r="D345" s="3070">
        <v>1</v>
      </c>
      <c r="E345" s="3070">
        <v>1002</v>
      </c>
      <c r="F345" s="3070" t="s">
        <v>6088</v>
      </c>
      <c r="G345" s="3070" t="s">
        <v>6089</v>
      </c>
      <c r="H345" s="3070">
        <v>1359013</v>
      </c>
      <c r="I345" s="3070">
        <v>1359013</v>
      </c>
      <c r="J345" s="3070">
        <v>105.02</v>
      </c>
      <c r="K345" s="3070">
        <v>79.66</v>
      </c>
      <c r="L345" s="3070">
        <v>0</v>
      </c>
      <c r="M345" s="3070">
        <v>0</v>
      </c>
      <c r="N345" s="3070">
        <v>15894.44</v>
      </c>
      <c r="O345" s="3070">
        <v>1669234</v>
      </c>
      <c r="P345" s="3070">
        <v>12940.52</v>
      </c>
      <c r="Q345" s="3070">
        <v>1359013</v>
      </c>
      <c r="R345" s="3070" t="s">
        <v>3227</v>
      </c>
      <c r="S345" s="3070" t="s">
        <v>6090</v>
      </c>
      <c r="T345" s="3070" t="s">
        <v>3258</v>
      </c>
      <c r="U345" s="3070" t="s">
        <v>3259</v>
      </c>
      <c r="V345" s="3070" t="s">
        <v>3230</v>
      </c>
      <c r="Y345" s="3070">
        <v>409013</v>
      </c>
      <c r="Z345" s="3070">
        <v>409013</v>
      </c>
      <c r="AA345" s="3070">
        <v>409013</v>
      </c>
      <c r="AB345" s="3070">
        <v>0</v>
      </c>
      <c r="AC345" s="3070">
        <v>950000</v>
      </c>
      <c r="AD345" s="3070">
        <v>950000</v>
      </c>
      <c r="AE345" s="3070">
        <v>0</v>
      </c>
      <c r="AI345" s="3070" t="s">
        <v>3227</v>
      </c>
      <c r="AJ345" s="3070">
        <v>0</v>
      </c>
      <c r="AK345" s="3070">
        <v>0</v>
      </c>
      <c r="AL345" s="3070">
        <v>0</v>
      </c>
      <c r="AM345" s="3070">
        <v>12940.52</v>
      </c>
      <c r="AN345" s="3070">
        <v>1359013</v>
      </c>
      <c r="AP345" s="3070">
        <v>1359013</v>
      </c>
      <c r="AQ345" s="3072">
        <v>45230</v>
      </c>
      <c r="AT345" s="3073">
        <v>45770</v>
      </c>
      <c r="AV345" s="3074">
        <v>3.21E+17</v>
      </c>
      <c r="AW345" s="3070" t="s">
        <v>6091</v>
      </c>
      <c r="AX345" s="3070" t="s">
        <v>6092</v>
      </c>
      <c r="AY345" s="3070" t="s">
        <v>5106</v>
      </c>
      <c r="BC345" s="3070" t="s">
        <v>3263</v>
      </c>
      <c r="BD345" s="3070" t="s">
        <v>3077</v>
      </c>
      <c r="BI345" s="3070" t="s">
        <v>3295</v>
      </c>
      <c r="BL345" s="3070" t="s">
        <v>6093</v>
      </c>
      <c r="BM345" s="3075">
        <v>44287</v>
      </c>
      <c r="BN345" s="3070">
        <v>-10</v>
      </c>
      <c r="BO345" s="3070" t="s">
        <v>3253</v>
      </c>
      <c r="BP345" s="3070" t="s">
        <v>3253</v>
      </c>
      <c r="BR345" s="3070">
        <v>725</v>
      </c>
      <c r="BS345" s="3070" t="s">
        <v>3238</v>
      </c>
      <c r="BZ345" s="3073">
        <v>44146.741666666669</v>
      </c>
      <c r="CA345" s="3070">
        <v>4</v>
      </c>
      <c r="CD345" s="3070" t="s">
        <v>3239</v>
      </c>
      <c r="CF345" s="3070" t="s">
        <v>3091</v>
      </c>
      <c r="CH345" s="3070" t="s">
        <v>3240</v>
      </c>
      <c r="CI345" s="3070">
        <v>0</v>
      </c>
      <c r="CJ345" s="3070" t="s">
        <v>3259</v>
      </c>
      <c r="CK345" s="3070" t="s">
        <v>5106</v>
      </c>
      <c r="CL345" s="3070" t="s">
        <v>5106</v>
      </c>
      <c r="CM345" s="3070">
        <v>1246800.92</v>
      </c>
      <c r="CV345" s="3070" t="s">
        <v>3258</v>
      </c>
      <c r="CW345" s="3070" t="s">
        <v>6094</v>
      </c>
      <c r="CZ345" s="3070">
        <v>213894.57</v>
      </c>
      <c r="DA345" s="3070">
        <v>159426.93</v>
      </c>
      <c r="DB345" s="3070">
        <v>0</v>
      </c>
      <c r="DC345" s="3070">
        <v>0</v>
      </c>
      <c r="DD345" s="3070">
        <v>3290547602</v>
      </c>
      <c r="DE345" s="3070">
        <v>2764253109</v>
      </c>
      <c r="DF345" s="3070">
        <v>1464966739</v>
      </c>
      <c r="DG345" s="3070">
        <v>14938370</v>
      </c>
      <c r="DH345" s="3070">
        <v>1284348000</v>
      </c>
      <c r="DI345" s="3070">
        <v>1278128000</v>
      </c>
      <c r="DJ345" s="3070">
        <v>6220000</v>
      </c>
      <c r="DK345" s="3070">
        <v>0</v>
      </c>
      <c r="DL345" s="3070">
        <v>0</v>
      </c>
      <c r="DM345" s="3070">
        <v>25491817.620000001</v>
      </c>
      <c r="DN345" s="3070">
        <v>2764253109</v>
      </c>
      <c r="DP345" s="3070">
        <v>2764253109</v>
      </c>
    </row>
    <row r="346" spans="1:120">
      <c r="A346" s="3070">
        <v>345</v>
      </c>
      <c r="B346" s="3070" t="s">
        <v>3224</v>
      </c>
      <c r="C346" s="3070">
        <v>4</v>
      </c>
      <c r="D346" s="3070">
        <v>1</v>
      </c>
      <c r="E346" s="3070">
        <v>1003</v>
      </c>
      <c r="F346" s="3070" t="s">
        <v>6095</v>
      </c>
      <c r="G346" s="3070" t="s">
        <v>6096</v>
      </c>
      <c r="H346" s="3070">
        <v>1683033</v>
      </c>
      <c r="I346" s="3070">
        <v>1683033</v>
      </c>
      <c r="J346" s="3070">
        <v>132.99</v>
      </c>
      <c r="K346" s="3070">
        <v>100.87</v>
      </c>
      <c r="L346" s="3070">
        <v>0</v>
      </c>
      <c r="M346" s="3070">
        <v>0</v>
      </c>
      <c r="N346" s="3070">
        <v>15594.44</v>
      </c>
      <c r="O346" s="3070">
        <v>2073905</v>
      </c>
      <c r="P346" s="3070">
        <v>12655.33</v>
      </c>
      <c r="Q346" s="3070">
        <v>1683033</v>
      </c>
      <c r="R346" s="3070" t="s">
        <v>3227</v>
      </c>
      <c r="S346" s="3070" t="s">
        <v>6097</v>
      </c>
      <c r="T346" s="3070" t="s">
        <v>3246</v>
      </c>
      <c r="U346" s="3070" t="s">
        <v>3371</v>
      </c>
      <c r="V346" s="3070" t="s">
        <v>3230</v>
      </c>
      <c r="Y346" s="3070">
        <v>513033</v>
      </c>
      <c r="Z346" s="3070">
        <v>513033</v>
      </c>
      <c r="AA346" s="3070">
        <v>513033</v>
      </c>
      <c r="AB346" s="3070">
        <v>0</v>
      </c>
      <c r="AC346" s="3070">
        <v>1170000</v>
      </c>
      <c r="AD346" s="3070">
        <v>1170000</v>
      </c>
      <c r="AE346" s="3070">
        <v>0</v>
      </c>
      <c r="AI346" s="3070" t="s">
        <v>3227</v>
      </c>
      <c r="AJ346" s="3070">
        <v>0</v>
      </c>
      <c r="AK346" s="3070">
        <v>0</v>
      </c>
      <c r="AL346" s="3070">
        <v>0</v>
      </c>
      <c r="AM346" s="3070">
        <v>12655.33</v>
      </c>
      <c r="AN346" s="3070">
        <v>1683033</v>
      </c>
      <c r="AP346" s="3070">
        <v>1683033</v>
      </c>
      <c r="AQ346" s="3072">
        <v>45230</v>
      </c>
      <c r="AT346" s="3073">
        <v>45770</v>
      </c>
      <c r="AV346" s="3070" t="s">
        <v>6098</v>
      </c>
      <c r="AW346" s="3070" t="s">
        <v>6099</v>
      </c>
      <c r="AX346" s="3070" t="s">
        <v>6100</v>
      </c>
      <c r="AY346" s="3070" t="s">
        <v>3656</v>
      </c>
      <c r="BC346" s="3070" t="s">
        <v>3284</v>
      </c>
      <c r="BD346" s="3070" t="s">
        <v>3075</v>
      </c>
      <c r="BI346" s="3070" t="s">
        <v>3235</v>
      </c>
      <c r="BJ346" s="3070" t="s">
        <v>3338</v>
      </c>
      <c r="BL346" s="3070" t="s">
        <v>6101</v>
      </c>
      <c r="BM346" s="3075">
        <v>44287</v>
      </c>
      <c r="BN346" s="3070">
        <v>-10</v>
      </c>
      <c r="BO346" s="3070" t="s">
        <v>3253</v>
      </c>
      <c r="BR346" s="3070">
        <v>129</v>
      </c>
      <c r="BS346" s="3070" t="s">
        <v>3238</v>
      </c>
      <c r="BZ346" s="3073">
        <v>44153.795138888891</v>
      </c>
      <c r="CA346" s="3070">
        <v>4</v>
      </c>
      <c r="CD346" s="3070" t="s">
        <v>3239</v>
      </c>
      <c r="CF346" s="3070" t="s">
        <v>3091</v>
      </c>
      <c r="CH346" s="3070" t="s">
        <v>3240</v>
      </c>
      <c r="CI346" s="3070">
        <v>0</v>
      </c>
      <c r="CK346" s="3070" t="s">
        <v>3656</v>
      </c>
      <c r="CL346" s="3070" t="s">
        <v>3656</v>
      </c>
      <c r="CM346" s="3070">
        <v>1544066.97</v>
      </c>
      <c r="CV346" s="3070" t="s">
        <v>3246</v>
      </c>
      <c r="CW346" s="3070" t="s">
        <v>6102</v>
      </c>
      <c r="CZ346" s="3070">
        <v>213894.57</v>
      </c>
      <c r="DA346" s="3070">
        <v>159426.93</v>
      </c>
      <c r="DB346" s="3070">
        <v>0</v>
      </c>
      <c r="DC346" s="3070">
        <v>0</v>
      </c>
      <c r="DD346" s="3070">
        <v>3290547602</v>
      </c>
      <c r="DE346" s="3070">
        <v>2764253109</v>
      </c>
      <c r="DF346" s="3070">
        <v>1464966739</v>
      </c>
      <c r="DG346" s="3070">
        <v>14938370</v>
      </c>
      <c r="DH346" s="3070">
        <v>1284348000</v>
      </c>
      <c r="DI346" s="3070">
        <v>1278128000</v>
      </c>
      <c r="DJ346" s="3070">
        <v>6220000</v>
      </c>
      <c r="DK346" s="3070">
        <v>0</v>
      </c>
      <c r="DL346" s="3070">
        <v>0</v>
      </c>
      <c r="DM346" s="3070">
        <v>25491817.620000001</v>
      </c>
      <c r="DN346" s="3070">
        <v>2764253109</v>
      </c>
      <c r="DP346" s="3070">
        <v>2764253109</v>
      </c>
    </row>
    <row r="347" spans="1:120">
      <c r="A347" s="3070">
        <v>346</v>
      </c>
      <c r="B347" s="3070" t="s">
        <v>3224</v>
      </c>
      <c r="C347" s="3070">
        <v>4</v>
      </c>
      <c r="D347" s="3070">
        <v>2</v>
      </c>
      <c r="E347" s="3070">
        <v>1004</v>
      </c>
      <c r="F347" s="3070" t="s">
        <v>6103</v>
      </c>
      <c r="G347" s="3070" t="s">
        <v>6104</v>
      </c>
      <c r="H347" s="3070">
        <v>1683033</v>
      </c>
      <c r="I347" s="3070">
        <v>1683033</v>
      </c>
      <c r="J347" s="3070">
        <v>132.99</v>
      </c>
      <c r="K347" s="3070">
        <v>100.87</v>
      </c>
      <c r="L347" s="3070">
        <v>0</v>
      </c>
      <c r="M347" s="3070">
        <v>0</v>
      </c>
      <c r="N347" s="3070">
        <v>15594.44</v>
      </c>
      <c r="O347" s="3070">
        <v>2073905</v>
      </c>
      <c r="P347" s="3070">
        <v>12655.33</v>
      </c>
      <c r="Q347" s="3070">
        <v>1683033</v>
      </c>
      <c r="R347" s="3070" t="s">
        <v>3227</v>
      </c>
      <c r="S347" s="3070" t="s">
        <v>6105</v>
      </c>
      <c r="T347" s="3070" t="s">
        <v>3246</v>
      </c>
      <c r="U347" s="3070" t="s">
        <v>3279</v>
      </c>
      <c r="V347" s="3070" t="s">
        <v>3230</v>
      </c>
      <c r="Y347" s="3070">
        <v>1103033</v>
      </c>
      <c r="Z347" s="3070">
        <v>1103033</v>
      </c>
      <c r="AA347" s="3070">
        <v>1103033</v>
      </c>
      <c r="AB347" s="3070">
        <v>0</v>
      </c>
      <c r="AC347" s="3070">
        <v>580000</v>
      </c>
      <c r="AD347" s="3070">
        <v>580000</v>
      </c>
      <c r="AE347" s="3070">
        <v>0</v>
      </c>
      <c r="AI347" s="3070" t="s">
        <v>3227</v>
      </c>
      <c r="AJ347" s="3070">
        <v>0</v>
      </c>
      <c r="AK347" s="3070">
        <v>0</v>
      </c>
      <c r="AL347" s="3070">
        <v>0</v>
      </c>
      <c r="AM347" s="3070">
        <v>12655.33</v>
      </c>
      <c r="AN347" s="3070">
        <v>1683033</v>
      </c>
      <c r="AP347" s="3070">
        <v>1683033</v>
      </c>
      <c r="AQ347" s="3072">
        <v>45230</v>
      </c>
      <c r="AT347" s="3073">
        <v>45770</v>
      </c>
      <c r="AV347" s="3070" t="s">
        <v>6106</v>
      </c>
      <c r="AW347" s="3070" t="s">
        <v>6107</v>
      </c>
      <c r="AX347" s="3070" t="s">
        <v>6108</v>
      </c>
      <c r="AY347" s="3070" t="s">
        <v>3954</v>
      </c>
      <c r="BC347" s="3070" t="s">
        <v>3284</v>
      </c>
      <c r="BD347" s="3070" t="s">
        <v>3075</v>
      </c>
      <c r="BI347" s="3070" t="s">
        <v>3235</v>
      </c>
      <c r="BJ347" s="3070" t="s">
        <v>3598</v>
      </c>
      <c r="BL347" s="3070" t="s">
        <v>6109</v>
      </c>
      <c r="BM347" s="3075">
        <v>44288</v>
      </c>
      <c r="BN347" s="3070">
        <v>-10</v>
      </c>
      <c r="BO347" s="3070" t="s">
        <v>3253</v>
      </c>
      <c r="BR347" s="3070">
        <v>643</v>
      </c>
      <c r="BS347" s="3070" t="s">
        <v>3238</v>
      </c>
      <c r="BZ347" s="3073">
        <v>44142.693749999999</v>
      </c>
      <c r="CA347" s="3070">
        <v>4</v>
      </c>
      <c r="CD347" s="3070" t="s">
        <v>3239</v>
      </c>
      <c r="CF347" s="3070" t="s">
        <v>3091</v>
      </c>
      <c r="CH347" s="3070" t="s">
        <v>3240</v>
      </c>
      <c r="CI347" s="3070">
        <v>0</v>
      </c>
      <c r="CK347" s="3070" t="s">
        <v>3957</v>
      </c>
      <c r="CL347" s="3070" t="s">
        <v>3954</v>
      </c>
      <c r="CM347" s="3070">
        <v>1544066.97</v>
      </c>
      <c r="CV347" s="3070" t="s">
        <v>3246</v>
      </c>
      <c r="CW347" s="3070" t="s">
        <v>6110</v>
      </c>
      <c r="CX347" s="3070" t="s">
        <v>3267</v>
      </c>
      <c r="CZ347" s="3070">
        <v>213894.57</v>
      </c>
      <c r="DA347" s="3070">
        <v>159426.93</v>
      </c>
      <c r="DB347" s="3070">
        <v>0</v>
      </c>
      <c r="DC347" s="3070">
        <v>0</v>
      </c>
      <c r="DD347" s="3070">
        <v>3290547602</v>
      </c>
      <c r="DE347" s="3070">
        <v>2764253109</v>
      </c>
      <c r="DF347" s="3070">
        <v>1464966739</v>
      </c>
      <c r="DG347" s="3070">
        <v>14938370</v>
      </c>
      <c r="DH347" s="3070">
        <v>1284348000</v>
      </c>
      <c r="DI347" s="3070">
        <v>1278128000</v>
      </c>
      <c r="DJ347" s="3070">
        <v>6220000</v>
      </c>
      <c r="DK347" s="3070">
        <v>0</v>
      </c>
      <c r="DL347" s="3070">
        <v>0</v>
      </c>
      <c r="DM347" s="3070">
        <v>25491817.620000001</v>
      </c>
      <c r="DN347" s="3070">
        <v>2764253109</v>
      </c>
      <c r="DP347" s="3070">
        <v>2764253109</v>
      </c>
    </row>
    <row r="348" spans="1:120">
      <c r="A348" s="3070">
        <v>347</v>
      </c>
      <c r="B348" s="3070" t="s">
        <v>3224</v>
      </c>
      <c r="C348" s="3070">
        <v>4</v>
      </c>
      <c r="D348" s="3070">
        <v>2</v>
      </c>
      <c r="E348" s="3070">
        <v>1005</v>
      </c>
      <c r="F348" s="3070" t="s">
        <v>6111</v>
      </c>
      <c r="G348" s="3070" t="s">
        <v>6112</v>
      </c>
      <c r="H348" s="3070">
        <v>1359013</v>
      </c>
      <c r="I348" s="3070">
        <v>1359013</v>
      </c>
      <c r="J348" s="3070">
        <v>105.02</v>
      </c>
      <c r="K348" s="3070">
        <v>79.66</v>
      </c>
      <c r="L348" s="3070">
        <v>0</v>
      </c>
      <c r="M348" s="3070">
        <v>0</v>
      </c>
      <c r="N348" s="3070">
        <v>15894.44</v>
      </c>
      <c r="O348" s="3070">
        <v>1669234</v>
      </c>
      <c r="P348" s="3070">
        <v>12940.52</v>
      </c>
      <c r="Q348" s="3070">
        <v>1359013</v>
      </c>
      <c r="R348" s="3070" t="s">
        <v>3227</v>
      </c>
      <c r="S348" s="3070" t="s">
        <v>6113</v>
      </c>
      <c r="T348" s="3070" t="s">
        <v>3258</v>
      </c>
      <c r="U348" s="3070" t="s">
        <v>3259</v>
      </c>
      <c r="V348" s="3070" t="s">
        <v>3230</v>
      </c>
      <c r="Y348" s="3070">
        <v>549013</v>
      </c>
      <c r="Z348" s="3070">
        <v>135901</v>
      </c>
      <c r="AA348" s="3070">
        <v>549013</v>
      </c>
      <c r="AB348" s="3070">
        <v>0</v>
      </c>
      <c r="AC348" s="3070">
        <v>810000</v>
      </c>
      <c r="AD348" s="3070">
        <v>810000</v>
      </c>
      <c r="AE348" s="3070">
        <v>0</v>
      </c>
      <c r="AI348" s="3070" t="s">
        <v>3227</v>
      </c>
      <c r="AJ348" s="3070">
        <v>0</v>
      </c>
      <c r="AK348" s="3070">
        <v>0</v>
      </c>
      <c r="AL348" s="3070">
        <v>0</v>
      </c>
      <c r="AM348" s="3070">
        <v>12940.52</v>
      </c>
      <c r="AN348" s="3070">
        <v>1359013</v>
      </c>
      <c r="AP348" s="3070">
        <v>1359013</v>
      </c>
      <c r="AQ348" s="3072">
        <v>45230</v>
      </c>
      <c r="AT348" s="3073">
        <v>45770</v>
      </c>
      <c r="AV348" s="3070" t="s">
        <v>6114</v>
      </c>
      <c r="AW348" s="3070" t="s">
        <v>6115</v>
      </c>
      <c r="AX348" s="3070" t="s">
        <v>6116</v>
      </c>
      <c r="AY348" s="3070" t="s">
        <v>3318</v>
      </c>
      <c r="BC348" s="3070" t="s">
        <v>3263</v>
      </c>
      <c r="BD348" s="3070" t="s">
        <v>3077</v>
      </c>
      <c r="BI348" s="3070" t="s">
        <v>3295</v>
      </c>
      <c r="BJ348" s="3070" t="s">
        <v>3598</v>
      </c>
      <c r="BL348" s="3070" t="s">
        <v>6117</v>
      </c>
      <c r="BM348" s="3075">
        <v>44288</v>
      </c>
      <c r="BN348" s="3070">
        <v>-10</v>
      </c>
      <c r="BO348" s="3070" t="s">
        <v>3253</v>
      </c>
      <c r="BP348" s="3070" t="s">
        <v>3253</v>
      </c>
      <c r="BR348" s="3070">
        <v>6</v>
      </c>
      <c r="BS348" s="3070" t="s">
        <v>3238</v>
      </c>
      <c r="BZ348" s="3073">
        <v>44153.794444444444</v>
      </c>
      <c r="CA348" s="3070">
        <v>4</v>
      </c>
      <c r="CD348" s="3070" t="s">
        <v>3239</v>
      </c>
      <c r="CF348" s="3070" t="s">
        <v>3091</v>
      </c>
      <c r="CH348" s="3070" t="s">
        <v>3240</v>
      </c>
      <c r="CI348" s="3070">
        <v>0</v>
      </c>
      <c r="CJ348" s="3070" t="s">
        <v>3259</v>
      </c>
      <c r="CK348" s="3070" t="s">
        <v>3318</v>
      </c>
      <c r="CL348" s="3070" t="s">
        <v>3318</v>
      </c>
      <c r="CM348" s="3070">
        <v>1246800.92</v>
      </c>
      <c r="CV348" s="3070" t="s">
        <v>3258</v>
      </c>
      <c r="CW348" s="3070" t="s">
        <v>6118</v>
      </c>
      <c r="CZ348" s="3070">
        <v>213894.57</v>
      </c>
      <c r="DA348" s="3070">
        <v>159426.93</v>
      </c>
      <c r="DB348" s="3070">
        <v>0</v>
      </c>
      <c r="DC348" s="3070">
        <v>0</v>
      </c>
      <c r="DD348" s="3070">
        <v>3290547602</v>
      </c>
      <c r="DE348" s="3070">
        <v>2764253109</v>
      </c>
      <c r="DF348" s="3070">
        <v>1464966739</v>
      </c>
      <c r="DG348" s="3070">
        <v>14938370</v>
      </c>
      <c r="DH348" s="3070">
        <v>1284348000</v>
      </c>
      <c r="DI348" s="3070">
        <v>1278128000</v>
      </c>
      <c r="DJ348" s="3070">
        <v>6220000</v>
      </c>
      <c r="DK348" s="3070">
        <v>0</v>
      </c>
      <c r="DL348" s="3070">
        <v>0</v>
      </c>
      <c r="DM348" s="3070">
        <v>25491817.620000001</v>
      </c>
      <c r="DN348" s="3070">
        <v>2764253109</v>
      </c>
      <c r="DP348" s="3070">
        <v>2764253109</v>
      </c>
    </row>
    <row r="349" spans="1:120">
      <c r="A349" s="3070">
        <v>348</v>
      </c>
      <c r="B349" s="3070" t="s">
        <v>3224</v>
      </c>
      <c r="C349" s="3070">
        <v>4</v>
      </c>
      <c r="D349" s="3070">
        <v>2</v>
      </c>
      <c r="E349" s="3070">
        <v>1006</v>
      </c>
      <c r="F349" s="3070" t="s">
        <v>6119</v>
      </c>
      <c r="G349" s="3070" t="s">
        <v>6120</v>
      </c>
      <c r="H349" s="3070">
        <v>1636103</v>
      </c>
      <c r="I349" s="3070">
        <v>1636103</v>
      </c>
      <c r="J349" s="3070">
        <v>132.62</v>
      </c>
      <c r="K349" s="3070">
        <v>100.59</v>
      </c>
      <c r="L349" s="3070">
        <v>0</v>
      </c>
      <c r="M349" s="3070">
        <v>0</v>
      </c>
      <c r="N349" s="3070">
        <v>15794.44</v>
      </c>
      <c r="O349" s="3070">
        <v>2094659</v>
      </c>
      <c r="P349" s="3070">
        <v>12336.77</v>
      </c>
      <c r="Q349" s="3070">
        <v>1636103</v>
      </c>
      <c r="R349" s="3070" t="s">
        <v>3227</v>
      </c>
      <c r="S349" s="3070" t="s">
        <v>6121</v>
      </c>
      <c r="T349" s="3070" t="s">
        <v>3494</v>
      </c>
      <c r="V349" s="3070" t="s">
        <v>3230</v>
      </c>
      <c r="Y349" s="3070">
        <v>163610</v>
      </c>
      <c r="Z349" s="3070">
        <v>163610</v>
      </c>
      <c r="AA349" s="3070">
        <v>1636103</v>
      </c>
      <c r="AB349" s="3070">
        <v>0</v>
      </c>
      <c r="AC349" s="3070">
        <v>0</v>
      </c>
      <c r="AD349" s="3070">
        <v>0</v>
      </c>
      <c r="AE349" s="3070">
        <v>0</v>
      </c>
      <c r="AI349" s="3070" t="s">
        <v>3227</v>
      </c>
      <c r="AJ349" s="3070">
        <v>0</v>
      </c>
      <c r="AK349" s="3070">
        <v>0</v>
      </c>
      <c r="AL349" s="3070">
        <v>0</v>
      </c>
      <c r="AM349" s="3070">
        <v>12336.77</v>
      </c>
      <c r="AN349" s="3070">
        <v>1636103</v>
      </c>
      <c r="AP349" s="3070">
        <v>1636103</v>
      </c>
      <c r="AQ349" s="3072">
        <v>45230</v>
      </c>
      <c r="AT349" s="3073">
        <v>45770</v>
      </c>
      <c r="AV349" s="3074">
        <v>3.21E+17</v>
      </c>
      <c r="AW349" s="3070" t="s">
        <v>6122</v>
      </c>
      <c r="AX349" s="3070" t="s">
        <v>6123</v>
      </c>
      <c r="AY349" s="3070" t="s">
        <v>3306</v>
      </c>
      <c r="BC349" s="3070" t="s">
        <v>6124</v>
      </c>
      <c r="BD349" s="3070" t="s">
        <v>3075</v>
      </c>
      <c r="BI349" s="3070" t="s">
        <v>3235</v>
      </c>
      <c r="BJ349" s="3070" t="s">
        <v>3296</v>
      </c>
      <c r="BL349" s="3070" t="s">
        <v>6125</v>
      </c>
      <c r="BM349" s="3075">
        <v>44288</v>
      </c>
      <c r="BN349" s="3070">
        <v>-10</v>
      </c>
      <c r="BR349" s="3070">
        <v>0</v>
      </c>
      <c r="BS349" s="3070" t="s">
        <v>3238</v>
      </c>
      <c r="BZ349" s="3073">
        <v>44153.884027777778</v>
      </c>
      <c r="CA349" s="3070">
        <v>4</v>
      </c>
      <c r="CD349" s="3070" t="s">
        <v>3239</v>
      </c>
      <c r="CF349" s="3070" t="s">
        <v>3091</v>
      </c>
      <c r="CH349" s="3070" t="s">
        <v>3240</v>
      </c>
      <c r="CI349" s="3070">
        <v>0</v>
      </c>
      <c r="CK349" s="3070" t="s">
        <v>3306</v>
      </c>
      <c r="CL349" s="3070" t="s">
        <v>3306</v>
      </c>
      <c r="CM349" s="3070">
        <v>1501011.93</v>
      </c>
      <c r="CV349" s="3070" t="s">
        <v>3494</v>
      </c>
      <c r="CW349" s="3070" t="s">
        <v>6126</v>
      </c>
      <c r="CX349" s="3070" t="s">
        <v>3242</v>
      </c>
      <c r="CZ349" s="3070">
        <v>213894.57</v>
      </c>
      <c r="DA349" s="3070">
        <v>159426.93</v>
      </c>
      <c r="DB349" s="3070">
        <v>0</v>
      </c>
      <c r="DC349" s="3070">
        <v>0</v>
      </c>
      <c r="DD349" s="3070">
        <v>3290547602</v>
      </c>
      <c r="DE349" s="3070">
        <v>2764253109</v>
      </c>
      <c r="DF349" s="3070">
        <v>1464966739</v>
      </c>
      <c r="DG349" s="3070">
        <v>14938370</v>
      </c>
      <c r="DH349" s="3070">
        <v>1284348000</v>
      </c>
      <c r="DI349" s="3070">
        <v>1278128000</v>
      </c>
      <c r="DJ349" s="3070">
        <v>6220000</v>
      </c>
      <c r="DK349" s="3070">
        <v>0</v>
      </c>
      <c r="DL349" s="3070">
        <v>0</v>
      </c>
      <c r="DM349" s="3070">
        <v>25491817.620000001</v>
      </c>
      <c r="DN349" s="3070">
        <v>2764253109</v>
      </c>
      <c r="DP349" s="3070">
        <v>2764253109</v>
      </c>
    </row>
    <row r="350" spans="1:120">
      <c r="A350" s="3070">
        <v>349</v>
      </c>
      <c r="B350" s="3070" t="s">
        <v>3224</v>
      </c>
      <c r="C350" s="3070">
        <v>4</v>
      </c>
      <c r="D350" s="3070">
        <v>1</v>
      </c>
      <c r="E350" s="3070">
        <v>101</v>
      </c>
      <c r="F350" s="3070" t="s">
        <v>6127</v>
      </c>
      <c r="G350" s="3070" t="s">
        <v>6128</v>
      </c>
      <c r="H350" s="3070">
        <v>1192370</v>
      </c>
      <c r="I350" s="3070">
        <v>1192370</v>
      </c>
      <c r="J350" s="3070">
        <v>130.83000000000001</v>
      </c>
      <c r="K350" s="3070">
        <v>99.24</v>
      </c>
      <c r="L350" s="3070">
        <v>0</v>
      </c>
      <c r="M350" s="3070">
        <v>0</v>
      </c>
      <c r="N350" s="3070">
        <v>15194.44</v>
      </c>
      <c r="O350" s="3070">
        <v>1987889</v>
      </c>
      <c r="P350" s="3070">
        <v>9113.89</v>
      </c>
      <c r="Q350" s="3070">
        <v>1192370</v>
      </c>
      <c r="R350" s="3070" t="s">
        <v>3227</v>
      </c>
      <c r="S350" s="3070" t="s">
        <v>6129</v>
      </c>
      <c r="T350" s="3070" t="s">
        <v>4158</v>
      </c>
      <c r="V350" s="3070" t="s">
        <v>3230</v>
      </c>
      <c r="Y350" s="3070">
        <v>596185</v>
      </c>
      <c r="Z350" s="3070">
        <v>596185</v>
      </c>
      <c r="AA350" s="3070">
        <v>1192370</v>
      </c>
      <c r="AB350" s="3070">
        <v>0</v>
      </c>
      <c r="AC350" s="3070">
        <v>0</v>
      </c>
      <c r="AD350" s="3070">
        <v>0</v>
      </c>
      <c r="AE350" s="3070">
        <v>0</v>
      </c>
      <c r="AI350" s="3070" t="s">
        <v>3227</v>
      </c>
      <c r="AJ350" s="3070">
        <v>0</v>
      </c>
      <c r="AK350" s="3070">
        <v>0</v>
      </c>
      <c r="AL350" s="3070">
        <v>0</v>
      </c>
      <c r="AM350" s="3070">
        <v>9113.89</v>
      </c>
      <c r="AN350" s="3070">
        <v>1192370</v>
      </c>
      <c r="AP350" s="3070">
        <v>1192370</v>
      </c>
      <c r="AQ350" s="3072">
        <v>45230</v>
      </c>
      <c r="AT350" s="3073">
        <v>45770</v>
      </c>
      <c r="AV350" s="3074">
        <v>3.21E+17</v>
      </c>
      <c r="AW350" s="3070" t="s">
        <v>6130</v>
      </c>
      <c r="AX350" s="3070" t="s">
        <v>6131</v>
      </c>
      <c r="AY350" s="3070" t="s">
        <v>4706</v>
      </c>
      <c r="BC350" s="3070" t="s">
        <v>5813</v>
      </c>
      <c r="BD350" s="3070" t="s">
        <v>3075</v>
      </c>
      <c r="BI350" s="3070" t="s">
        <v>3235</v>
      </c>
      <c r="BJ350" s="3070" t="s">
        <v>3296</v>
      </c>
      <c r="BL350" s="3070" t="s">
        <v>6132</v>
      </c>
      <c r="BM350" s="3075">
        <v>44287</v>
      </c>
      <c r="BN350" s="3070">
        <v>-10</v>
      </c>
      <c r="BR350" s="3070">
        <v>0</v>
      </c>
      <c r="BS350" s="3070" t="s">
        <v>3238</v>
      </c>
      <c r="BV350" s="3070" t="s">
        <v>6133</v>
      </c>
      <c r="BW350" s="3070" t="s">
        <v>6134</v>
      </c>
      <c r="BX350" s="3070" t="s">
        <v>6135</v>
      </c>
      <c r="BZ350" s="3073">
        <v>44268.426388888889</v>
      </c>
      <c r="CA350" s="3070">
        <v>4</v>
      </c>
      <c r="CD350" s="3070" t="s">
        <v>3239</v>
      </c>
      <c r="CF350" s="3070" t="s">
        <v>3091</v>
      </c>
      <c r="CH350" s="3070" t="s">
        <v>3240</v>
      </c>
      <c r="CI350" s="3070">
        <v>0</v>
      </c>
      <c r="CK350" s="3070" t="s">
        <v>6136</v>
      </c>
      <c r="CL350" s="3070" t="s">
        <v>4706</v>
      </c>
      <c r="CM350" s="3070">
        <v>1093917.43</v>
      </c>
      <c r="CV350" s="3070" t="s">
        <v>3494</v>
      </c>
      <c r="CW350" s="3070" t="s">
        <v>6137</v>
      </c>
      <c r="CX350" s="3070" t="s">
        <v>3510</v>
      </c>
      <c r="CZ350" s="3070">
        <v>213894.57</v>
      </c>
      <c r="DA350" s="3070">
        <v>159426.93</v>
      </c>
      <c r="DB350" s="3070">
        <v>0</v>
      </c>
      <c r="DC350" s="3070">
        <v>0</v>
      </c>
      <c r="DD350" s="3070">
        <v>3290547602</v>
      </c>
      <c r="DE350" s="3070">
        <v>2764253109</v>
      </c>
      <c r="DF350" s="3070">
        <v>1464966739</v>
      </c>
      <c r="DG350" s="3070">
        <v>14938370</v>
      </c>
      <c r="DH350" s="3070">
        <v>1284348000</v>
      </c>
      <c r="DI350" s="3070">
        <v>1278128000</v>
      </c>
      <c r="DJ350" s="3070">
        <v>6220000</v>
      </c>
      <c r="DK350" s="3070">
        <v>0</v>
      </c>
      <c r="DL350" s="3070">
        <v>0</v>
      </c>
      <c r="DM350" s="3070">
        <v>25491817.620000001</v>
      </c>
      <c r="DN350" s="3070">
        <v>2764253109</v>
      </c>
      <c r="DP350" s="3070">
        <v>2764253109</v>
      </c>
    </row>
    <row r="351" spans="1:120">
      <c r="A351" s="3070">
        <v>350</v>
      </c>
      <c r="B351" s="3070" t="s">
        <v>3224</v>
      </c>
      <c r="C351" s="3070">
        <v>4</v>
      </c>
      <c r="D351" s="3070">
        <v>1</v>
      </c>
      <c r="E351" s="3070">
        <v>102</v>
      </c>
      <c r="F351" s="3070" t="s">
        <v>6138</v>
      </c>
      <c r="G351" s="3070" t="s">
        <v>6139</v>
      </c>
      <c r="H351" s="3070">
        <v>540542</v>
      </c>
      <c r="I351" s="3070">
        <v>540542</v>
      </c>
      <c r="J351" s="3070">
        <v>43.53</v>
      </c>
      <c r="K351" s="3070">
        <v>33.020000000000003</v>
      </c>
      <c r="L351" s="3070">
        <v>0</v>
      </c>
      <c r="M351" s="3070">
        <v>0</v>
      </c>
      <c r="N351" s="3070">
        <v>15344.43</v>
      </c>
      <c r="O351" s="3070">
        <v>667943</v>
      </c>
      <c r="P351" s="3070">
        <v>12417.69</v>
      </c>
      <c r="Q351" s="3070">
        <v>540542</v>
      </c>
      <c r="R351" s="3070" t="s">
        <v>3227</v>
      </c>
      <c r="S351" s="3070" t="s">
        <v>6140</v>
      </c>
      <c r="T351" s="3070" t="s">
        <v>3246</v>
      </c>
      <c r="U351" s="3070" t="s">
        <v>3247</v>
      </c>
      <c r="V351" s="3070" t="s">
        <v>3230</v>
      </c>
      <c r="Y351" s="3070">
        <v>440542</v>
      </c>
      <c r="Z351" s="3070">
        <v>440542</v>
      </c>
      <c r="AA351" s="3070">
        <v>440542</v>
      </c>
      <c r="AB351" s="3070">
        <v>0</v>
      </c>
      <c r="AC351" s="3070">
        <v>100000</v>
      </c>
      <c r="AD351" s="3070">
        <v>100000</v>
      </c>
      <c r="AE351" s="3070">
        <v>0</v>
      </c>
      <c r="AI351" s="3070" t="s">
        <v>3227</v>
      </c>
      <c r="AJ351" s="3070">
        <v>0</v>
      </c>
      <c r="AK351" s="3070">
        <v>0</v>
      </c>
      <c r="AL351" s="3070">
        <v>0</v>
      </c>
      <c r="AM351" s="3070">
        <v>12417.69</v>
      </c>
      <c r="AN351" s="3070">
        <v>540542</v>
      </c>
      <c r="AP351" s="3070">
        <v>540542</v>
      </c>
      <c r="AQ351" s="3072">
        <v>45230</v>
      </c>
      <c r="AT351" s="3073">
        <v>45770</v>
      </c>
      <c r="AV351" s="3070" t="s">
        <v>6141</v>
      </c>
      <c r="AW351" s="3070" t="s">
        <v>6142</v>
      </c>
      <c r="AX351" s="3070" t="s">
        <v>6143</v>
      </c>
      <c r="AY351" s="3070" t="s">
        <v>3597</v>
      </c>
      <c r="BC351" s="3070" t="s">
        <v>3284</v>
      </c>
      <c r="BD351" s="3070" t="s">
        <v>6144</v>
      </c>
      <c r="BI351" s="3070" t="s">
        <v>3295</v>
      </c>
      <c r="BJ351" s="3070" t="s">
        <v>3598</v>
      </c>
      <c r="BL351" s="3070" t="s">
        <v>6145</v>
      </c>
      <c r="BM351" s="3075">
        <v>44287</v>
      </c>
      <c r="BN351" s="3070">
        <v>-10</v>
      </c>
      <c r="BO351" s="3070" t="s">
        <v>3253</v>
      </c>
      <c r="BR351" s="3070">
        <v>0</v>
      </c>
      <c r="BS351" s="3070" t="s">
        <v>3238</v>
      </c>
      <c r="BZ351" s="3073">
        <v>44146.747916666667</v>
      </c>
      <c r="CA351" s="3070">
        <v>4</v>
      </c>
      <c r="CD351" s="3070" t="s">
        <v>3239</v>
      </c>
      <c r="CF351" s="3070" t="s">
        <v>3091</v>
      </c>
      <c r="CH351" s="3070" t="s">
        <v>3240</v>
      </c>
      <c r="CI351" s="3070">
        <v>0</v>
      </c>
      <c r="CK351" s="3070" t="s">
        <v>3597</v>
      </c>
      <c r="CL351" s="3070" t="s">
        <v>3597</v>
      </c>
      <c r="CM351" s="3070">
        <v>495910.09</v>
      </c>
      <c r="CV351" s="3070" t="s">
        <v>3246</v>
      </c>
      <c r="CW351" s="3070" t="s">
        <v>6146</v>
      </c>
      <c r="CZ351" s="3070">
        <v>213894.57</v>
      </c>
      <c r="DA351" s="3070">
        <v>159426.93</v>
      </c>
      <c r="DB351" s="3070">
        <v>0</v>
      </c>
      <c r="DC351" s="3070">
        <v>0</v>
      </c>
      <c r="DD351" s="3070">
        <v>3290547602</v>
      </c>
      <c r="DE351" s="3070">
        <v>2764253109</v>
      </c>
      <c r="DF351" s="3070">
        <v>1464966739</v>
      </c>
      <c r="DG351" s="3070">
        <v>14938370</v>
      </c>
      <c r="DH351" s="3070">
        <v>1284348000</v>
      </c>
      <c r="DI351" s="3070">
        <v>1278128000</v>
      </c>
      <c r="DJ351" s="3070">
        <v>6220000</v>
      </c>
      <c r="DK351" s="3070">
        <v>0</v>
      </c>
      <c r="DL351" s="3070">
        <v>0</v>
      </c>
      <c r="DM351" s="3070">
        <v>25491817.620000001</v>
      </c>
      <c r="DN351" s="3070">
        <v>2764253109</v>
      </c>
      <c r="DP351" s="3070">
        <v>2764253109</v>
      </c>
    </row>
    <row r="352" spans="1:120">
      <c r="A352" s="3070">
        <v>351</v>
      </c>
      <c r="B352" s="3070" t="s">
        <v>3224</v>
      </c>
      <c r="C352" s="3070">
        <v>4</v>
      </c>
      <c r="D352" s="3070">
        <v>1</v>
      </c>
      <c r="E352" s="3070">
        <v>103</v>
      </c>
      <c r="F352" s="3070" t="s">
        <v>6147</v>
      </c>
      <c r="G352" s="3070" t="s">
        <v>6148</v>
      </c>
      <c r="H352" s="3070">
        <v>1390467</v>
      </c>
      <c r="I352" s="3070">
        <v>1390467</v>
      </c>
      <c r="J352" s="3070">
        <v>149.87</v>
      </c>
      <c r="K352" s="3070">
        <v>113.68</v>
      </c>
      <c r="L352" s="3070">
        <v>0</v>
      </c>
      <c r="M352" s="3070">
        <v>0</v>
      </c>
      <c r="N352" s="3070">
        <v>15044.44</v>
      </c>
      <c r="O352" s="3070">
        <v>2254710</v>
      </c>
      <c r="P352" s="3070">
        <v>9277.82</v>
      </c>
      <c r="Q352" s="3070">
        <v>1390467</v>
      </c>
      <c r="R352" s="3070" t="s">
        <v>3227</v>
      </c>
      <c r="S352" s="3070" t="s">
        <v>6149</v>
      </c>
      <c r="T352" s="3070" t="s">
        <v>4158</v>
      </c>
      <c r="V352" s="3070" t="s">
        <v>3230</v>
      </c>
      <c r="Y352" s="3070">
        <v>695234</v>
      </c>
      <c r="Z352" s="3070">
        <v>695234</v>
      </c>
      <c r="AA352" s="3070">
        <v>1390467</v>
      </c>
      <c r="AB352" s="3070">
        <v>0</v>
      </c>
      <c r="AC352" s="3070">
        <v>0</v>
      </c>
      <c r="AD352" s="3070">
        <v>0</v>
      </c>
      <c r="AE352" s="3070">
        <v>0</v>
      </c>
      <c r="AI352" s="3070" t="s">
        <v>3227</v>
      </c>
      <c r="AJ352" s="3070">
        <v>0</v>
      </c>
      <c r="AK352" s="3070">
        <v>0</v>
      </c>
      <c r="AL352" s="3070">
        <v>0</v>
      </c>
      <c r="AM352" s="3070">
        <v>9277.82</v>
      </c>
      <c r="AN352" s="3070">
        <v>1390467</v>
      </c>
      <c r="AP352" s="3070">
        <v>1390467</v>
      </c>
      <c r="AQ352" s="3072">
        <v>45230</v>
      </c>
      <c r="AT352" s="3073">
        <v>45770</v>
      </c>
      <c r="AV352" s="3074">
        <v>3.21E+17</v>
      </c>
      <c r="AW352" s="3070" t="s">
        <v>6150</v>
      </c>
      <c r="AX352" s="3070" t="s">
        <v>6151</v>
      </c>
      <c r="AY352" s="3070" t="s">
        <v>3883</v>
      </c>
      <c r="BC352" s="3070" t="s">
        <v>6152</v>
      </c>
      <c r="BD352" s="3070" t="s">
        <v>6153</v>
      </c>
      <c r="BI352" s="3070" t="s">
        <v>3235</v>
      </c>
      <c r="BJ352" s="3070" t="s">
        <v>3328</v>
      </c>
      <c r="BL352" s="3070" t="s">
        <v>6154</v>
      </c>
      <c r="BM352" s="3075">
        <v>44287</v>
      </c>
      <c r="BN352" s="3070">
        <v>-10</v>
      </c>
      <c r="BR352" s="3070">
        <v>0</v>
      </c>
      <c r="BS352" s="3070" t="s">
        <v>3238</v>
      </c>
      <c r="BZ352" s="3073">
        <v>44268.647222222222</v>
      </c>
      <c r="CA352" s="3070">
        <v>4</v>
      </c>
      <c r="CD352" s="3070" t="s">
        <v>3239</v>
      </c>
      <c r="CF352" s="3070" t="s">
        <v>3091</v>
      </c>
      <c r="CH352" s="3070" t="s">
        <v>3240</v>
      </c>
      <c r="CI352" s="3070">
        <v>0</v>
      </c>
      <c r="CK352" s="3070" t="s">
        <v>3883</v>
      </c>
      <c r="CL352" s="3070" t="s">
        <v>3883</v>
      </c>
      <c r="CM352" s="3070">
        <v>1275657.8</v>
      </c>
      <c r="CV352" s="3070" t="s">
        <v>3494</v>
      </c>
      <c r="CW352" s="3070" t="s">
        <v>6155</v>
      </c>
      <c r="CX352" s="3070" t="s">
        <v>3311</v>
      </c>
      <c r="CZ352" s="3070">
        <v>213894.57</v>
      </c>
      <c r="DA352" s="3070">
        <v>159426.93</v>
      </c>
      <c r="DB352" s="3070">
        <v>0</v>
      </c>
      <c r="DC352" s="3070">
        <v>0</v>
      </c>
      <c r="DD352" s="3070">
        <v>3290547602</v>
      </c>
      <c r="DE352" s="3070">
        <v>2764253109</v>
      </c>
      <c r="DF352" s="3070">
        <v>1464966739</v>
      </c>
      <c r="DG352" s="3070">
        <v>14938370</v>
      </c>
      <c r="DH352" s="3070">
        <v>1284348000</v>
      </c>
      <c r="DI352" s="3070">
        <v>1278128000</v>
      </c>
      <c r="DJ352" s="3070">
        <v>6220000</v>
      </c>
      <c r="DK352" s="3070">
        <v>0</v>
      </c>
      <c r="DL352" s="3070">
        <v>0</v>
      </c>
      <c r="DM352" s="3070">
        <v>25491817.620000001</v>
      </c>
      <c r="DN352" s="3070">
        <v>2764253109</v>
      </c>
      <c r="DP352" s="3070">
        <v>2764253109</v>
      </c>
    </row>
    <row r="353" spans="1:120">
      <c r="A353" s="3070">
        <v>352</v>
      </c>
      <c r="B353" s="3070" t="s">
        <v>3224</v>
      </c>
      <c r="C353" s="3070">
        <v>4</v>
      </c>
      <c r="D353" s="3070">
        <v>2</v>
      </c>
      <c r="E353" s="3070">
        <v>104</v>
      </c>
      <c r="F353" s="3070" t="s">
        <v>6156</v>
      </c>
      <c r="G353" s="3070" t="s">
        <v>6157</v>
      </c>
      <c r="H353" s="3070">
        <v>1360467</v>
      </c>
      <c r="I353" s="3070">
        <v>1360467</v>
      </c>
      <c r="J353" s="3070">
        <v>149.87</v>
      </c>
      <c r="K353" s="3070">
        <v>113.68</v>
      </c>
      <c r="L353" s="3070">
        <v>0</v>
      </c>
      <c r="M353" s="3070">
        <v>0</v>
      </c>
      <c r="N353" s="3070">
        <v>15044.44</v>
      </c>
      <c r="O353" s="3070">
        <v>2254710</v>
      </c>
      <c r="P353" s="3070">
        <v>9077.65</v>
      </c>
      <c r="Q353" s="3070">
        <v>1360467</v>
      </c>
      <c r="R353" s="3070" t="s">
        <v>3227</v>
      </c>
      <c r="S353" s="3070" t="s">
        <v>6158</v>
      </c>
      <c r="T353" s="3070" t="s">
        <v>4158</v>
      </c>
      <c r="V353" s="3070" t="s">
        <v>3230</v>
      </c>
      <c r="Y353" s="3070">
        <v>680234</v>
      </c>
      <c r="Z353" s="3070">
        <v>680234</v>
      </c>
      <c r="AA353" s="3070">
        <v>1360467</v>
      </c>
      <c r="AB353" s="3070">
        <v>0</v>
      </c>
      <c r="AC353" s="3070">
        <v>0</v>
      </c>
      <c r="AD353" s="3070">
        <v>0</v>
      </c>
      <c r="AE353" s="3070">
        <v>0</v>
      </c>
      <c r="AI353" s="3070" t="s">
        <v>3227</v>
      </c>
      <c r="AJ353" s="3070">
        <v>0</v>
      </c>
      <c r="AK353" s="3070">
        <v>0</v>
      </c>
      <c r="AL353" s="3070">
        <v>0</v>
      </c>
      <c r="AM353" s="3070">
        <v>9077.65</v>
      </c>
      <c r="AN353" s="3070">
        <v>1360467</v>
      </c>
      <c r="AP353" s="3070">
        <v>1360467</v>
      </c>
      <c r="AQ353" s="3072">
        <v>45230</v>
      </c>
      <c r="AT353" s="3073">
        <v>45770</v>
      </c>
      <c r="AV353" s="3070" t="s">
        <v>6159</v>
      </c>
      <c r="AW353" s="3070" t="s">
        <v>6160</v>
      </c>
      <c r="AX353" s="3070" t="s">
        <v>6161</v>
      </c>
      <c r="AY353" s="3070" t="s">
        <v>3981</v>
      </c>
      <c r="BC353" s="3070" t="s">
        <v>5813</v>
      </c>
      <c r="BD353" s="3070" t="s">
        <v>6153</v>
      </c>
      <c r="BI353" s="3070" t="s">
        <v>3235</v>
      </c>
      <c r="BJ353" s="3070" t="s">
        <v>3296</v>
      </c>
      <c r="BL353" s="3070" t="s">
        <v>6162</v>
      </c>
      <c r="BM353" s="3075">
        <v>44288</v>
      </c>
      <c r="BN353" s="3070">
        <v>-10</v>
      </c>
      <c r="BR353" s="3070">
        <v>0</v>
      </c>
      <c r="BS353" s="3070" t="s">
        <v>3238</v>
      </c>
      <c r="BV353" s="3070" t="s">
        <v>6163</v>
      </c>
      <c r="BW353" s="3070" t="s">
        <v>6164</v>
      </c>
      <c r="BX353" s="3070" t="s">
        <v>6165</v>
      </c>
      <c r="BZ353" s="3073">
        <v>44261.354861111111</v>
      </c>
      <c r="CA353" s="3070">
        <v>4</v>
      </c>
      <c r="CD353" s="3070" t="s">
        <v>3239</v>
      </c>
      <c r="CF353" s="3070" t="s">
        <v>3091</v>
      </c>
      <c r="CH353" s="3070" t="s">
        <v>3240</v>
      </c>
      <c r="CI353" s="3070">
        <v>0</v>
      </c>
      <c r="CK353" s="3070" t="s">
        <v>3985</v>
      </c>
      <c r="CL353" s="3070" t="s">
        <v>3981</v>
      </c>
      <c r="CM353" s="3070">
        <v>1248134.8600000001</v>
      </c>
      <c r="CV353" s="3070" t="s">
        <v>3494</v>
      </c>
      <c r="CW353" s="3070" t="s">
        <v>6166</v>
      </c>
      <c r="CX353" s="3070" t="s">
        <v>3510</v>
      </c>
      <c r="CZ353" s="3070">
        <v>213894.57</v>
      </c>
      <c r="DA353" s="3070">
        <v>159426.93</v>
      </c>
      <c r="DB353" s="3070">
        <v>0</v>
      </c>
      <c r="DC353" s="3070">
        <v>0</v>
      </c>
      <c r="DD353" s="3070">
        <v>3290547602</v>
      </c>
      <c r="DE353" s="3070">
        <v>2764253109</v>
      </c>
      <c r="DF353" s="3070">
        <v>1464966739</v>
      </c>
      <c r="DG353" s="3070">
        <v>14938370</v>
      </c>
      <c r="DH353" s="3070">
        <v>1284348000</v>
      </c>
      <c r="DI353" s="3070">
        <v>1278128000</v>
      </c>
      <c r="DJ353" s="3070">
        <v>6220000</v>
      </c>
      <c r="DK353" s="3070">
        <v>0</v>
      </c>
      <c r="DL353" s="3070">
        <v>0</v>
      </c>
      <c r="DM353" s="3070">
        <v>25491817.620000001</v>
      </c>
      <c r="DN353" s="3070">
        <v>2764253109</v>
      </c>
      <c r="DP353" s="3070">
        <v>2764253109</v>
      </c>
    </row>
    <row r="354" spans="1:120">
      <c r="A354" s="3070">
        <v>353</v>
      </c>
      <c r="B354" s="3070" t="s">
        <v>3224</v>
      </c>
      <c r="C354" s="3070">
        <v>4</v>
      </c>
      <c r="D354" s="3070">
        <v>2</v>
      </c>
      <c r="E354" s="3070">
        <v>105</v>
      </c>
      <c r="F354" s="3070" t="s">
        <v>6167</v>
      </c>
      <c r="G354" s="3070" t="s">
        <v>6168</v>
      </c>
      <c r="H354" s="3070">
        <v>540542</v>
      </c>
      <c r="I354" s="3070">
        <v>540542</v>
      </c>
      <c r="J354" s="3070">
        <v>43.53</v>
      </c>
      <c r="K354" s="3070">
        <v>33.020000000000003</v>
      </c>
      <c r="L354" s="3070">
        <v>0</v>
      </c>
      <c r="M354" s="3070">
        <v>0</v>
      </c>
      <c r="N354" s="3070">
        <v>15344.43</v>
      </c>
      <c r="O354" s="3070">
        <v>667943</v>
      </c>
      <c r="P354" s="3070">
        <v>12417.69</v>
      </c>
      <c r="Q354" s="3070">
        <v>540542</v>
      </c>
      <c r="R354" s="3070" t="s">
        <v>3227</v>
      </c>
      <c r="S354" s="3070" t="s">
        <v>6169</v>
      </c>
      <c r="T354" s="3070" t="s">
        <v>3246</v>
      </c>
      <c r="U354" s="3070" t="s">
        <v>3371</v>
      </c>
      <c r="V354" s="3070" t="s">
        <v>3230</v>
      </c>
      <c r="Y354" s="3070">
        <v>300542</v>
      </c>
      <c r="Z354" s="3070">
        <v>300542</v>
      </c>
      <c r="AA354" s="3070">
        <v>300542</v>
      </c>
      <c r="AB354" s="3070">
        <v>0</v>
      </c>
      <c r="AC354" s="3070">
        <v>240000</v>
      </c>
      <c r="AD354" s="3070">
        <v>240000</v>
      </c>
      <c r="AE354" s="3070">
        <v>0</v>
      </c>
      <c r="AI354" s="3070" t="s">
        <v>3227</v>
      </c>
      <c r="AJ354" s="3070">
        <v>0</v>
      </c>
      <c r="AK354" s="3070">
        <v>0</v>
      </c>
      <c r="AL354" s="3070">
        <v>0</v>
      </c>
      <c r="AM354" s="3070">
        <v>12417.69</v>
      </c>
      <c r="AN354" s="3070">
        <v>540542</v>
      </c>
      <c r="AP354" s="3070">
        <v>540542</v>
      </c>
      <c r="AQ354" s="3072">
        <v>45230</v>
      </c>
      <c r="AT354" s="3073">
        <v>45770</v>
      </c>
      <c r="AV354" s="3074">
        <v>3.21E+17</v>
      </c>
      <c r="AW354" s="3070" t="s">
        <v>6170</v>
      </c>
      <c r="AX354" s="3070" t="s">
        <v>6171</v>
      </c>
      <c r="AY354" s="3070" t="s">
        <v>3648</v>
      </c>
      <c r="BC354" s="3070" t="s">
        <v>3284</v>
      </c>
      <c r="BD354" s="3070" t="s">
        <v>6144</v>
      </c>
      <c r="BI354" s="3070" t="s">
        <v>3235</v>
      </c>
      <c r="BJ354" s="3070" t="s">
        <v>3338</v>
      </c>
      <c r="BL354" s="3070" t="s">
        <v>6172</v>
      </c>
      <c r="BM354" s="3075">
        <v>44288</v>
      </c>
      <c r="BN354" s="3070">
        <v>-10</v>
      </c>
      <c r="BO354" s="3070" t="s">
        <v>3253</v>
      </c>
      <c r="BR354" s="3070">
        <v>200</v>
      </c>
      <c r="BS354" s="3070" t="s">
        <v>3238</v>
      </c>
      <c r="BZ354" s="3073">
        <v>44143.734027777777</v>
      </c>
      <c r="CA354" s="3070">
        <v>4</v>
      </c>
      <c r="CD354" s="3070" t="s">
        <v>3239</v>
      </c>
      <c r="CF354" s="3070" t="s">
        <v>3091</v>
      </c>
      <c r="CH354" s="3070" t="s">
        <v>3240</v>
      </c>
      <c r="CI354" s="3070">
        <v>0</v>
      </c>
      <c r="CK354" s="3070" t="s">
        <v>3648</v>
      </c>
      <c r="CL354" s="3070" t="s">
        <v>3648</v>
      </c>
      <c r="CM354" s="3070">
        <v>495910.09</v>
      </c>
      <c r="CV354" s="3070" t="s">
        <v>3246</v>
      </c>
      <c r="CW354" s="3070" t="s">
        <v>6173</v>
      </c>
      <c r="CZ354" s="3070">
        <v>213894.57</v>
      </c>
      <c r="DA354" s="3070">
        <v>159426.93</v>
      </c>
      <c r="DB354" s="3070">
        <v>0</v>
      </c>
      <c r="DC354" s="3070">
        <v>0</v>
      </c>
      <c r="DD354" s="3070">
        <v>3290547602</v>
      </c>
      <c r="DE354" s="3070">
        <v>2764253109</v>
      </c>
      <c r="DF354" s="3070">
        <v>1464966739</v>
      </c>
      <c r="DG354" s="3070">
        <v>14938370</v>
      </c>
      <c r="DH354" s="3070">
        <v>1284348000</v>
      </c>
      <c r="DI354" s="3070">
        <v>1278128000</v>
      </c>
      <c r="DJ354" s="3070">
        <v>6220000</v>
      </c>
      <c r="DK354" s="3070">
        <v>0</v>
      </c>
      <c r="DL354" s="3070">
        <v>0</v>
      </c>
      <c r="DM354" s="3070">
        <v>25491817.620000001</v>
      </c>
      <c r="DN354" s="3070">
        <v>2764253109</v>
      </c>
      <c r="DP354" s="3070">
        <v>2764253109</v>
      </c>
    </row>
    <row r="355" spans="1:120">
      <c r="A355" s="3070">
        <v>354</v>
      </c>
      <c r="B355" s="3070" t="s">
        <v>3224</v>
      </c>
      <c r="C355" s="3070">
        <v>4</v>
      </c>
      <c r="D355" s="3070">
        <v>2</v>
      </c>
      <c r="E355" s="3070">
        <v>106</v>
      </c>
      <c r="F355" s="3070" t="s">
        <v>6174</v>
      </c>
      <c r="G355" s="3070" t="s">
        <v>6175</v>
      </c>
      <c r="H355" s="3070">
        <v>613246</v>
      </c>
      <c r="I355" s="3070">
        <v>1226491</v>
      </c>
      <c r="J355" s="3070">
        <v>130.83000000000001</v>
      </c>
      <c r="K355" s="3070">
        <v>99.24</v>
      </c>
      <c r="L355" s="3070">
        <v>0</v>
      </c>
      <c r="M355" s="3070">
        <v>0</v>
      </c>
      <c r="N355" s="3070">
        <v>15244.44</v>
      </c>
      <c r="O355" s="3070">
        <v>1994430</v>
      </c>
      <c r="P355" s="3070">
        <v>9374.69</v>
      </c>
      <c r="Q355" s="3070">
        <v>1226491</v>
      </c>
      <c r="R355" s="3070" t="s">
        <v>3227</v>
      </c>
      <c r="S355" s="3070" t="s">
        <v>6176</v>
      </c>
      <c r="T355" s="3070" t="s">
        <v>4158</v>
      </c>
      <c r="V355" s="3070" t="s">
        <v>3230</v>
      </c>
      <c r="Y355" s="3070">
        <v>613246</v>
      </c>
      <c r="Z355" s="3070">
        <v>613246</v>
      </c>
      <c r="AA355" s="3070">
        <v>613246</v>
      </c>
      <c r="AB355" s="3070">
        <v>613245</v>
      </c>
      <c r="AC355" s="3070">
        <v>0</v>
      </c>
      <c r="AD355" s="3070">
        <v>0</v>
      </c>
      <c r="AE355" s="3070">
        <v>0</v>
      </c>
      <c r="AI355" s="3070" t="s">
        <v>3227</v>
      </c>
      <c r="AJ355" s="3070">
        <v>0</v>
      </c>
      <c r="AK355" s="3070">
        <v>0</v>
      </c>
      <c r="AL355" s="3070">
        <v>0</v>
      </c>
      <c r="AM355" s="3070">
        <v>9374.69</v>
      </c>
      <c r="AN355" s="3070">
        <v>1226491</v>
      </c>
      <c r="AP355" s="3070">
        <v>1226491</v>
      </c>
      <c r="AQ355" s="3072">
        <v>45230</v>
      </c>
      <c r="AT355" s="3073">
        <v>45770</v>
      </c>
      <c r="AV355" s="3074">
        <v>3.21E+17</v>
      </c>
      <c r="AW355" s="3070" t="s">
        <v>6177</v>
      </c>
      <c r="AX355" s="3070" t="s">
        <v>6178</v>
      </c>
      <c r="AY355" s="3070" t="s">
        <v>6179</v>
      </c>
      <c r="BC355" s="3070" t="s">
        <v>6180</v>
      </c>
      <c r="BD355" s="3070" t="s">
        <v>3075</v>
      </c>
      <c r="BI355" s="3070" t="s">
        <v>3235</v>
      </c>
      <c r="BJ355" s="3070" t="s">
        <v>3296</v>
      </c>
      <c r="BL355" s="3070" t="s">
        <v>6181</v>
      </c>
      <c r="BM355" s="3075">
        <v>44288</v>
      </c>
      <c r="BN355" s="3070">
        <v>-10</v>
      </c>
      <c r="BR355" s="3070">
        <v>0</v>
      </c>
      <c r="BS355" s="3070" t="s">
        <v>3238</v>
      </c>
      <c r="BZ355" s="3073">
        <v>44272.431250000001</v>
      </c>
      <c r="CA355" s="3070">
        <v>4</v>
      </c>
      <c r="CD355" s="3070" t="s">
        <v>3239</v>
      </c>
      <c r="CF355" s="3070" t="s">
        <v>3091</v>
      </c>
      <c r="CH355" s="3070" t="s">
        <v>3240</v>
      </c>
      <c r="CI355" s="3070">
        <v>0</v>
      </c>
      <c r="CK355" s="3070" t="s">
        <v>6179</v>
      </c>
      <c r="CL355" s="3070" t="s">
        <v>6179</v>
      </c>
      <c r="CM355" s="3070">
        <v>1125221.1000000001</v>
      </c>
      <c r="CV355" s="3070" t="s">
        <v>3494</v>
      </c>
      <c r="CW355" s="3070" t="s">
        <v>6182</v>
      </c>
      <c r="CX355" s="3070" t="s">
        <v>3510</v>
      </c>
      <c r="CZ355" s="3070">
        <v>213894.57</v>
      </c>
      <c r="DA355" s="3070">
        <v>159426.93</v>
      </c>
      <c r="DB355" s="3070">
        <v>0</v>
      </c>
      <c r="DC355" s="3070">
        <v>0</v>
      </c>
      <c r="DD355" s="3070">
        <v>3290547602</v>
      </c>
      <c r="DE355" s="3070">
        <v>2764253109</v>
      </c>
      <c r="DF355" s="3070">
        <v>1464966739</v>
      </c>
      <c r="DG355" s="3070">
        <v>14938370</v>
      </c>
      <c r="DH355" s="3070">
        <v>1284348000</v>
      </c>
      <c r="DI355" s="3070">
        <v>1278128000</v>
      </c>
      <c r="DJ355" s="3070">
        <v>6220000</v>
      </c>
      <c r="DK355" s="3070">
        <v>0</v>
      </c>
      <c r="DL355" s="3070">
        <v>0</v>
      </c>
      <c r="DM355" s="3070">
        <v>25491817.620000001</v>
      </c>
      <c r="DN355" s="3070">
        <v>2764253109</v>
      </c>
      <c r="DP355" s="3070">
        <v>2764253109</v>
      </c>
    </row>
    <row r="356" spans="1:120">
      <c r="A356" s="3070">
        <v>355</v>
      </c>
      <c r="B356" s="3070" t="s">
        <v>3224</v>
      </c>
      <c r="C356" s="3070">
        <v>4</v>
      </c>
      <c r="D356" s="3070">
        <v>1</v>
      </c>
      <c r="E356" s="3070">
        <v>1101</v>
      </c>
      <c r="F356" s="3070" t="s">
        <v>6183</v>
      </c>
      <c r="G356" s="3070" t="s">
        <v>6184</v>
      </c>
      <c r="H356" s="3070">
        <v>1703565</v>
      </c>
      <c r="I356" s="3070">
        <v>1703565</v>
      </c>
      <c r="J356" s="3070">
        <v>132.62</v>
      </c>
      <c r="K356" s="3070">
        <v>100.59</v>
      </c>
      <c r="L356" s="3070">
        <v>0</v>
      </c>
      <c r="M356" s="3070">
        <v>0</v>
      </c>
      <c r="N356" s="3070">
        <v>15794.44</v>
      </c>
      <c r="O356" s="3070">
        <v>2094659</v>
      </c>
      <c r="P356" s="3070">
        <v>12845.46</v>
      </c>
      <c r="Q356" s="3070">
        <v>1703565</v>
      </c>
      <c r="R356" s="3070" t="s">
        <v>3227</v>
      </c>
      <c r="S356" s="3070" t="s">
        <v>6185</v>
      </c>
      <c r="T356" s="3070" t="s">
        <v>3246</v>
      </c>
      <c r="U356" s="3070" t="s">
        <v>3247</v>
      </c>
      <c r="V356" s="3070" t="s">
        <v>3230</v>
      </c>
      <c r="Y356" s="3070">
        <v>513565</v>
      </c>
      <c r="Z356" s="3070">
        <v>513565</v>
      </c>
      <c r="AA356" s="3070">
        <v>513565</v>
      </c>
      <c r="AB356" s="3070">
        <v>0</v>
      </c>
      <c r="AC356" s="3070">
        <v>1190000</v>
      </c>
      <c r="AD356" s="3070">
        <v>1190000</v>
      </c>
      <c r="AE356" s="3070">
        <v>0</v>
      </c>
      <c r="AI356" s="3070" t="s">
        <v>3227</v>
      </c>
      <c r="AJ356" s="3070">
        <v>0</v>
      </c>
      <c r="AK356" s="3070">
        <v>0</v>
      </c>
      <c r="AL356" s="3070">
        <v>0</v>
      </c>
      <c r="AM356" s="3070">
        <v>12845.46</v>
      </c>
      <c r="AN356" s="3070">
        <v>1703565</v>
      </c>
      <c r="AP356" s="3070">
        <v>1703565</v>
      </c>
      <c r="AQ356" s="3072">
        <v>45230</v>
      </c>
      <c r="AT356" s="3073">
        <v>45770</v>
      </c>
      <c r="AV356" s="3074">
        <v>3.21E+17</v>
      </c>
      <c r="AW356" s="3070" t="s">
        <v>6186</v>
      </c>
      <c r="AX356" s="3070" t="s">
        <v>6187</v>
      </c>
      <c r="AY356" s="3070" t="s">
        <v>3364</v>
      </c>
      <c r="BC356" s="3070" t="s">
        <v>3284</v>
      </c>
      <c r="BD356" s="3070" t="s">
        <v>3075</v>
      </c>
      <c r="BI356" s="3070" t="s">
        <v>3235</v>
      </c>
      <c r="BJ356" s="3070" t="s">
        <v>3236</v>
      </c>
      <c r="BL356" s="3070" t="s">
        <v>6188</v>
      </c>
      <c r="BM356" s="3075">
        <v>44287</v>
      </c>
      <c r="BN356" s="3070">
        <v>-11</v>
      </c>
      <c r="BO356" s="3070" t="s">
        <v>3253</v>
      </c>
      <c r="BR356" s="3070">
        <v>907</v>
      </c>
      <c r="BS356" s="3070" t="s">
        <v>3238</v>
      </c>
      <c r="BZ356" s="3073">
        <v>44142.634027777778</v>
      </c>
      <c r="CA356" s="3070">
        <v>4</v>
      </c>
      <c r="CD356" s="3070" t="s">
        <v>3239</v>
      </c>
      <c r="CF356" s="3070" t="s">
        <v>3091</v>
      </c>
      <c r="CH356" s="3070" t="s">
        <v>3240</v>
      </c>
      <c r="CI356" s="3070">
        <v>0</v>
      </c>
      <c r="CK356" s="3070" t="s">
        <v>3364</v>
      </c>
      <c r="CL356" s="3070" t="s">
        <v>3364</v>
      </c>
      <c r="CM356" s="3070">
        <v>1562903.67</v>
      </c>
      <c r="CV356" s="3070" t="s">
        <v>3246</v>
      </c>
      <c r="CW356" s="3070" t="s">
        <v>6189</v>
      </c>
      <c r="CX356" s="3070" t="s">
        <v>3267</v>
      </c>
      <c r="CZ356" s="3070">
        <v>213894.57</v>
      </c>
      <c r="DA356" s="3070">
        <v>159426.93</v>
      </c>
      <c r="DB356" s="3070">
        <v>0</v>
      </c>
      <c r="DC356" s="3070">
        <v>0</v>
      </c>
      <c r="DD356" s="3070">
        <v>3290547602</v>
      </c>
      <c r="DE356" s="3070">
        <v>2764253109</v>
      </c>
      <c r="DF356" s="3070">
        <v>1464966739</v>
      </c>
      <c r="DG356" s="3070">
        <v>14938370</v>
      </c>
      <c r="DH356" s="3070">
        <v>1284348000</v>
      </c>
      <c r="DI356" s="3070">
        <v>1278128000</v>
      </c>
      <c r="DJ356" s="3070">
        <v>6220000</v>
      </c>
      <c r="DK356" s="3070">
        <v>0</v>
      </c>
      <c r="DL356" s="3070">
        <v>0</v>
      </c>
      <c r="DM356" s="3070">
        <v>25491817.620000001</v>
      </c>
      <c r="DN356" s="3070">
        <v>2764253109</v>
      </c>
      <c r="DP356" s="3070">
        <v>2764253109</v>
      </c>
    </row>
    <row r="357" spans="1:120">
      <c r="A357" s="3070">
        <v>356</v>
      </c>
      <c r="B357" s="3070" t="s">
        <v>3224</v>
      </c>
      <c r="C357" s="3070">
        <v>4</v>
      </c>
      <c r="D357" s="3070">
        <v>1</v>
      </c>
      <c r="E357" s="3070">
        <v>1102</v>
      </c>
      <c r="F357" s="3070" t="s">
        <v>6190</v>
      </c>
      <c r="G357" s="3070" t="s">
        <v>6191</v>
      </c>
      <c r="H357" s="3070">
        <v>1364005</v>
      </c>
      <c r="I357" s="3070">
        <v>1364005</v>
      </c>
      <c r="J357" s="3070">
        <v>105.02</v>
      </c>
      <c r="K357" s="3070">
        <v>79.66</v>
      </c>
      <c r="L357" s="3070">
        <v>0</v>
      </c>
      <c r="M357" s="3070">
        <v>0</v>
      </c>
      <c r="N357" s="3070">
        <v>15944.44</v>
      </c>
      <c r="O357" s="3070">
        <v>1674485</v>
      </c>
      <c r="P357" s="3070">
        <v>12988.05</v>
      </c>
      <c r="Q357" s="3070">
        <v>1364005</v>
      </c>
      <c r="R357" s="3070" t="s">
        <v>3227</v>
      </c>
      <c r="S357" s="3070" t="s">
        <v>6192</v>
      </c>
      <c r="T357" s="3070" t="s">
        <v>3246</v>
      </c>
      <c r="U357" s="3070" t="s">
        <v>3371</v>
      </c>
      <c r="V357" s="3070" t="s">
        <v>3230</v>
      </c>
      <c r="Y357" s="3070">
        <v>414005</v>
      </c>
      <c r="Z357" s="3070">
        <v>414005</v>
      </c>
      <c r="AA357" s="3070">
        <v>414005</v>
      </c>
      <c r="AB357" s="3070">
        <v>0</v>
      </c>
      <c r="AC357" s="3070">
        <v>950000</v>
      </c>
      <c r="AD357" s="3070">
        <v>950000</v>
      </c>
      <c r="AE357" s="3070">
        <v>0</v>
      </c>
      <c r="AI357" s="3070" t="s">
        <v>3227</v>
      </c>
      <c r="AJ357" s="3070">
        <v>0</v>
      </c>
      <c r="AK357" s="3070">
        <v>0</v>
      </c>
      <c r="AL357" s="3070">
        <v>0</v>
      </c>
      <c r="AM357" s="3070">
        <v>12988.05</v>
      </c>
      <c r="AN357" s="3070">
        <v>1364005</v>
      </c>
      <c r="AP357" s="3070">
        <v>1364005</v>
      </c>
      <c r="AQ357" s="3072">
        <v>45230</v>
      </c>
      <c r="AT357" s="3073">
        <v>45770</v>
      </c>
      <c r="AV357" s="3070" t="s">
        <v>6193</v>
      </c>
      <c r="AW357" s="3070" t="s">
        <v>6194</v>
      </c>
      <c r="AX357" s="3070" t="s">
        <v>6195</v>
      </c>
      <c r="AY357" s="3070" t="s">
        <v>3306</v>
      </c>
      <c r="BC357" s="3070" t="s">
        <v>3284</v>
      </c>
      <c r="BD357" s="3070" t="s">
        <v>3077</v>
      </c>
      <c r="BI357" s="3070" t="s">
        <v>3235</v>
      </c>
      <c r="BJ357" s="3070" t="s">
        <v>3338</v>
      </c>
      <c r="BL357" s="3070" t="s">
        <v>6196</v>
      </c>
      <c r="BM357" s="3075">
        <v>44287</v>
      </c>
      <c r="BN357" s="3070">
        <v>-11</v>
      </c>
      <c r="BO357" s="3070" t="s">
        <v>3253</v>
      </c>
      <c r="BR357" s="3070">
        <v>615</v>
      </c>
      <c r="BS357" s="3070" t="s">
        <v>3238</v>
      </c>
      <c r="BZ357" s="3073">
        <v>44142.69027777778</v>
      </c>
      <c r="CA357" s="3070">
        <v>4</v>
      </c>
      <c r="CD357" s="3070" t="s">
        <v>3239</v>
      </c>
      <c r="CF357" s="3070" t="s">
        <v>3091</v>
      </c>
      <c r="CH357" s="3070" t="s">
        <v>3240</v>
      </c>
      <c r="CI357" s="3070">
        <v>0</v>
      </c>
      <c r="CK357" s="3070" t="s">
        <v>3306</v>
      </c>
      <c r="CL357" s="3070" t="s">
        <v>3306</v>
      </c>
      <c r="CM357" s="3070">
        <v>1251380.73</v>
      </c>
      <c r="CV357" s="3070" t="s">
        <v>3246</v>
      </c>
      <c r="CW357" s="3070" t="s">
        <v>6197</v>
      </c>
      <c r="CZ357" s="3070">
        <v>213894.57</v>
      </c>
      <c r="DA357" s="3070">
        <v>159426.93</v>
      </c>
      <c r="DB357" s="3070">
        <v>0</v>
      </c>
      <c r="DC357" s="3070">
        <v>0</v>
      </c>
      <c r="DD357" s="3070">
        <v>3290547602</v>
      </c>
      <c r="DE357" s="3070">
        <v>2764253109</v>
      </c>
      <c r="DF357" s="3070">
        <v>1464966739</v>
      </c>
      <c r="DG357" s="3070">
        <v>14938370</v>
      </c>
      <c r="DH357" s="3070">
        <v>1284348000</v>
      </c>
      <c r="DI357" s="3070">
        <v>1278128000</v>
      </c>
      <c r="DJ357" s="3070">
        <v>6220000</v>
      </c>
      <c r="DK357" s="3070">
        <v>0</v>
      </c>
      <c r="DL357" s="3070">
        <v>0</v>
      </c>
      <c r="DM357" s="3070">
        <v>25491817.620000001</v>
      </c>
      <c r="DN357" s="3070">
        <v>2764253109</v>
      </c>
      <c r="DP357" s="3070">
        <v>2764253109</v>
      </c>
    </row>
    <row r="358" spans="1:120">
      <c r="A358" s="3070">
        <v>357</v>
      </c>
      <c r="B358" s="3070" t="s">
        <v>3224</v>
      </c>
      <c r="C358" s="3070">
        <v>4</v>
      </c>
      <c r="D358" s="3070">
        <v>1</v>
      </c>
      <c r="E358" s="3070">
        <v>1103</v>
      </c>
      <c r="F358" s="3070" t="s">
        <v>6198</v>
      </c>
      <c r="G358" s="3070" t="s">
        <v>6199</v>
      </c>
      <c r="H358" s="3070">
        <v>1689354</v>
      </c>
      <c r="I358" s="3070">
        <v>1689354</v>
      </c>
      <c r="J358" s="3070">
        <v>132.99</v>
      </c>
      <c r="K358" s="3070">
        <v>100.87</v>
      </c>
      <c r="L358" s="3070">
        <v>0</v>
      </c>
      <c r="M358" s="3070">
        <v>0</v>
      </c>
      <c r="N358" s="3070">
        <v>15644.44</v>
      </c>
      <c r="O358" s="3070">
        <v>2080554</v>
      </c>
      <c r="P358" s="3070">
        <v>12702.86</v>
      </c>
      <c r="Q358" s="3070">
        <v>1689354</v>
      </c>
      <c r="R358" s="3070" t="s">
        <v>3227</v>
      </c>
      <c r="S358" s="3070" t="s">
        <v>6200</v>
      </c>
      <c r="T358" s="3070" t="s">
        <v>3246</v>
      </c>
      <c r="U358" s="3070" t="s">
        <v>3247</v>
      </c>
      <c r="V358" s="3070" t="s">
        <v>3230</v>
      </c>
      <c r="Y358" s="3070">
        <v>689354</v>
      </c>
      <c r="Z358" s="3070">
        <v>689354</v>
      </c>
      <c r="AA358" s="3070">
        <v>689354</v>
      </c>
      <c r="AB358" s="3070">
        <v>0</v>
      </c>
      <c r="AC358" s="3070">
        <v>1000000</v>
      </c>
      <c r="AD358" s="3070">
        <v>1000000</v>
      </c>
      <c r="AE358" s="3070">
        <v>0</v>
      </c>
      <c r="AI358" s="3070" t="s">
        <v>3227</v>
      </c>
      <c r="AJ358" s="3070">
        <v>0</v>
      </c>
      <c r="AK358" s="3070">
        <v>0</v>
      </c>
      <c r="AL358" s="3070">
        <v>0</v>
      </c>
      <c r="AM358" s="3070">
        <v>12702.86</v>
      </c>
      <c r="AN358" s="3070">
        <v>1689354</v>
      </c>
      <c r="AP358" s="3070">
        <v>1689354</v>
      </c>
      <c r="AQ358" s="3072">
        <v>45230</v>
      </c>
      <c r="AT358" s="3073">
        <v>45770</v>
      </c>
      <c r="AV358" s="3070" t="s">
        <v>6201</v>
      </c>
      <c r="AW358" s="3070" t="s">
        <v>6202</v>
      </c>
      <c r="AX358" s="3070" t="s">
        <v>6203</v>
      </c>
      <c r="AY358" s="3070" t="s">
        <v>3419</v>
      </c>
      <c r="BC358" s="3070" t="s">
        <v>3284</v>
      </c>
      <c r="BD358" s="3070" t="s">
        <v>3075</v>
      </c>
      <c r="BI358" s="3070" t="s">
        <v>3235</v>
      </c>
      <c r="BJ358" s="3070" t="s">
        <v>3296</v>
      </c>
      <c r="BL358" s="3070" t="s">
        <v>6204</v>
      </c>
      <c r="BM358" s="3075">
        <v>44287</v>
      </c>
      <c r="BN358" s="3070">
        <v>-11</v>
      </c>
      <c r="BO358" s="3070" t="s">
        <v>3253</v>
      </c>
      <c r="BR358" s="3070">
        <v>937</v>
      </c>
      <c r="BS358" s="3070" t="s">
        <v>3238</v>
      </c>
      <c r="BZ358" s="3073">
        <v>44146.745138888888</v>
      </c>
      <c r="CA358" s="3070">
        <v>4</v>
      </c>
      <c r="CD358" s="3070" t="s">
        <v>3239</v>
      </c>
      <c r="CF358" s="3070" t="s">
        <v>3091</v>
      </c>
      <c r="CH358" s="3070" t="s">
        <v>3240</v>
      </c>
      <c r="CI358" s="3070">
        <v>0</v>
      </c>
      <c r="CK358" s="3070" t="s">
        <v>3419</v>
      </c>
      <c r="CL358" s="3070" t="s">
        <v>3419</v>
      </c>
      <c r="CM358" s="3070">
        <v>1549866.06</v>
      </c>
      <c r="CV358" s="3070" t="s">
        <v>3246</v>
      </c>
      <c r="CW358" s="3070" t="s">
        <v>6205</v>
      </c>
      <c r="CX358" s="3070" t="s">
        <v>3510</v>
      </c>
      <c r="CZ358" s="3070">
        <v>213894.57</v>
      </c>
      <c r="DA358" s="3070">
        <v>159426.93</v>
      </c>
      <c r="DB358" s="3070">
        <v>0</v>
      </c>
      <c r="DC358" s="3070">
        <v>0</v>
      </c>
      <c r="DD358" s="3070">
        <v>3290547602</v>
      </c>
      <c r="DE358" s="3070">
        <v>2764253109</v>
      </c>
      <c r="DF358" s="3070">
        <v>1464966739</v>
      </c>
      <c r="DG358" s="3070">
        <v>14938370</v>
      </c>
      <c r="DH358" s="3070">
        <v>1284348000</v>
      </c>
      <c r="DI358" s="3070">
        <v>1278128000</v>
      </c>
      <c r="DJ358" s="3070">
        <v>6220000</v>
      </c>
      <c r="DK358" s="3070">
        <v>0</v>
      </c>
      <c r="DL358" s="3070">
        <v>0</v>
      </c>
      <c r="DM358" s="3070">
        <v>25491817.620000001</v>
      </c>
      <c r="DN358" s="3070">
        <v>2764253109</v>
      </c>
      <c r="DP358" s="3070">
        <v>2764253109</v>
      </c>
    </row>
    <row r="359" spans="1:120">
      <c r="A359" s="3070">
        <v>358</v>
      </c>
      <c r="B359" s="3070" t="s">
        <v>3224</v>
      </c>
      <c r="C359" s="3070">
        <v>4</v>
      </c>
      <c r="D359" s="3070">
        <v>2</v>
      </c>
      <c r="E359" s="3070">
        <v>1104</v>
      </c>
      <c r="F359" s="3070" t="s">
        <v>6206</v>
      </c>
      <c r="G359" s="3070" t="s">
        <v>6207</v>
      </c>
      <c r="H359" s="3070">
        <v>1702284</v>
      </c>
      <c r="I359" s="3070">
        <v>1702284</v>
      </c>
      <c r="J359" s="3070">
        <v>132.99</v>
      </c>
      <c r="K359" s="3070">
        <v>100.87</v>
      </c>
      <c r="L359" s="3070">
        <v>0</v>
      </c>
      <c r="M359" s="3070">
        <v>0</v>
      </c>
      <c r="N359" s="3070">
        <v>15644.44</v>
      </c>
      <c r="O359" s="3070">
        <v>2080554</v>
      </c>
      <c r="P359" s="3070">
        <v>12800.09</v>
      </c>
      <c r="Q359" s="3070">
        <v>1702284</v>
      </c>
      <c r="R359" s="3070" t="s">
        <v>3227</v>
      </c>
      <c r="S359" s="3070" t="s">
        <v>6208</v>
      </c>
      <c r="T359" s="3070" t="s">
        <v>3494</v>
      </c>
      <c r="V359" s="3070" t="s">
        <v>3230</v>
      </c>
      <c r="Y359" s="3070">
        <v>170228</v>
      </c>
      <c r="Z359" s="3070">
        <v>170228</v>
      </c>
      <c r="AA359" s="3070">
        <v>1702284</v>
      </c>
      <c r="AB359" s="3070">
        <v>0</v>
      </c>
      <c r="AC359" s="3070">
        <v>0</v>
      </c>
      <c r="AD359" s="3070">
        <v>0</v>
      </c>
      <c r="AE359" s="3070">
        <v>0</v>
      </c>
      <c r="AI359" s="3070" t="s">
        <v>3227</v>
      </c>
      <c r="AJ359" s="3070">
        <v>0</v>
      </c>
      <c r="AK359" s="3070">
        <v>0</v>
      </c>
      <c r="AL359" s="3070">
        <v>0</v>
      </c>
      <c r="AM359" s="3070">
        <v>12800.09</v>
      </c>
      <c r="AN359" s="3070">
        <v>1702284</v>
      </c>
      <c r="AP359" s="3070">
        <v>1702284</v>
      </c>
      <c r="AQ359" s="3072">
        <v>45230</v>
      </c>
      <c r="AT359" s="3073">
        <v>45770</v>
      </c>
      <c r="AV359" s="3070" t="s">
        <v>6209</v>
      </c>
      <c r="AW359" s="3070" t="s">
        <v>6210</v>
      </c>
      <c r="AX359" s="3070" t="s">
        <v>6211</v>
      </c>
      <c r="AY359" s="3070" t="s">
        <v>3892</v>
      </c>
      <c r="BA359" s="3070" t="s">
        <v>5264</v>
      </c>
      <c r="BC359" s="3070" t="s">
        <v>6212</v>
      </c>
      <c r="BD359" s="3070" t="s">
        <v>3075</v>
      </c>
      <c r="BI359" s="3070" t="s">
        <v>3235</v>
      </c>
      <c r="BL359" s="3070" t="s">
        <v>6213</v>
      </c>
      <c r="BM359" s="3075">
        <v>44288</v>
      </c>
      <c r="BN359" s="3070">
        <v>-11</v>
      </c>
      <c r="BR359" s="3070">
        <v>23</v>
      </c>
      <c r="BS359" s="3070" t="s">
        <v>3238</v>
      </c>
      <c r="BU359" s="3070" t="s">
        <v>5264</v>
      </c>
      <c r="BZ359" s="3073">
        <v>44202.546527777777</v>
      </c>
      <c r="CA359" s="3070">
        <v>4</v>
      </c>
      <c r="CD359" s="3070" t="s">
        <v>3239</v>
      </c>
      <c r="CF359" s="3070" t="s">
        <v>3091</v>
      </c>
      <c r="CH359" s="3070" t="s">
        <v>3240</v>
      </c>
      <c r="CI359" s="3070">
        <v>0</v>
      </c>
      <c r="CK359" s="3070" t="s">
        <v>4056</v>
      </c>
      <c r="CL359" s="3070" t="s">
        <v>4056</v>
      </c>
      <c r="CM359" s="3070">
        <v>1561728.44</v>
      </c>
      <c r="CV359" s="3070" t="s">
        <v>3494</v>
      </c>
      <c r="CW359" s="3070" t="s">
        <v>6214</v>
      </c>
      <c r="CZ359" s="3070">
        <v>213894.57</v>
      </c>
      <c r="DA359" s="3070">
        <v>159426.93</v>
      </c>
      <c r="DB359" s="3070">
        <v>0</v>
      </c>
      <c r="DC359" s="3070">
        <v>0</v>
      </c>
      <c r="DD359" s="3070">
        <v>3290547602</v>
      </c>
      <c r="DE359" s="3070">
        <v>2764253109</v>
      </c>
      <c r="DF359" s="3070">
        <v>1464966739</v>
      </c>
      <c r="DG359" s="3070">
        <v>14938370</v>
      </c>
      <c r="DH359" s="3070">
        <v>1284348000</v>
      </c>
      <c r="DI359" s="3070">
        <v>1278128000</v>
      </c>
      <c r="DJ359" s="3070">
        <v>6220000</v>
      </c>
      <c r="DK359" s="3070">
        <v>0</v>
      </c>
      <c r="DL359" s="3070">
        <v>0</v>
      </c>
      <c r="DM359" s="3070">
        <v>25491817.620000001</v>
      </c>
      <c r="DN359" s="3070">
        <v>2764253109</v>
      </c>
      <c r="DP359" s="3070">
        <v>2764253109</v>
      </c>
    </row>
    <row r="360" spans="1:120">
      <c r="A360" s="3070">
        <v>359</v>
      </c>
      <c r="B360" s="3070" t="s">
        <v>3224</v>
      </c>
      <c r="C360" s="3070">
        <v>4</v>
      </c>
      <c r="D360" s="3070">
        <v>2</v>
      </c>
      <c r="E360" s="3070">
        <v>1105</v>
      </c>
      <c r="F360" s="3070" t="s">
        <v>6215</v>
      </c>
      <c r="G360" s="3070" t="s">
        <v>6216</v>
      </c>
      <c r="H360" s="3070">
        <v>1477037</v>
      </c>
      <c r="I360" s="3070">
        <v>1477037</v>
      </c>
      <c r="J360" s="3070">
        <v>105.02</v>
      </c>
      <c r="K360" s="3070">
        <v>79.66</v>
      </c>
      <c r="L360" s="3070">
        <v>0</v>
      </c>
      <c r="M360" s="3070">
        <v>0</v>
      </c>
      <c r="N360" s="3070">
        <v>15944.44</v>
      </c>
      <c r="O360" s="3070">
        <v>1674485</v>
      </c>
      <c r="P360" s="3070">
        <v>14064.34</v>
      </c>
      <c r="Q360" s="3070">
        <v>1477037</v>
      </c>
      <c r="R360" s="3070" t="s">
        <v>3227</v>
      </c>
      <c r="S360" s="3070" t="s">
        <v>6217</v>
      </c>
      <c r="T360" s="3070" t="s">
        <v>3246</v>
      </c>
      <c r="U360" s="3070" t="s">
        <v>3381</v>
      </c>
      <c r="V360" s="3070" t="s">
        <v>3230</v>
      </c>
      <c r="Y360" s="3070">
        <v>827037</v>
      </c>
      <c r="Z360" s="3070">
        <v>827037</v>
      </c>
      <c r="AA360" s="3070">
        <v>827037</v>
      </c>
      <c r="AB360" s="3070">
        <v>0</v>
      </c>
      <c r="AC360" s="3070">
        <v>650000</v>
      </c>
      <c r="AD360" s="3070">
        <v>650000</v>
      </c>
      <c r="AE360" s="3070">
        <v>0</v>
      </c>
      <c r="AI360" s="3070" t="s">
        <v>3227</v>
      </c>
      <c r="AJ360" s="3070">
        <v>0</v>
      </c>
      <c r="AK360" s="3070">
        <v>0</v>
      </c>
      <c r="AL360" s="3070">
        <v>0</v>
      </c>
      <c r="AM360" s="3070">
        <v>14064.34</v>
      </c>
      <c r="AN360" s="3070">
        <v>1477037</v>
      </c>
      <c r="AP360" s="3070">
        <v>1477037</v>
      </c>
      <c r="AQ360" s="3072">
        <v>45230</v>
      </c>
      <c r="AT360" s="3073">
        <v>45770</v>
      </c>
      <c r="AV360" s="3074">
        <v>3.21E+17</v>
      </c>
      <c r="AW360" s="3070" t="s">
        <v>6218</v>
      </c>
      <c r="AX360" s="3070" t="s">
        <v>6219</v>
      </c>
      <c r="AY360" s="3070" t="s">
        <v>3587</v>
      </c>
      <c r="BC360" s="3070" t="s">
        <v>4175</v>
      </c>
      <c r="BD360" s="3070" t="s">
        <v>3077</v>
      </c>
      <c r="BI360" s="3070" t="s">
        <v>3295</v>
      </c>
      <c r="BJ360" s="3070" t="s">
        <v>3296</v>
      </c>
      <c r="BL360" s="3070" t="s">
        <v>6220</v>
      </c>
      <c r="BM360" s="3075">
        <v>44288</v>
      </c>
      <c r="BN360" s="3070">
        <v>-11</v>
      </c>
      <c r="BO360" s="3070" t="s">
        <v>3253</v>
      </c>
      <c r="BR360" s="3070">
        <v>0</v>
      </c>
      <c r="BS360" s="3070" t="s">
        <v>3238</v>
      </c>
      <c r="BZ360" s="3073">
        <v>44242.97152777778</v>
      </c>
      <c r="CA360" s="3070">
        <v>4</v>
      </c>
      <c r="CD360" s="3070" t="s">
        <v>3239</v>
      </c>
      <c r="CF360" s="3070" t="s">
        <v>3091</v>
      </c>
      <c r="CH360" s="3070" t="s">
        <v>3240</v>
      </c>
      <c r="CI360" s="3070">
        <v>0</v>
      </c>
      <c r="CK360" s="3070" t="s">
        <v>3587</v>
      </c>
      <c r="CL360" s="3070" t="s">
        <v>3587</v>
      </c>
      <c r="CM360" s="3070">
        <v>1355079.82</v>
      </c>
      <c r="CV360" s="3070" t="s">
        <v>3246</v>
      </c>
      <c r="CW360" s="3070" t="s">
        <v>6221</v>
      </c>
      <c r="CZ360" s="3070">
        <v>213894.57</v>
      </c>
      <c r="DA360" s="3070">
        <v>159426.93</v>
      </c>
      <c r="DB360" s="3070">
        <v>0</v>
      </c>
      <c r="DC360" s="3070">
        <v>0</v>
      </c>
      <c r="DD360" s="3070">
        <v>3290547602</v>
      </c>
      <c r="DE360" s="3070">
        <v>2764253109</v>
      </c>
      <c r="DF360" s="3070">
        <v>1464966739</v>
      </c>
      <c r="DG360" s="3070">
        <v>14938370</v>
      </c>
      <c r="DH360" s="3070">
        <v>1284348000</v>
      </c>
      <c r="DI360" s="3070">
        <v>1278128000</v>
      </c>
      <c r="DJ360" s="3070">
        <v>6220000</v>
      </c>
      <c r="DK360" s="3070">
        <v>0</v>
      </c>
      <c r="DL360" s="3070">
        <v>0</v>
      </c>
      <c r="DM360" s="3070">
        <v>25491817.620000001</v>
      </c>
      <c r="DN360" s="3070">
        <v>2764253109</v>
      </c>
      <c r="DP360" s="3070">
        <v>2764253109</v>
      </c>
    </row>
    <row r="361" spans="1:120">
      <c r="A361" s="3070">
        <v>360</v>
      </c>
      <c r="B361" s="3070" t="s">
        <v>3224</v>
      </c>
      <c r="C361" s="3070">
        <v>4</v>
      </c>
      <c r="D361" s="3070">
        <v>2</v>
      </c>
      <c r="E361" s="3070">
        <v>1106</v>
      </c>
      <c r="F361" s="3070" t="s">
        <v>6222</v>
      </c>
      <c r="G361" s="3070" t="s">
        <v>6223</v>
      </c>
      <c r="H361" s="3070">
        <v>1802728</v>
      </c>
      <c r="I361" s="3070">
        <v>1802728</v>
      </c>
      <c r="J361" s="3070">
        <v>132.62</v>
      </c>
      <c r="K361" s="3070">
        <v>100.59</v>
      </c>
      <c r="L361" s="3070">
        <v>0</v>
      </c>
      <c r="M361" s="3070">
        <v>0</v>
      </c>
      <c r="N361" s="3070">
        <v>15844.44</v>
      </c>
      <c r="O361" s="3070">
        <v>2101290</v>
      </c>
      <c r="P361" s="3070">
        <v>13593.18</v>
      </c>
      <c r="Q361" s="3070">
        <v>1802728</v>
      </c>
      <c r="R361" s="3070" t="s">
        <v>3227</v>
      </c>
      <c r="S361" s="3070" t="s">
        <v>6224</v>
      </c>
      <c r="T361" s="3070" t="s">
        <v>3494</v>
      </c>
      <c r="V361" s="3070" t="s">
        <v>3230</v>
      </c>
      <c r="Y361" s="3070">
        <v>180273</v>
      </c>
      <c r="Z361" s="3070">
        <v>180273</v>
      </c>
      <c r="AA361" s="3070">
        <v>1802728</v>
      </c>
      <c r="AB361" s="3070">
        <v>0</v>
      </c>
      <c r="AC361" s="3070">
        <v>0</v>
      </c>
      <c r="AD361" s="3070">
        <v>0</v>
      </c>
      <c r="AE361" s="3070">
        <v>0</v>
      </c>
      <c r="AI361" s="3070" t="s">
        <v>3227</v>
      </c>
      <c r="AJ361" s="3070">
        <v>0</v>
      </c>
      <c r="AK361" s="3070">
        <v>0</v>
      </c>
      <c r="AL361" s="3070">
        <v>0</v>
      </c>
      <c r="AM361" s="3070">
        <v>13593.18</v>
      </c>
      <c r="AN361" s="3070">
        <v>1802728</v>
      </c>
      <c r="AP361" s="3070">
        <v>1802728</v>
      </c>
      <c r="AQ361" s="3072">
        <v>45230</v>
      </c>
      <c r="AT361" s="3073">
        <v>45770</v>
      </c>
      <c r="AV361" s="3074">
        <v>3.21E+17</v>
      </c>
      <c r="AW361" s="3070" t="s">
        <v>6225</v>
      </c>
      <c r="AX361" s="3070" t="s">
        <v>6226</v>
      </c>
      <c r="AY361" s="3070" t="s">
        <v>3892</v>
      </c>
      <c r="BA361" s="3070" t="s">
        <v>4056</v>
      </c>
      <c r="BC361" s="3070" t="s">
        <v>4117</v>
      </c>
      <c r="BD361" s="3070" t="s">
        <v>3075</v>
      </c>
      <c r="BI361" s="3070" t="s">
        <v>3235</v>
      </c>
      <c r="BL361" s="3070" t="s">
        <v>6227</v>
      </c>
      <c r="BM361" s="3075">
        <v>44288</v>
      </c>
      <c r="BN361" s="3070">
        <v>-11</v>
      </c>
      <c r="BR361" s="3070">
        <v>21</v>
      </c>
      <c r="BS361" s="3070" t="s">
        <v>3238</v>
      </c>
      <c r="BU361" s="3070" t="s">
        <v>4056</v>
      </c>
      <c r="BZ361" s="3073">
        <v>44193.511111111111</v>
      </c>
      <c r="CA361" s="3070">
        <v>4</v>
      </c>
      <c r="CD361" s="3070" t="s">
        <v>3239</v>
      </c>
      <c r="CF361" s="3070" t="s">
        <v>3091</v>
      </c>
      <c r="CH361" s="3070" t="s">
        <v>3240</v>
      </c>
      <c r="CI361" s="3070">
        <v>0</v>
      </c>
      <c r="CK361" s="3070" t="s">
        <v>4056</v>
      </c>
      <c r="CL361" s="3070" t="s">
        <v>4056</v>
      </c>
      <c r="CM361" s="3070">
        <v>1653878.9</v>
      </c>
      <c r="CV361" s="3070" t="s">
        <v>3494</v>
      </c>
      <c r="CW361" s="3070" t="s">
        <v>6228</v>
      </c>
      <c r="CZ361" s="3070">
        <v>213894.57</v>
      </c>
      <c r="DA361" s="3070">
        <v>159426.93</v>
      </c>
      <c r="DB361" s="3070">
        <v>0</v>
      </c>
      <c r="DC361" s="3070">
        <v>0</v>
      </c>
      <c r="DD361" s="3070">
        <v>3290547602</v>
      </c>
      <c r="DE361" s="3070">
        <v>2764253109</v>
      </c>
      <c r="DF361" s="3070">
        <v>1464966739</v>
      </c>
      <c r="DG361" s="3070">
        <v>14938370</v>
      </c>
      <c r="DH361" s="3070">
        <v>1284348000</v>
      </c>
      <c r="DI361" s="3070">
        <v>1278128000</v>
      </c>
      <c r="DJ361" s="3070">
        <v>6220000</v>
      </c>
      <c r="DK361" s="3070">
        <v>0</v>
      </c>
      <c r="DL361" s="3070">
        <v>0</v>
      </c>
      <c r="DM361" s="3070">
        <v>25491817.620000001</v>
      </c>
      <c r="DN361" s="3070">
        <v>2764253109</v>
      </c>
      <c r="DP361" s="3070">
        <v>2764253109</v>
      </c>
    </row>
    <row r="362" spans="1:120">
      <c r="A362" s="3070">
        <v>361</v>
      </c>
      <c r="B362" s="3070" t="s">
        <v>3224</v>
      </c>
      <c r="C362" s="3070">
        <v>4</v>
      </c>
      <c r="D362" s="3070">
        <v>1</v>
      </c>
      <c r="E362" s="3070">
        <v>1201</v>
      </c>
      <c r="F362" s="3070" t="s">
        <v>6229</v>
      </c>
      <c r="G362" s="3070" t="s">
        <v>6230</v>
      </c>
      <c r="H362" s="3070">
        <v>1709868</v>
      </c>
      <c r="I362" s="3070">
        <v>1709868</v>
      </c>
      <c r="J362" s="3070">
        <v>132.62</v>
      </c>
      <c r="K362" s="3070">
        <v>100.59</v>
      </c>
      <c r="L362" s="3070">
        <v>0</v>
      </c>
      <c r="M362" s="3070">
        <v>0</v>
      </c>
      <c r="N362" s="3070">
        <v>15844.44</v>
      </c>
      <c r="O362" s="3070">
        <v>2101290</v>
      </c>
      <c r="P362" s="3070">
        <v>12892.99</v>
      </c>
      <c r="Q362" s="3070">
        <v>1709868</v>
      </c>
      <c r="R362" s="3070" t="s">
        <v>3227</v>
      </c>
      <c r="S362" s="3070" t="s">
        <v>6231</v>
      </c>
      <c r="T362" s="3070" t="s">
        <v>3246</v>
      </c>
      <c r="U362" s="3070" t="s">
        <v>3539</v>
      </c>
      <c r="V362" s="3070" t="s">
        <v>3230</v>
      </c>
      <c r="Y362" s="3070">
        <v>729868</v>
      </c>
      <c r="Z362" s="3070">
        <v>729868</v>
      </c>
      <c r="AA362" s="3070">
        <v>729868</v>
      </c>
      <c r="AB362" s="3070">
        <v>0</v>
      </c>
      <c r="AC362" s="3070">
        <v>980000</v>
      </c>
      <c r="AD362" s="3070">
        <v>980000</v>
      </c>
      <c r="AE362" s="3070">
        <v>0</v>
      </c>
      <c r="AI362" s="3070" t="s">
        <v>3227</v>
      </c>
      <c r="AJ362" s="3070">
        <v>0</v>
      </c>
      <c r="AK362" s="3070">
        <v>0</v>
      </c>
      <c r="AL362" s="3070">
        <v>0</v>
      </c>
      <c r="AM362" s="3070">
        <v>12892.99</v>
      </c>
      <c r="AN362" s="3070">
        <v>1709868</v>
      </c>
      <c r="AP362" s="3070">
        <v>1709868</v>
      </c>
      <c r="AQ362" s="3072">
        <v>45230</v>
      </c>
      <c r="AT362" s="3073">
        <v>45770</v>
      </c>
      <c r="AV362" s="3070" t="s">
        <v>6232</v>
      </c>
      <c r="AW362" s="3070" t="s">
        <v>6233</v>
      </c>
      <c r="AX362" s="3070" t="s">
        <v>6234</v>
      </c>
      <c r="AY362" s="3070" t="s">
        <v>3429</v>
      </c>
      <c r="BC362" s="3070" t="s">
        <v>3284</v>
      </c>
      <c r="BD362" s="3070" t="s">
        <v>3075</v>
      </c>
      <c r="BI362" s="3070" t="s">
        <v>3235</v>
      </c>
      <c r="BJ362" s="3070" t="s">
        <v>3338</v>
      </c>
      <c r="BL362" s="3070" t="s">
        <v>6235</v>
      </c>
      <c r="BM362" s="3075">
        <v>44287</v>
      </c>
      <c r="BN362" s="3070">
        <v>-12</v>
      </c>
      <c r="BO362" s="3070" t="s">
        <v>3253</v>
      </c>
      <c r="BR362" s="3070">
        <v>777</v>
      </c>
      <c r="BS362" s="3070" t="s">
        <v>3238</v>
      </c>
      <c r="BZ362" s="3073">
        <v>44142.604166666664</v>
      </c>
      <c r="CA362" s="3070">
        <v>4</v>
      </c>
      <c r="CD362" s="3070" t="s">
        <v>3239</v>
      </c>
      <c r="CF362" s="3070" t="s">
        <v>3091</v>
      </c>
      <c r="CH362" s="3070" t="s">
        <v>3240</v>
      </c>
      <c r="CI362" s="3070">
        <v>0</v>
      </c>
      <c r="CK362" s="3070" t="s">
        <v>3429</v>
      </c>
      <c r="CL362" s="3070" t="s">
        <v>3429</v>
      </c>
      <c r="CM362" s="3070">
        <v>1568686.24</v>
      </c>
      <c r="CV362" s="3070" t="s">
        <v>3246</v>
      </c>
      <c r="CW362" s="3070" t="s">
        <v>6236</v>
      </c>
      <c r="CZ362" s="3070">
        <v>213894.57</v>
      </c>
      <c r="DA362" s="3070">
        <v>159426.93</v>
      </c>
      <c r="DB362" s="3070">
        <v>0</v>
      </c>
      <c r="DC362" s="3070">
        <v>0</v>
      </c>
      <c r="DD362" s="3070">
        <v>3290547602</v>
      </c>
      <c r="DE362" s="3070">
        <v>2764253109</v>
      </c>
      <c r="DF362" s="3070">
        <v>1464966739</v>
      </c>
      <c r="DG362" s="3070">
        <v>14938370</v>
      </c>
      <c r="DH362" s="3070">
        <v>1284348000</v>
      </c>
      <c r="DI362" s="3070">
        <v>1278128000</v>
      </c>
      <c r="DJ362" s="3070">
        <v>6220000</v>
      </c>
      <c r="DK362" s="3070">
        <v>0</v>
      </c>
      <c r="DL362" s="3070">
        <v>0</v>
      </c>
      <c r="DM362" s="3070">
        <v>25491817.620000001</v>
      </c>
      <c r="DN362" s="3070">
        <v>2764253109</v>
      </c>
      <c r="DP362" s="3070">
        <v>2764253109</v>
      </c>
    </row>
    <row r="363" spans="1:120">
      <c r="A363" s="3070">
        <v>362</v>
      </c>
      <c r="B363" s="3070" t="s">
        <v>3224</v>
      </c>
      <c r="C363" s="3070">
        <v>4</v>
      </c>
      <c r="D363" s="3070">
        <v>1</v>
      </c>
      <c r="E363" s="3070">
        <v>1202</v>
      </c>
      <c r="F363" s="3070" t="s">
        <v>6237</v>
      </c>
      <c r="G363" s="3070" t="s">
        <v>6238</v>
      </c>
      <c r="H363" s="3070">
        <v>1368996</v>
      </c>
      <c r="I363" s="3070">
        <v>1368996</v>
      </c>
      <c r="J363" s="3070">
        <v>105.02</v>
      </c>
      <c r="K363" s="3070">
        <v>79.66</v>
      </c>
      <c r="L363" s="3070">
        <v>0</v>
      </c>
      <c r="M363" s="3070">
        <v>0</v>
      </c>
      <c r="N363" s="3070">
        <v>15994.44</v>
      </c>
      <c r="O363" s="3070">
        <v>1679736</v>
      </c>
      <c r="P363" s="3070">
        <v>13035.57</v>
      </c>
      <c r="Q363" s="3070">
        <v>1368996</v>
      </c>
      <c r="R363" s="3070" t="s">
        <v>3227</v>
      </c>
      <c r="S363" s="3070" t="s">
        <v>6239</v>
      </c>
      <c r="T363" s="3070" t="s">
        <v>3246</v>
      </c>
      <c r="U363" s="3070" t="s">
        <v>3371</v>
      </c>
      <c r="V363" s="3070" t="s">
        <v>3230</v>
      </c>
      <c r="Y363" s="3070">
        <v>418996</v>
      </c>
      <c r="Z363" s="3070">
        <v>418996</v>
      </c>
      <c r="AA363" s="3070">
        <v>418996</v>
      </c>
      <c r="AB363" s="3070">
        <v>0</v>
      </c>
      <c r="AC363" s="3070">
        <v>950000</v>
      </c>
      <c r="AD363" s="3070">
        <v>950000</v>
      </c>
      <c r="AE363" s="3070">
        <v>0</v>
      </c>
      <c r="AI363" s="3070" t="s">
        <v>3227</v>
      </c>
      <c r="AJ363" s="3070">
        <v>0</v>
      </c>
      <c r="AK363" s="3070">
        <v>0</v>
      </c>
      <c r="AL363" s="3070">
        <v>0</v>
      </c>
      <c r="AM363" s="3070">
        <v>13035.57</v>
      </c>
      <c r="AN363" s="3070">
        <v>1368996</v>
      </c>
      <c r="AP363" s="3070">
        <v>1368996</v>
      </c>
      <c r="AQ363" s="3072">
        <v>45230</v>
      </c>
      <c r="AT363" s="3073">
        <v>45770</v>
      </c>
      <c r="AV363" s="3074">
        <v>3.21E+17</v>
      </c>
      <c r="AW363" s="3070" t="s">
        <v>6240</v>
      </c>
      <c r="AX363" s="3070" t="s">
        <v>6241</v>
      </c>
      <c r="AY363" s="3070" t="s">
        <v>3954</v>
      </c>
      <c r="BC363" s="3070" t="s">
        <v>3284</v>
      </c>
      <c r="BD363" s="3070" t="s">
        <v>3077</v>
      </c>
      <c r="BI363" s="3070" t="s">
        <v>3235</v>
      </c>
      <c r="BL363" s="3070" t="s">
        <v>6242</v>
      </c>
      <c r="BM363" s="3075">
        <v>44287</v>
      </c>
      <c r="BN363" s="3070">
        <v>-12</v>
      </c>
      <c r="BO363" s="3070" t="s">
        <v>3253</v>
      </c>
      <c r="BR363" s="3070">
        <v>275</v>
      </c>
      <c r="BS363" s="3070" t="s">
        <v>3238</v>
      </c>
      <c r="BZ363" s="3073">
        <v>44142.605555555558</v>
      </c>
      <c r="CA363" s="3070">
        <v>4</v>
      </c>
      <c r="CD363" s="3070" t="s">
        <v>3239</v>
      </c>
      <c r="CF363" s="3070" t="s">
        <v>3091</v>
      </c>
      <c r="CH363" s="3070" t="s">
        <v>3240</v>
      </c>
      <c r="CI363" s="3070">
        <v>0</v>
      </c>
      <c r="CK363" s="3070" t="s">
        <v>3957</v>
      </c>
      <c r="CL363" s="3070" t="s">
        <v>3954</v>
      </c>
      <c r="CM363" s="3070">
        <v>1255959.6299999999</v>
      </c>
      <c r="CV363" s="3070" t="s">
        <v>3246</v>
      </c>
      <c r="CW363" s="3070" t="s">
        <v>6243</v>
      </c>
      <c r="CX363" s="3070" t="s">
        <v>3311</v>
      </c>
      <c r="CZ363" s="3070">
        <v>213894.57</v>
      </c>
      <c r="DA363" s="3070">
        <v>159426.93</v>
      </c>
      <c r="DB363" s="3070">
        <v>0</v>
      </c>
      <c r="DC363" s="3070">
        <v>0</v>
      </c>
      <c r="DD363" s="3070">
        <v>3290547602</v>
      </c>
      <c r="DE363" s="3070">
        <v>2764253109</v>
      </c>
      <c r="DF363" s="3070">
        <v>1464966739</v>
      </c>
      <c r="DG363" s="3070">
        <v>14938370</v>
      </c>
      <c r="DH363" s="3070">
        <v>1284348000</v>
      </c>
      <c r="DI363" s="3070">
        <v>1278128000</v>
      </c>
      <c r="DJ363" s="3070">
        <v>6220000</v>
      </c>
      <c r="DK363" s="3070">
        <v>0</v>
      </c>
      <c r="DL363" s="3070">
        <v>0</v>
      </c>
      <c r="DM363" s="3070">
        <v>25491817.620000001</v>
      </c>
      <c r="DN363" s="3070">
        <v>2764253109</v>
      </c>
      <c r="DP363" s="3070">
        <v>2764253109</v>
      </c>
    </row>
    <row r="364" spans="1:120">
      <c r="A364" s="3070">
        <v>363</v>
      </c>
      <c r="B364" s="3070" t="s">
        <v>3224</v>
      </c>
      <c r="C364" s="3070">
        <v>4</v>
      </c>
      <c r="D364" s="3070">
        <v>1</v>
      </c>
      <c r="E364" s="3070">
        <v>1203</v>
      </c>
      <c r="F364" s="3070" t="s">
        <v>6244</v>
      </c>
      <c r="G364" s="3070" t="s">
        <v>6245</v>
      </c>
      <c r="H364" s="3070">
        <v>1678720</v>
      </c>
      <c r="I364" s="3070">
        <v>1678720</v>
      </c>
      <c r="J364" s="3070">
        <v>132.99</v>
      </c>
      <c r="K364" s="3070">
        <v>100.87</v>
      </c>
      <c r="L364" s="3070">
        <v>0</v>
      </c>
      <c r="M364" s="3070">
        <v>0</v>
      </c>
      <c r="N364" s="3070">
        <v>15694.44</v>
      </c>
      <c r="O364" s="3070">
        <v>2087204</v>
      </c>
      <c r="P364" s="3070">
        <v>12622.9</v>
      </c>
      <c r="Q364" s="3070">
        <v>1678720</v>
      </c>
      <c r="R364" s="3070" t="s">
        <v>3227</v>
      </c>
      <c r="S364" s="3070" t="s">
        <v>6246</v>
      </c>
      <c r="T364" s="3070" t="s">
        <v>3229</v>
      </c>
      <c r="V364" s="3070" t="s">
        <v>3230</v>
      </c>
      <c r="Y364" s="3070">
        <v>520000</v>
      </c>
      <c r="Z364" s="3070">
        <v>520000</v>
      </c>
      <c r="AA364" s="3070">
        <v>1678720</v>
      </c>
      <c r="AB364" s="3070">
        <v>0</v>
      </c>
      <c r="AC364" s="3070">
        <v>0</v>
      </c>
      <c r="AD364" s="3070">
        <v>0</v>
      </c>
      <c r="AE364" s="3070">
        <v>0</v>
      </c>
      <c r="AI364" s="3070" t="s">
        <v>3227</v>
      </c>
      <c r="AJ364" s="3070">
        <v>0</v>
      </c>
      <c r="AK364" s="3070">
        <v>0</v>
      </c>
      <c r="AL364" s="3070">
        <v>0</v>
      </c>
      <c r="AM364" s="3070">
        <v>12622.9</v>
      </c>
      <c r="AN364" s="3070">
        <v>1678720</v>
      </c>
      <c r="AP364" s="3070">
        <v>1678720</v>
      </c>
      <c r="AQ364" s="3072">
        <v>45230</v>
      </c>
      <c r="AT364" s="3073">
        <v>45770</v>
      </c>
      <c r="AV364" s="3074">
        <v>3.21E+17</v>
      </c>
      <c r="AW364" s="3070" t="s">
        <v>6247</v>
      </c>
      <c r="AX364" s="3070" t="s">
        <v>6248</v>
      </c>
      <c r="AY364" s="3070" t="s">
        <v>3419</v>
      </c>
      <c r="BC364" s="3070" t="s">
        <v>3792</v>
      </c>
      <c r="BD364" s="3070" t="s">
        <v>3075</v>
      </c>
      <c r="BI364" s="3070" t="s">
        <v>3235</v>
      </c>
      <c r="BL364" s="3070" t="s">
        <v>6249</v>
      </c>
      <c r="BM364" s="3075">
        <v>44287</v>
      </c>
      <c r="BN364" s="3070">
        <v>-12</v>
      </c>
      <c r="BR364" s="3070">
        <v>83</v>
      </c>
      <c r="BS364" s="3070" t="s">
        <v>3238</v>
      </c>
      <c r="BZ364" s="3073">
        <v>44142.605555555558</v>
      </c>
      <c r="CA364" s="3070">
        <v>4</v>
      </c>
      <c r="CD364" s="3070" t="s">
        <v>3239</v>
      </c>
      <c r="CF364" s="3070" t="s">
        <v>3091</v>
      </c>
      <c r="CH364" s="3070" t="s">
        <v>3240</v>
      </c>
      <c r="CI364" s="3070">
        <v>0</v>
      </c>
      <c r="CK364" s="3070" t="s">
        <v>3419</v>
      </c>
      <c r="CL364" s="3070" t="s">
        <v>3419</v>
      </c>
      <c r="CM364" s="3070">
        <v>1540110.09</v>
      </c>
      <c r="CV364" s="3070" t="s">
        <v>3229</v>
      </c>
      <c r="CW364" s="3070" t="s">
        <v>6250</v>
      </c>
      <c r="CZ364" s="3070">
        <v>213894.57</v>
      </c>
      <c r="DA364" s="3070">
        <v>159426.93</v>
      </c>
      <c r="DB364" s="3070">
        <v>0</v>
      </c>
      <c r="DC364" s="3070">
        <v>0</v>
      </c>
      <c r="DD364" s="3070">
        <v>3290547602</v>
      </c>
      <c r="DE364" s="3070">
        <v>2764253109</v>
      </c>
      <c r="DF364" s="3070">
        <v>1464966739</v>
      </c>
      <c r="DG364" s="3070">
        <v>14938370</v>
      </c>
      <c r="DH364" s="3070">
        <v>1284348000</v>
      </c>
      <c r="DI364" s="3070">
        <v>1278128000</v>
      </c>
      <c r="DJ364" s="3070">
        <v>6220000</v>
      </c>
      <c r="DK364" s="3070">
        <v>0</v>
      </c>
      <c r="DL364" s="3070">
        <v>0</v>
      </c>
      <c r="DM364" s="3070">
        <v>25491817.620000001</v>
      </c>
      <c r="DN364" s="3070">
        <v>2764253109</v>
      </c>
      <c r="DP364" s="3070">
        <v>2764253109</v>
      </c>
    </row>
    <row r="365" spans="1:120">
      <c r="A365" s="3070">
        <v>364</v>
      </c>
      <c r="B365" s="3070" t="s">
        <v>3224</v>
      </c>
      <c r="C365" s="3070">
        <v>4</v>
      </c>
      <c r="D365" s="3070">
        <v>2</v>
      </c>
      <c r="E365" s="3070">
        <v>1204</v>
      </c>
      <c r="F365" s="3070" t="s">
        <v>6251</v>
      </c>
      <c r="G365" s="3070" t="s">
        <v>6252</v>
      </c>
      <c r="H365" s="3070">
        <v>1726489</v>
      </c>
      <c r="I365" s="3070">
        <v>1726489</v>
      </c>
      <c r="J365" s="3070">
        <v>132.99</v>
      </c>
      <c r="K365" s="3070">
        <v>100.87</v>
      </c>
      <c r="L365" s="3070">
        <v>0</v>
      </c>
      <c r="M365" s="3070">
        <v>0</v>
      </c>
      <c r="N365" s="3070">
        <v>15694.44</v>
      </c>
      <c r="O365" s="3070">
        <v>2087204</v>
      </c>
      <c r="P365" s="3070">
        <v>12982.1</v>
      </c>
      <c r="Q365" s="3070">
        <v>1726489</v>
      </c>
      <c r="R365" s="3070" t="s">
        <v>3227</v>
      </c>
      <c r="S365" s="3070" t="s">
        <v>6253</v>
      </c>
      <c r="T365" s="3070" t="s">
        <v>3494</v>
      </c>
      <c r="V365" s="3070" t="s">
        <v>3230</v>
      </c>
      <c r="Y365" s="3070">
        <v>172649</v>
      </c>
      <c r="Z365" s="3070">
        <v>172649</v>
      </c>
      <c r="AA365" s="3070">
        <v>1726489</v>
      </c>
      <c r="AB365" s="3070">
        <v>0</v>
      </c>
      <c r="AC365" s="3070">
        <v>0</v>
      </c>
      <c r="AD365" s="3070">
        <v>0</v>
      </c>
      <c r="AE365" s="3070">
        <v>0</v>
      </c>
      <c r="AI365" s="3070" t="s">
        <v>3227</v>
      </c>
      <c r="AJ365" s="3070">
        <v>0</v>
      </c>
      <c r="AK365" s="3070">
        <v>0</v>
      </c>
      <c r="AL365" s="3070">
        <v>0</v>
      </c>
      <c r="AM365" s="3070">
        <v>12982.1</v>
      </c>
      <c r="AN365" s="3070">
        <v>1726489</v>
      </c>
      <c r="AP365" s="3070">
        <v>1726489</v>
      </c>
      <c r="AQ365" s="3072">
        <v>45230</v>
      </c>
      <c r="AT365" s="3073">
        <v>45770</v>
      </c>
      <c r="AV365" s="3074">
        <v>3.21E+17</v>
      </c>
      <c r="AW365" s="3070" t="s">
        <v>6254</v>
      </c>
      <c r="AX365" s="3070" t="s">
        <v>6255</v>
      </c>
      <c r="AY365" s="3070" t="s">
        <v>3892</v>
      </c>
      <c r="BA365" s="3070" t="s">
        <v>5264</v>
      </c>
      <c r="BC365" s="3070" t="s">
        <v>4629</v>
      </c>
      <c r="BD365" s="3070" t="s">
        <v>3075</v>
      </c>
      <c r="BI365" s="3070" t="s">
        <v>3235</v>
      </c>
      <c r="BL365" s="3070" t="s">
        <v>6256</v>
      </c>
      <c r="BM365" s="3075">
        <v>44288</v>
      </c>
      <c r="BN365" s="3070">
        <v>-12</v>
      </c>
      <c r="BR365" s="3070">
        <v>21</v>
      </c>
      <c r="BS365" s="3070" t="s">
        <v>3238</v>
      </c>
      <c r="BU365" s="3070" t="s">
        <v>5264</v>
      </c>
      <c r="BZ365" s="3073">
        <v>44206.670138888891</v>
      </c>
      <c r="CA365" s="3070">
        <v>4</v>
      </c>
      <c r="CD365" s="3070" t="s">
        <v>3239</v>
      </c>
      <c r="CF365" s="3070" t="s">
        <v>3091</v>
      </c>
      <c r="CH365" s="3070" t="s">
        <v>3240</v>
      </c>
      <c r="CI365" s="3070">
        <v>0</v>
      </c>
      <c r="CK365" s="3070" t="s">
        <v>4056</v>
      </c>
      <c r="CL365" s="3070" t="s">
        <v>4056</v>
      </c>
      <c r="CM365" s="3070">
        <v>1583934.86</v>
      </c>
      <c r="CV365" s="3070" t="s">
        <v>3494</v>
      </c>
      <c r="CW365" s="3070" t="s">
        <v>6257</v>
      </c>
      <c r="CX365" s="3070" t="s">
        <v>3350</v>
      </c>
      <c r="CZ365" s="3070">
        <v>213894.57</v>
      </c>
      <c r="DA365" s="3070">
        <v>159426.93</v>
      </c>
      <c r="DB365" s="3070">
        <v>0</v>
      </c>
      <c r="DC365" s="3070">
        <v>0</v>
      </c>
      <c r="DD365" s="3070">
        <v>3290547602</v>
      </c>
      <c r="DE365" s="3070">
        <v>2764253109</v>
      </c>
      <c r="DF365" s="3070">
        <v>1464966739</v>
      </c>
      <c r="DG365" s="3070">
        <v>14938370</v>
      </c>
      <c r="DH365" s="3070">
        <v>1284348000</v>
      </c>
      <c r="DI365" s="3070">
        <v>1278128000</v>
      </c>
      <c r="DJ365" s="3070">
        <v>6220000</v>
      </c>
      <c r="DK365" s="3070">
        <v>0</v>
      </c>
      <c r="DL365" s="3070">
        <v>0</v>
      </c>
      <c r="DM365" s="3070">
        <v>25491817.620000001</v>
      </c>
      <c r="DN365" s="3070">
        <v>2764253109</v>
      </c>
      <c r="DP365" s="3070">
        <v>2764253109</v>
      </c>
    </row>
    <row r="366" spans="1:120">
      <c r="A366" s="3070">
        <v>365</v>
      </c>
      <c r="B366" s="3070" t="s">
        <v>3224</v>
      </c>
      <c r="C366" s="3070">
        <v>4</v>
      </c>
      <c r="D366" s="3070">
        <v>2</v>
      </c>
      <c r="E366" s="3070">
        <v>1205</v>
      </c>
      <c r="F366" s="3070" t="s">
        <v>6258</v>
      </c>
      <c r="G366" s="3070" t="s">
        <v>6259</v>
      </c>
      <c r="H366" s="3070">
        <v>1406056</v>
      </c>
      <c r="I366" s="3070">
        <v>1406056</v>
      </c>
      <c r="J366" s="3070">
        <v>105.02</v>
      </c>
      <c r="K366" s="3070">
        <v>79.66</v>
      </c>
      <c r="L366" s="3070">
        <v>0</v>
      </c>
      <c r="M366" s="3070">
        <v>0</v>
      </c>
      <c r="N366" s="3070">
        <v>15994.44</v>
      </c>
      <c r="O366" s="3070">
        <v>1679736</v>
      </c>
      <c r="P366" s="3070">
        <v>13388.46</v>
      </c>
      <c r="Q366" s="3070">
        <v>1406056</v>
      </c>
      <c r="R366" s="3070" t="s">
        <v>3227</v>
      </c>
      <c r="S366" s="3070" t="s">
        <v>6260</v>
      </c>
      <c r="T366" s="3070" t="s">
        <v>3258</v>
      </c>
      <c r="V366" s="3070" t="s">
        <v>3230</v>
      </c>
      <c r="Y366" s="3070">
        <v>1106056</v>
      </c>
      <c r="Z366" s="3070">
        <v>519155</v>
      </c>
      <c r="AA366" s="3070">
        <v>1106056</v>
      </c>
      <c r="AB366" s="3070">
        <v>0</v>
      </c>
      <c r="AC366" s="3070">
        <v>300000</v>
      </c>
      <c r="AD366" s="3070">
        <v>300000</v>
      </c>
      <c r="AE366" s="3070">
        <v>0</v>
      </c>
      <c r="AI366" s="3070" t="s">
        <v>3227</v>
      </c>
      <c r="AJ366" s="3070">
        <v>0</v>
      </c>
      <c r="AK366" s="3070">
        <v>0</v>
      </c>
      <c r="AL366" s="3070">
        <v>0</v>
      </c>
      <c r="AM366" s="3070">
        <v>13388.46</v>
      </c>
      <c r="AN366" s="3070">
        <v>1406056</v>
      </c>
      <c r="AP366" s="3070">
        <v>1406056</v>
      </c>
      <c r="AQ366" s="3072">
        <v>45230</v>
      </c>
      <c r="AT366" s="3073">
        <v>45770</v>
      </c>
      <c r="AV366" s="3070" t="s">
        <v>6261</v>
      </c>
      <c r="AW366" s="3070" t="s">
        <v>6262</v>
      </c>
      <c r="AX366" s="3070" t="s">
        <v>6263</v>
      </c>
      <c r="AY366" s="3070" t="s">
        <v>3419</v>
      </c>
      <c r="BA366" s="3070" t="s">
        <v>3419</v>
      </c>
      <c r="BC366" s="3070" t="s">
        <v>6264</v>
      </c>
      <c r="BD366" s="3070" t="s">
        <v>3077</v>
      </c>
      <c r="BI366" s="3070" t="s">
        <v>3235</v>
      </c>
      <c r="BL366" s="3070" t="s">
        <v>6265</v>
      </c>
      <c r="BM366" s="3075">
        <v>44288</v>
      </c>
      <c r="BN366" s="3070">
        <v>-12</v>
      </c>
      <c r="BP366" s="3070" t="s">
        <v>3253</v>
      </c>
      <c r="BR366" s="3070">
        <v>16</v>
      </c>
      <c r="BS366" s="3070" t="s">
        <v>3238</v>
      </c>
      <c r="BT366" s="3070" t="s">
        <v>3481</v>
      </c>
      <c r="BU366" s="3070" t="s">
        <v>3419</v>
      </c>
      <c r="BV366" s="3070" t="s">
        <v>6266</v>
      </c>
      <c r="BZ366" s="3073">
        <v>44177.777083333334</v>
      </c>
      <c r="CA366" s="3070">
        <v>4</v>
      </c>
      <c r="CB366" s="3070" t="s">
        <v>3481</v>
      </c>
      <c r="CD366" s="3070" t="s">
        <v>3239</v>
      </c>
      <c r="CF366" s="3070" t="s">
        <v>3091</v>
      </c>
      <c r="CH366" s="3070" t="s">
        <v>3240</v>
      </c>
      <c r="CI366" s="3070">
        <v>0</v>
      </c>
      <c r="CK366" s="3070" t="s">
        <v>3419</v>
      </c>
      <c r="CL366" s="3070" t="s">
        <v>3419</v>
      </c>
      <c r="CM366" s="3070">
        <v>1289959.6299999999</v>
      </c>
      <c r="CV366" s="3070" t="s">
        <v>3258</v>
      </c>
      <c r="CW366" s="3070" t="s">
        <v>6267</v>
      </c>
      <c r="CX366" s="3070" t="s">
        <v>3510</v>
      </c>
      <c r="CZ366" s="3070">
        <v>213894.57</v>
      </c>
      <c r="DA366" s="3070">
        <v>159426.93</v>
      </c>
      <c r="DB366" s="3070">
        <v>0</v>
      </c>
      <c r="DC366" s="3070">
        <v>0</v>
      </c>
      <c r="DD366" s="3070">
        <v>3290547602</v>
      </c>
      <c r="DE366" s="3070">
        <v>2764253109</v>
      </c>
      <c r="DF366" s="3070">
        <v>1464966739</v>
      </c>
      <c r="DG366" s="3070">
        <v>14938370</v>
      </c>
      <c r="DH366" s="3070">
        <v>1284348000</v>
      </c>
      <c r="DI366" s="3070">
        <v>1278128000</v>
      </c>
      <c r="DJ366" s="3070">
        <v>6220000</v>
      </c>
      <c r="DK366" s="3070">
        <v>0</v>
      </c>
      <c r="DL366" s="3070">
        <v>0</v>
      </c>
      <c r="DM366" s="3070">
        <v>25491817.620000001</v>
      </c>
      <c r="DN366" s="3070">
        <v>2764253109</v>
      </c>
      <c r="DP366" s="3070">
        <v>2764253109</v>
      </c>
    </row>
    <row r="367" spans="1:120">
      <c r="A367" s="3070">
        <v>366</v>
      </c>
      <c r="B367" s="3070" t="s">
        <v>3224</v>
      </c>
      <c r="C367" s="3070">
        <v>4</v>
      </c>
      <c r="D367" s="3070">
        <v>2</v>
      </c>
      <c r="E367" s="3070">
        <v>1206</v>
      </c>
      <c r="F367" s="3070" t="s">
        <v>6268</v>
      </c>
      <c r="G367" s="3070" t="s">
        <v>6269</v>
      </c>
      <c r="H367" s="3070">
        <v>1716171</v>
      </c>
      <c r="I367" s="3070">
        <v>1716171</v>
      </c>
      <c r="J367" s="3070">
        <v>132.62</v>
      </c>
      <c r="K367" s="3070">
        <v>100.59</v>
      </c>
      <c r="L367" s="3070">
        <v>0</v>
      </c>
      <c r="M367" s="3070">
        <v>0</v>
      </c>
      <c r="N367" s="3070">
        <v>15894.44</v>
      </c>
      <c r="O367" s="3070">
        <v>2107921</v>
      </c>
      <c r="P367" s="3070">
        <v>12940.51</v>
      </c>
      <c r="Q367" s="3070">
        <v>1716171</v>
      </c>
      <c r="R367" s="3070" t="s">
        <v>3227</v>
      </c>
      <c r="S367" s="3070" t="s">
        <v>6270</v>
      </c>
      <c r="T367" s="3070" t="s">
        <v>3246</v>
      </c>
      <c r="U367" s="3070" t="s">
        <v>3247</v>
      </c>
      <c r="V367" s="3070" t="s">
        <v>3230</v>
      </c>
      <c r="Y367" s="3070">
        <v>516171</v>
      </c>
      <c r="Z367" s="3070">
        <v>516171</v>
      </c>
      <c r="AA367" s="3070">
        <v>516171</v>
      </c>
      <c r="AB367" s="3070">
        <v>0</v>
      </c>
      <c r="AC367" s="3070">
        <v>1200000</v>
      </c>
      <c r="AD367" s="3070">
        <v>1200000</v>
      </c>
      <c r="AE367" s="3070">
        <v>0</v>
      </c>
      <c r="AI367" s="3070" t="s">
        <v>3227</v>
      </c>
      <c r="AJ367" s="3070">
        <v>0</v>
      </c>
      <c r="AK367" s="3070">
        <v>0</v>
      </c>
      <c r="AL367" s="3070">
        <v>0</v>
      </c>
      <c r="AM367" s="3070">
        <v>12940.51</v>
      </c>
      <c r="AN367" s="3070">
        <v>1716171</v>
      </c>
      <c r="AP367" s="3070">
        <v>1716171</v>
      </c>
      <c r="AQ367" s="3072">
        <v>45230</v>
      </c>
      <c r="AT367" s="3073">
        <v>45770</v>
      </c>
      <c r="AV367" s="3070" t="s">
        <v>6271</v>
      </c>
      <c r="AW367" s="3070" t="s">
        <v>6272</v>
      </c>
      <c r="AX367" s="3070" t="s">
        <v>6273</v>
      </c>
      <c r="AY367" s="3070" t="s">
        <v>3632</v>
      </c>
      <c r="BC367" s="3070" t="s">
        <v>3284</v>
      </c>
      <c r="BD367" s="3070" t="s">
        <v>3075</v>
      </c>
      <c r="BI367" s="3070" t="s">
        <v>3235</v>
      </c>
      <c r="BJ367" s="3070" t="s">
        <v>3296</v>
      </c>
      <c r="BL367" s="3070" t="s">
        <v>6274</v>
      </c>
      <c r="BM367" s="3075">
        <v>44288</v>
      </c>
      <c r="BN367" s="3070">
        <v>-12</v>
      </c>
      <c r="BO367" s="3070" t="s">
        <v>3253</v>
      </c>
      <c r="BR367" s="3070">
        <v>619</v>
      </c>
      <c r="BS367" s="3070" t="s">
        <v>3238</v>
      </c>
      <c r="BZ367" s="3073">
        <v>44150.730555555558</v>
      </c>
      <c r="CA367" s="3070">
        <v>4</v>
      </c>
      <c r="CD367" s="3070" t="s">
        <v>3239</v>
      </c>
      <c r="CF367" s="3070" t="s">
        <v>3091</v>
      </c>
      <c r="CH367" s="3070" t="s">
        <v>3240</v>
      </c>
      <c r="CI367" s="3070">
        <v>0</v>
      </c>
      <c r="CK367" s="3070" t="s">
        <v>3632</v>
      </c>
      <c r="CL367" s="3070" t="s">
        <v>3632</v>
      </c>
      <c r="CM367" s="3070">
        <v>1574468.8</v>
      </c>
      <c r="CV367" s="3070" t="s">
        <v>3246</v>
      </c>
      <c r="CW367" s="3070" t="s">
        <v>6275</v>
      </c>
      <c r="CX367" s="3070" t="s">
        <v>3267</v>
      </c>
      <c r="CZ367" s="3070">
        <v>213894.57</v>
      </c>
      <c r="DA367" s="3070">
        <v>159426.93</v>
      </c>
      <c r="DB367" s="3070">
        <v>0</v>
      </c>
      <c r="DC367" s="3070">
        <v>0</v>
      </c>
      <c r="DD367" s="3070">
        <v>3290547602</v>
      </c>
      <c r="DE367" s="3070">
        <v>2764253109</v>
      </c>
      <c r="DF367" s="3070">
        <v>1464966739</v>
      </c>
      <c r="DG367" s="3070">
        <v>14938370</v>
      </c>
      <c r="DH367" s="3070">
        <v>1284348000</v>
      </c>
      <c r="DI367" s="3070">
        <v>1278128000</v>
      </c>
      <c r="DJ367" s="3070">
        <v>6220000</v>
      </c>
      <c r="DK367" s="3070">
        <v>0</v>
      </c>
      <c r="DL367" s="3070">
        <v>0</v>
      </c>
      <c r="DM367" s="3070">
        <v>25491817.620000001</v>
      </c>
      <c r="DN367" s="3070">
        <v>2764253109</v>
      </c>
      <c r="DP367" s="3070">
        <v>2764253109</v>
      </c>
    </row>
    <row r="368" spans="1:120">
      <c r="A368" s="3070">
        <v>367</v>
      </c>
      <c r="B368" s="3070" t="s">
        <v>3224</v>
      </c>
      <c r="C368" s="3070">
        <v>4</v>
      </c>
      <c r="D368" s="3070">
        <v>1</v>
      </c>
      <c r="E368" s="3070">
        <v>1301</v>
      </c>
      <c r="F368" s="3070" t="s">
        <v>6276</v>
      </c>
      <c r="G368" s="3070" t="s">
        <v>6277</v>
      </c>
      <c r="H368" s="3070">
        <v>1765801</v>
      </c>
      <c r="I368" s="3070">
        <v>1765801</v>
      </c>
      <c r="J368" s="3070">
        <v>132.62</v>
      </c>
      <c r="K368" s="3070">
        <v>100.59</v>
      </c>
      <c r="L368" s="3070">
        <v>0</v>
      </c>
      <c r="M368" s="3070">
        <v>0</v>
      </c>
      <c r="N368" s="3070">
        <v>15844.44</v>
      </c>
      <c r="O368" s="3070">
        <v>2101290</v>
      </c>
      <c r="P368" s="3070">
        <v>13314.74</v>
      </c>
      <c r="Q368" s="3070">
        <v>1765801</v>
      </c>
      <c r="R368" s="3070" t="s">
        <v>3227</v>
      </c>
      <c r="S368" s="3070" t="s">
        <v>6278</v>
      </c>
      <c r="T368" s="3070" t="s">
        <v>3494</v>
      </c>
      <c r="V368" s="3070" t="s">
        <v>3230</v>
      </c>
      <c r="Y368" s="3070">
        <v>176580</v>
      </c>
      <c r="Z368" s="3070">
        <v>176580</v>
      </c>
      <c r="AA368" s="3070">
        <v>1765801</v>
      </c>
      <c r="AB368" s="3070">
        <v>0</v>
      </c>
      <c r="AC368" s="3070">
        <v>0</v>
      </c>
      <c r="AD368" s="3070">
        <v>0</v>
      </c>
      <c r="AE368" s="3070">
        <v>0</v>
      </c>
      <c r="AI368" s="3070" t="s">
        <v>3227</v>
      </c>
      <c r="AJ368" s="3070">
        <v>0</v>
      </c>
      <c r="AK368" s="3070">
        <v>0</v>
      </c>
      <c r="AL368" s="3070">
        <v>0</v>
      </c>
      <c r="AM368" s="3070">
        <v>13314.74</v>
      </c>
      <c r="AN368" s="3070">
        <v>1765801</v>
      </c>
      <c r="AP368" s="3070">
        <v>1765801</v>
      </c>
      <c r="AQ368" s="3072">
        <v>45230</v>
      </c>
      <c r="AT368" s="3073">
        <v>45770</v>
      </c>
      <c r="AV368" s="3074">
        <v>3.21E+17</v>
      </c>
      <c r="AW368" s="3070" t="s">
        <v>6279</v>
      </c>
      <c r="AX368" s="3070" t="s">
        <v>6280</v>
      </c>
      <c r="AY368" s="3070" t="s">
        <v>3429</v>
      </c>
      <c r="BA368" s="3070" t="s">
        <v>3429</v>
      </c>
      <c r="BC368" s="3070" t="s">
        <v>6281</v>
      </c>
      <c r="BD368" s="3070" t="s">
        <v>3075</v>
      </c>
      <c r="BI368" s="3070" t="s">
        <v>3235</v>
      </c>
      <c r="BL368" s="3070" t="s">
        <v>6282</v>
      </c>
      <c r="BM368" s="3075">
        <v>44287</v>
      </c>
      <c r="BN368" s="3070">
        <v>-13</v>
      </c>
      <c r="BR368" s="3070">
        <v>16</v>
      </c>
      <c r="BS368" s="3070" t="s">
        <v>3238</v>
      </c>
      <c r="BU368" s="3070" t="s">
        <v>3429</v>
      </c>
      <c r="BV368" s="3070" t="s">
        <v>6283</v>
      </c>
      <c r="BZ368" s="3073">
        <v>44173.734722222223</v>
      </c>
      <c r="CA368" s="3070">
        <v>4</v>
      </c>
      <c r="CD368" s="3070" t="s">
        <v>3239</v>
      </c>
      <c r="CF368" s="3070" t="s">
        <v>3091</v>
      </c>
      <c r="CH368" s="3070" t="s">
        <v>3240</v>
      </c>
      <c r="CI368" s="3070">
        <v>0</v>
      </c>
      <c r="CK368" s="3070" t="s">
        <v>3429</v>
      </c>
      <c r="CL368" s="3070" t="s">
        <v>3429</v>
      </c>
      <c r="CM368" s="3070">
        <v>1620000.92</v>
      </c>
      <c r="CV368" s="3070" t="s">
        <v>3494</v>
      </c>
      <c r="CW368" s="3070" t="s">
        <v>6284</v>
      </c>
      <c r="CX368" s="3070" t="s">
        <v>3510</v>
      </c>
      <c r="CZ368" s="3070">
        <v>213894.57</v>
      </c>
      <c r="DA368" s="3070">
        <v>159426.93</v>
      </c>
      <c r="DB368" s="3070">
        <v>0</v>
      </c>
      <c r="DC368" s="3070">
        <v>0</v>
      </c>
      <c r="DD368" s="3070">
        <v>3290547602</v>
      </c>
      <c r="DE368" s="3070">
        <v>2764253109</v>
      </c>
      <c r="DF368" s="3070">
        <v>1464966739</v>
      </c>
      <c r="DG368" s="3070">
        <v>14938370</v>
      </c>
      <c r="DH368" s="3070">
        <v>1284348000</v>
      </c>
      <c r="DI368" s="3070">
        <v>1278128000</v>
      </c>
      <c r="DJ368" s="3070">
        <v>6220000</v>
      </c>
      <c r="DK368" s="3070">
        <v>0</v>
      </c>
      <c r="DL368" s="3070">
        <v>0</v>
      </c>
      <c r="DM368" s="3070">
        <v>25491817.620000001</v>
      </c>
      <c r="DN368" s="3070">
        <v>2764253109</v>
      </c>
      <c r="DP368" s="3070">
        <v>2764253109</v>
      </c>
    </row>
    <row r="369" spans="1:120">
      <c r="A369" s="3070">
        <v>368</v>
      </c>
      <c r="B369" s="3070" t="s">
        <v>3224</v>
      </c>
      <c r="C369" s="3070">
        <v>4</v>
      </c>
      <c r="D369" s="3070">
        <v>1</v>
      </c>
      <c r="E369" s="3070">
        <v>1302</v>
      </c>
      <c r="F369" s="3070" t="s">
        <v>6285</v>
      </c>
      <c r="G369" s="3070" t="s">
        <v>6286</v>
      </c>
      <c r="H369" s="3070">
        <v>1368996</v>
      </c>
      <c r="I369" s="3070">
        <v>1368996</v>
      </c>
      <c r="J369" s="3070">
        <v>105.02</v>
      </c>
      <c r="K369" s="3070">
        <v>79.66</v>
      </c>
      <c r="L369" s="3070">
        <v>0</v>
      </c>
      <c r="M369" s="3070">
        <v>0</v>
      </c>
      <c r="N369" s="3070">
        <v>15994.44</v>
      </c>
      <c r="O369" s="3070">
        <v>1679736</v>
      </c>
      <c r="P369" s="3070">
        <v>13035.57</v>
      </c>
      <c r="Q369" s="3070">
        <v>1368996</v>
      </c>
      <c r="R369" s="3070" t="s">
        <v>3227</v>
      </c>
      <c r="S369" s="3070" t="s">
        <v>6287</v>
      </c>
      <c r="T369" s="3070" t="s">
        <v>3258</v>
      </c>
      <c r="U369" s="3070" t="s">
        <v>3259</v>
      </c>
      <c r="V369" s="3070" t="s">
        <v>3230</v>
      </c>
      <c r="Y369" s="3070">
        <v>868996</v>
      </c>
      <c r="Z369" s="3070">
        <v>868996</v>
      </c>
      <c r="AA369" s="3070">
        <v>868996</v>
      </c>
      <c r="AB369" s="3070">
        <v>0</v>
      </c>
      <c r="AC369" s="3070">
        <v>500000</v>
      </c>
      <c r="AD369" s="3070">
        <v>500000</v>
      </c>
      <c r="AE369" s="3070">
        <v>0</v>
      </c>
      <c r="AI369" s="3070" t="s">
        <v>3227</v>
      </c>
      <c r="AJ369" s="3070">
        <v>0</v>
      </c>
      <c r="AK369" s="3070">
        <v>0</v>
      </c>
      <c r="AL369" s="3070">
        <v>0</v>
      </c>
      <c r="AM369" s="3070">
        <v>13035.57</v>
      </c>
      <c r="AN369" s="3070">
        <v>1368996</v>
      </c>
      <c r="AP369" s="3070">
        <v>1368996</v>
      </c>
      <c r="AQ369" s="3072">
        <v>45230</v>
      </c>
      <c r="AT369" s="3073">
        <v>45770</v>
      </c>
      <c r="AV369" s="3070" t="s">
        <v>6288</v>
      </c>
      <c r="AW369" s="3070" t="s">
        <v>6289</v>
      </c>
      <c r="AX369" s="3070" t="s">
        <v>6290</v>
      </c>
      <c r="AY369" s="3070" t="s">
        <v>3364</v>
      </c>
      <c r="BC369" s="3070" t="s">
        <v>3263</v>
      </c>
      <c r="BD369" s="3070" t="s">
        <v>3077</v>
      </c>
      <c r="BI369" s="3070" t="s">
        <v>3235</v>
      </c>
      <c r="BJ369" s="3070" t="s">
        <v>3296</v>
      </c>
      <c r="BL369" s="3070" t="s">
        <v>6291</v>
      </c>
      <c r="BM369" s="3075">
        <v>44287</v>
      </c>
      <c r="BN369" s="3070">
        <v>-13</v>
      </c>
      <c r="BO369" s="3070" t="s">
        <v>3253</v>
      </c>
      <c r="BP369" s="3070" t="s">
        <v>3253</v>
      </c>
      <c r="BR369" s="3070">
        <v>553</v>
      </c>
      <c r="BS369" s="3070" t="s">
        <v>3238</v>
      </c>
      <c r="BZ369" s="3073">
        <v>44146.625694444447</v>
      </c>
      <c r="CA369" s="3070">
        <v>4</v>
      </c>
      <c r="CD369" s="3070" t="s">
        <v>3239</v>
      </c>
      <c r="CF369" s="3070" t="s">
        <v>3091</v>
      </c>
      <c r="CH369" s="3070" t="s">
        <v>3240</v>
      </c>
      <c r="CI369" s="3070">
        <v>0</v>
      </c>
      <c r="CJ369" s="3070" t="s">
        <v>3259</v>
      </c>
      <c r="CK369" s="3070" t="s">
        <v>3364</v>
      </c>
      <c r="CL369" s="3070" t="s">
        <v>3364</v>
      </c>
      <c r="CM369" s="3070">
        <v>1255959.6299999999</v>
      </c>
      <c r="CV369" s="3070" t="s">
        <v>3258</v>
      </c>
      <c r="CW369" s="3070" t="s">
        <v>6292</v>
      </c>
      <c r="CZ369" s="3070">
        <v>213894.57</v>
      </c>
      <c r="DA369" s="3070">
        <v>159426.93</v>
      </c>
      <c r="DB369" s="3070">
        <v>0</v>
      </c>
      <c r="DC369" s="3070">
        <v>0</v>
      </c>
      <c r="DD369" s="3070">
        <v>3290547602</v>
      </c>
      <c r="DE369" s="3070">
        <v>2764253109</v>
      </c>
      <c r="DF369" s="3070">
        <v>1464966739</v>
      </c>
      <c r="DG369" s="3070">
        <v>14938370</v>
      </c>
      <c r="DH369" s="3070">
        <v>1284348000</v>
      </c>
      <c r="DI369" s="3070">
        <v>1278128000</v>
      </c>
      <c r="DJ369" s="3070">
        <v>6220000</v>
      </c>
      <c r="DK369" s="3070">
        <v>0</v>
      </c>
      <c r="DL369" s="3070">
        <v>0</v>
      </c>
      <c r="DM369" s="3070">
        <v>25491817.620000001</v>
      </c>
      <c r="DN369" s="3070">
        <v>2764253109</v>
      </c>
      <c r="DP369" s="3070">
        <v>2764253109</v>
      </c>
    </row>
    <row r="370" spans="1:120">
      <c r="A370" s="3070">
        <v>369</v>
      </c>
      <c r="B370" s="3070" t="s">
        <v>3224</v>
      </c>
      <c r="C370" s="3070">
        <v>4</v>
      </c>
      <c r="D370" s="3070">
        <v>1</v>
      </c>
      <c r="E370" s="3070">
        <v>1303</v>
      </c>
      <c r="F370" s="3070" t="s">
        <v>6293</v>
      </c>
      <c r="G370" s="3070" t="s">
        <v>6294</v>
      </c>
      <c r="H370" s="3070">
        <v>1695676</v>
      </c>
      <c r="I370" s="3070">
        <v>1695676</v>
      </c>
      <c r="J370" s="3070">
        <v>132.99</v>
      </c>
      <c r="K370" s="3070">
        <v>100.87</v>
      </c>
      <c r="L370" s="3070">
        <v>0</v>
      </c>
      <c r="M370" s="3070">
        <v>0</v>
      </c>
      <c r="N370" s="3070">
        <v>15694.44</v>
      </c>
      <c r="O370" s="3070">
        <v>2087204</v>
      </c>
      <c r="P370" s="3070">
        <v>12750.4</v>
      </c>
      <c r="Q370" s="3070">
        <v>1695676</v>
      </c>
      <c r="R370" s="3070" t="s">
        <v>3227</v>
      </c>
      <c r="S370" s="3070" t="s">
        <v>6295</v>
      </c>
      <c r="T370" s="3070" t="s">
        <v>3246</v>
      </c>
      <c r="U370" s="3070" t="s">
        <v>3279</v>
      </c>
      <c r="V370" s="3070" t="s">
        <v>3230</v>
      </c>
      <c r="Y370" s="3070">
        <v>705676</v>
      </c>
      <c r="Z370" s="3070">
        <v>705676</v>
      </c>
      <c r="AA370" s="3070">
        <v>705676</v>
      </c>
      <c r="AB370" s="3070">
        <v>0</v>
      </c>
      <c r="AC370" s="3070">
        <v>990000</v>
      </c>
      <c r="AD370" s="3070">
        <v>990000</v>
      </c>
      <c r="AE370" s="3070">
        <v>0</v>
      </c>
      <c r="AI370" s="3070" t="s">
        <v>3227</v>
      </c>
      <c r="AJ370" s="3070">
        <v>0</v>
      </c>
      <c r="AK370" s="3070">
        <v>0</v>
      </c>
      <c r="AL370" s="3070">
        <v>0</v>
      </c>
      <c r="AM370" s="3070">
        <v>12750.4</v>
      </c>
      <c r="AN370" s="3070">
        <v>1695676</v>
      </c>
      <c r="AP370" s="3070">
        <v>1695676</v>
      </c>
      <c r="AQ370" s="3072">
        <v>45230</v>
      </c>
      <c r="AT370" s="3073">
        <v>45770</v>
      </c>
      <c r="AV370" s="3074">
        <v>3.21E+17</v>
      </c>
      <c r="AW370" s="3070" t="s">
        <v>6296</v>
      </c>
      <c r="AX370" s="3070" t="s">
        <v>6297</v>
      </c>
      <c r="AY370" s="3070" t="s">
        <v>3273</v>
      </c>
      <c r="BC370" s="3070" t="s">
        <v>3284</v>
      </c>
      <c r="BD370" s="3070" t="s">
        <v>3075</v>
      </c>
      <c r="BI370" s="3070" t="s">
        <v>3295</v>
      </c>
      <c r="BJ370" s="3070" t="s">
        <v>6298</v>
      </c>
      <c r="BL370" s="3070" t="s">
        <v>6299</v>
      </c>
      <c r="BM370" s="3075">
        <v>44287</v>
      </c>
      <c r="BN370" s="3070">
        <v>-13</v>
      </c>
      <c r="BO370" s="3070" t="s">
        <v>3253</v>
      </c>
      <c r="BR370" s="3070">
        <v>280</v>
      </c>
      <c r="BS370" s="3070" t="s">
        <v>3238</v>
      </c>
      <c r="BZ370" s="3073">
        <v>44142.692361111112</v>
      </c>
      <c r="CA370" s="3070">
        <v>4</v>
      </c>
      <c r="CD370" s="3070" t="s">
        <v>3239</v>
      </c>
      <c r="CF370" s="3070" t="s">
        <v>3091</v>
      </c>
      <c r="CH370" s="3070" t="s">
        <v>3240</v>
      </c>
      <c r="CI370" s="3070">
        <v>0</v>
      </c>
      <c r="CK370" s="3070" t="s">
        <v>3273</v>
      </c>
      <c r="CL370" s="3070" t="s">
        <v>3273</v>
      </c>
      <c r="CM370" s="3070">
        <v>1555666.06</v>
      </c>
      <c r="CV370" s="3070" t="s">
        <v>3246</v>
      </c>
      <c r="CW370" s="3070" t="s">
        <v>6300</v>
      </c>
      <c r="CZ370" s="3070">
        <v>213894.57</v>
      </c>
      <c r="DA370" s="3070">
        <v>159426.93</v>
      </c>
      <c r="DB370" s="3070">
        <v>0</v>
      </c>
      <c r="DC370" s="3070">
        <v>0</v>
      </c>
      <c r="DD370" s="3070">
        <v>3290547602</v>
      </c>
      <c r="DE370" s="3070">
        <v>2764253109</v>
      </c>
      <c r="DF370" s="3070">
        <v>1464966739</v>
      </c>
      <c r="DG370" s="3070">
        <v>14938370</v>
      </c>
      <c r="DH370" s="3070">
        <v>1284348000</v>
      </c>
      <c r="DI370" s="3070">
        <v>1278128000</v>
      </c>
      <c r="DJ370" s="3070">
        <v>6220000</v>
      </c>
      <c r="DK370" s="3070">
        <v>0</v>
      </c>
      <c r="DL370" s="3070">
        <v>0</v>
      </c>
      <c r="DM370" s="3070">
        <v>25491817.620000001</v>
      </c>
      <c r="DN370" s="3070">
        <v>2764253109</v>
      </c>
      <c r="DP370" s="3070">
        <v>2764253109</v>
      </c>
    </row>
    <row r="371" spans="1:120">
      <c r="A371" s="3070">
        <v>370</v>
      </c>
      <c r="B371" s="3070" t="s">
        <v>3224</v>
      </c>
      <c r="C371" s="3070">
        <v>4</v>
      </c>
      <c r="D371" s="3070">
        <v>2</v>
      </c>
      <c r="E371" s="3070">
        <v>1304</v>
      </c>
      <c r="F371" s="3070" t="s">
        <v>6301</v>
      </c>
      <c r="G371" s="3070" t="s">
        <v>6302</v>
      </c>
      <c r="H371" s="3070">
        <v>1652953</v>
      </c>
      <c r="I371" s="3070">
        <v>1652953</v>
      </c>
      <c r="J371" s="3070">
        <v>132.99</v>
      </c>
      <c r="K371" s="3070">
        <v>100.87</v>
      </c>
      <c r="L371" s="3070">
        <v>0</v>
      </c>
      <c r="M371" s="3070">
        <v>0</v>
      </c>
      <c r="N371" s="3070">
        <v>15694.44</v>
      </c>
      <c r="O371" s="3070">
        <v>2087204</v>
      </c>
      <c r="P371" s="3070">
        <v>12429.15</v>
      </c>
      <c r="Q371" s="3070">
        <v>1652953</v>
      </c>
      <c r="R371" s="3070" t="s">
        <v>3227</v>
      </c>
      <c r="S371" s="3070" t="s">
        <v>6303</v>
      </c>
      <c r="T371" s="3070" t="s">
        <v>3494</v>
      </c>
      <c r="V371" s="3070" t="s">
        <v>3230</v>
      </c>
      <c r="Y371" s="3070">
        <v>165295</v>
      </c>
      <c r="Z371" s="3070">
        <v>165295</v>
      </c>
      <c r="AA371" s="3070">
        <v>1652953</v>
      </c>
      <c r="AB371" s="3070">
        <v>0</v>
      </c>
      <c r="AC371" s="3070">
        <v>0</v>
      </c>
      <c r="AD371" s="3070">
        <v>0</v>
      </c>
      <c r="AE371" s="3070">
        <v>0</v>
      </c>
      <c r="AI371" s="3070" t="s">
        <v>3227</v>
      </c>
      <c r="AJ371" s="3070">
        <v>0</v>
      </c>
      <c r="AK371" s="3070">
        <v>0</v>
      </c>
      <c r="AL371" s="3070">
        <v>0</v>
      </c>
      <c r="AM371" s="3070">
        <v>12429.15</v>
      </c>
      <c r="AN371" s="3070">
        <v>1652953</v>
      </c>
      <c r="AP371" s="3070">
        <v>1652953</v>
      </c>
      <c r="AQ371" s="3072">
        <v>45230</v>
      </c>
      <c r="AT371" s="3073">
        <v>45770</v>
      </c>
      <c r="AV371" s="3074">
        <v>3.21E+17</v>
      </c>
      <c r="AW371" s="3070" t="s">
        <v>6304</v>
      </c>
      <c r="AX371" s="3070" t="s">
        <v>6305</v>
      </c>
      <c r="AY371" s="3070" t="s">
        <v>4065</v>
      </c>
      <c r="BA371" s="3070" t="s">
        <v>4065</v>
      </c>
      <c r="BC371" s="3070" t="s">
        <v>6306</v>
      </c>
      <c r="BD371" s="3070" t="s">
        <v>3075</v>
      </c>
      <c r="BI371" s="3070" t="s">
        <v>3235</v>
      </c>
      <c r="BL371" s="3070" t="s">
        <v>6307</v>
      </c>
      <c r="BM371" s="3075">
        <v>44288</v>
      </c>
      <c r="BN371" s="3070">
        <v>-13</v>
      </c>
      <c r="BR371" s="3070">
        <v>21</v>
      </c>
      <c r="BS371" s="3070" t="s">
        <v>3238</v>
      </c>
      <c r="BU371" s="3070" t="s">
        <v>4065</v>
      </c>
      <c r="BZ371" s="3073">
        <v>44206.499305555553</v>
      </c>
      <c r="CA371" s="3070">
        <v>4</v>
      </c>
      <c r="CD371" s="3070" t="s">
        <v>3239</v>
      </c>
      <c r="CF371" s="3070" t="s">
        <v>3091</v>
      </c>
      <c r="CH371" s="3070" t="s">
        <v>3240</v>
      </c>
      <c r="CI371" s="3070">
        <v>0</v>
      </c>
      <c r="CK371" s="3070" t="s">
        <v>4065</v>
      </c>
      <c r="CL371" s="3070" t="s">
        <v>4242</v>
      </c>
      <c r="CM371" s="3070">
        <v>1516470.64</v>
      </c>
      <c r="CV371" s="3070" t="s">
        <v>3494</v>
      </c>
      <c r="CW371" s="3070" t="s">
        <v>6308</v>
      </c>
      <c r="CX371" s="3070" t="s">
        <v>3267</v>
      </c>
      <c r="CZ371" s="3070">
        <v>213894.57</v>
      </c>
      <c r="DA371" s="3070">
        <v>159426.93</v>
      </c>
      <c r="DB371" s="3070">
        <v>0</v>
      </c>
      <c r="DC371" s="3070">
        <v>0</v>
      </c>
      <c r="DD371" s="3070">
        <v>3290547602</v>
      </c>
      <c r="DE371" s="3070">
        <v>2764253109</v>
      </c>
      <c r="DF371" s="3070">
        <v>1464966739</v>
      </c>
      <c r="DG371" s="3070">
        <v>14938370</v>
      </c>
      <c r="DH371" s="3070">
        <v>1284348000</v>
      </c>
      <c r="DI371" s="3070">
        <v>1278128000</v>
      </c>
      <c r="DJ371" s="3070">
        <v>6220000</v>
      </c>
      <c r="DK371" s="3070">
        <v>0</v>
      </c>
      <c r="DL371" s="3070">
        <v>0</v>
      </c>
      <c r="DM371" s="3070">
        <v>25491817.620000001</v>
      </c>
      <c r="DN371" s="3070">
        <v>2764253109</v>
      </c>
      <c r="DP371" s="3070">
        <v>2764253109</v>
      </c>
    </row>
    <row r="372" spans="1:120">
      <c r="A372" s="3070">
        <v>371</v>
      </c>
      <c r="B372" s="3070" t="s">
        <v>3224</v>
      </c>
      <c r="C372" s="3070">
        <v>4</v>
      </c>
      <c r="D372" s="3070">
        <v>2</v>
      </c>
      <c r="E372" s="3070">
        <v>1305</v>
      </c>
      <c r="F372" s="3070" t="s">
        <v>6309</v>
      </c>
      <c r="G372" s="3070" t="s">
        <v>6310</v>
      </c>
      <c r="H372" s="3070">
        <v>1368996</v>
      </c>
      <c r="I372" s="3070">
        <v>1368996</v>
      </c>
      <c r="J372" s="3070">
        <v>105.02</v>
      </c>
      <c r="K372" s="3070">
        <v>79.66</v>
      </c>
      <c r="L372" s="3070">
        <v>0</v>
      </c>
      <c r="M372" s="3070">
        <v>0</v>
      </c>
      <c r="N372" s="3070">
        <v>15994.44</v>
      </c>
      <c r="O372" s="3070">
        <v>1679736</v>
      </c>
      <c r="P372" s="3070">
        <v>13035.57</v>
      </c>
      <c r="Q372" s="3070">
        <v>1368996</v>
      </c>
      <c r="R372" s="3070" t="s">
        <v>3227</v>
      </c>
      <c r="S372" s="3070" t="s">
        <v>6311</v>
      </c>
      <c r="T372" s="3070" t="s">
        <v>3425</v>
      </c>
      <c r="V372" s="3070" t="s">
        <v>3230</v>
      </c>
      <c r="Y372" s="3070">
        <v>1118996</v>
      </c>
      <c r="Z372" s="3070">
        <v>1118996</v>
      </c>
      <c r="AA372" s="3070">
        <v>1118996</v>
      </c>
      <c r="AB372" s="3070">
        <v>0</v>
      </c>
      <c r="AC372" s="3070">
        <v>250000</v>
      </c>
      <c r="AD372" s="3070">
        <v>250000</v>
      </c>
      <c r="AE372" s="3070">
        <v>0</v>
      </c>
      <c r="AI372" s="3070" t="s">
        <v>3227</v>
      </c>
      <c r="AJ372" s="3070">
        <v>0</v>
      </c>
      <c r="AK372" s="3070">
        <v>0</v>
      </c>
      <c r="AL372" s="3070">
        <v>0</v>
      </c>
      <c r="AM372" s="3070">
        <v>13035.57</v>
      </c>
      <c r="AN372" s="3070">
        <v>1368996</v>
      </c>
      <c r="AP372" s="3070">
        <v>1368996</v>
      </c>
      <c r="AQ372" s="3072">
        <v>45230</v>
      </c>
      <c r="AT372" s="3073">
        <v>45770</v>
      </c>
      <c r="AV372" s="3070" t="s">
        <v>6312</v>
      </c>
      <c r="AW372" s="3070" t="s">
        <v>6313</v>
      </c>
      <c r="AX372" s="3070" t="s">
        <v>6314</v>
      </c>
      <c r="AY372" s="3070" t="s">
        <v>5680</v>
      </c>
      <c r="BC372" s="3070" t="s">
        <v>3461</v>
      </c>
      <c r="BD372" s="3070" t="s">
        <v>3077</v>
      </c>
      <c r="BI372" s="3070" t="s">
        <v>3235</v>
      </c>
      <c r="BL372" s="3070" t="s">
        <v>6315</v>
      </c>
      <c r="BM372" s="3075">
        <v>44288</v>
      </c>
      <c r="BN372" s="3070">
        <v>-13</v>
      </c>
      <c r="BP372" s="3070" t="s">
        <v>3253</v>
      </c>
      <c r="BR372" s="3070">
        <v>669</v>
      </c>
      <c r="BS372" s="3070" t="s">
        <v>3238</v>
      </c>
      <c r="BZ372" s="3073">
        <v>44142.645833333336</v>
      </c>
      <c r="CA372" s="3070">
        <v>4</v>
      </c>
      <c r="CD372" s="3070" t="s">
        <v>3239</v>
      </c>
      <c r="CF372" s="3070" t="s">
        <v>3091</v>
      </c>
      <c r="CH372" s="3070" t="s">
        <v>3240</v>
      </c>
      <c r="CI372" s="3070">
        <v>0</v>
      </c>
      <c r="CJ372" s="3070" t="s">
        <v>3259</v>
      </c>
      <c r="CK372" s="3070" t="s">
        <v>5680</v>
      </c>
      <c r="CL372" s="3070" t="s">
        <v>5680</v>
      </c>
      <c r="CM372" s="3070">
        <v>1255959.6299999999</v>
      </c>
      <c r="CV372" s="3070" t="s">
        <v>3425</v>
      </c>
      <c r="CW372" s="3070" t="s">
        <v>6316</v>
      </c>
      <c r="CZ372" s="3070">
        <v>213894.57</v>
      </c>
      <c r="DA372" s="3070">
        <v>159426.93</v>
      </c>
      <c r="DB372" s="3070">
        <v>0</v>
      </c>
      <c r="DC372" s="3070">
        <v>0</v>
      </c>
      <c r="DD372" s="3070">
        <v>3290547602</v>
      </c>
      <c r="DE372" s="3070">
        <v>2764253109</v>
      </c>
      <c r="DF372" s="3070">
        <v>1464966739</v>
      </c>
      <c r="DG372" s="3070">
        <v>14938370</v>
      </c>
      <c r="DH372" s="3070">
        <v>1284348000</v>
      </c>
      <c r="DI372" s="3070">
        <v>1278128000</v>
      </c>
      <c r="DJ372" s="3070">
        <v>6220000</v>
      </c>
      <c r="DK372" s="3070">
        <v>0</v>
      </c>
      <c r="DL372" s="3070">
        <v>0</v>
      </c>
      <c r="DM372" s="3070">
        <v>25491817.620000001</v>
      </c>
      <c r="DN372" s="3070">
        <v>2764253109</v>
      </c>
      <c r="DP372" s="3070">
        <v>2764253109</v>
      </c>
    </row>
    <row r="373" spans="1:120">
      <c r="A373" s="3070">
        <v>372</v>
      </c>
      <c r="B373" s="3070" t="s">
        <v>3224</v>
      </c>
      <c r="C373" s="3070">
        <v>4</v>
      </c>
      <c r="D373" s="3070">
        <v>2</v>
      </c>
      <c r="E373" s="3070">
        <v>1306</v>
      </c>
      <c r="F373" s="3070" t="s">
        <v>6317</v>
      </c>
      <c r="G373" s="3070" t="s">
        <v>6318</v>
      </c>
      <c r="H373" s="3070">
        <v>1716171</v>
      </c>
      <c r="I373" s="3070">
        <v>1716171</v>
      </c>
      <c r="J373" s="3070">
        <v>132.62</v>
      </c>
      <c r="K373" s="3070">
        <v>100.59</v>
      </c>
      <c r="L373" s="3070">
        <v>0</v>
      </c>
      <c r="M373" s="3070">
        <v>0</v>
      </c>
      <c r="N373" s="3070">
        <v>15894.44</v>
      </c>
      <c r="O373" s="3070">
        <v>2107921</v>
      </c>
      <c r="P373" s="3070">
        <v>12940.51</v>
      </c>
      <c r="Q373" s="3070">
        <v>1716171</v>
      </c>
      <c r="R373" s="3070" t="s">
        <v>3227</v>
      </c>
      <c r="S373" s="3070" t="s">
        <v>6319</v>
      </c>
      <c r="T373" s="3070" t="s">
        <v>3246</v>
      </c>
      <c r="U373" s="3070" t="s">
        <v>3247</v>
      </c>
      <c r="V373" s="3070" t="s">
        <v>3230</v>
      </c>
      <c r="Y373" s="3070">
        <v>616171</v>
      </c>
      <c r="Z373" s="3070">
        <v>516171</v>
      </c>
      <c r="AA373" s="3070">
        <v>616171</v>
      </c>
      <c r="AB373" s="3070">
        <v>0</v>
      </c>
      <c r="AC373" s="3070">
        <v>1100000</v>
      </c>
      <c r="AD373" s="3070">
        <v>1100000</v>
      </c>
      <c r="AE373" s="3070">
        <v>0</v>
      </c>
      <c r="AI373" s="3070" t="s">
        <v>3227</v>
      </c>
      <c r="AJ373" s="3070">
        <v>0</v>
      </c>
      <c r="AK373" s="3070">
        <v>0</v>
      </c>
      <c r="AL373" s="3070">
        <v>0</v>
      </c>
      <c r="AM373" s="3070">
        <v>12940.51</v>
      </c>
      <c r="AN373" s="3070">
        <v>1716171</v>
      </c>
      <c r="AP373" s="3070">
        <v>1716171</v>
      </c>
      <c r="AQ373" s="3072">
        <v>45230</v>
      </c>
      <c r="AT373" s="3073">
        <v>45770</v>
      </c>
      <c r="AV373" s="3074">
        <v>3.21E+17</v>
      </c>
      <c r="AW373" s="3070" t="s">
        <v>6320</v>
      </c>
      <c r="AX373" s="3070" t="s">
        <v>6321</v>
      </c>
      <c r="AY373" s="3070" t="s">
        <v>3233</v>
      </c>
      <c r="BC373" s="3070" t="s">
        <v>3284</v>
      </c>
      <c r="BD373" s="3070" t="s">
        <v>3075</v>
      </c>
      <c r="BI373" s="3070" t="s">
        <v>3235</v>
      </c>
      <c r="BJ373" s="3070" t="s">
        <v>3236</v>
      </c>
      <c r="BL373" s="3070" t="s">
        <v>6322</v>
      </c>
      <c r="BM373" s="3075">
        <v>44288</v>
      </c>
      <c r="BN373" s="3070">
        <v>-13</v>
      </c>
      <c r="BO373" s="3070" t="s">
        <v>3253</v>
      </c>
      <c r="BR373" s="3070">
        <v>181</v>
      </c>
      <c r="BS373" s="3070" t="s">
        <v>3238</v>
      </c>
      <c r="BZ373" s="3073">
        <v>44142.640277777777</v>
      </c>
      <c r="CA373" s="3070">
        <v>4</v>
      </c>
      <c r="CD373" s="3070" t="s">
        <v>3239</v>
      </c>
      <c r="CF373" s="3070" t="s">
        <v>3091</v>
      </c>
      <c r="CH373" s="3070" t="s">
        <v>3240</v>
      </c>
      <c r="CI373" s="3070">
        <v>0</v>
      </c>
      <c r="CK373" s="3070" t="s">
        <v>3233</v>
      </c>
      <c r="CL373" s="3070" t="s">
        <v>3233</v>
      </c>
      <c r="CM373" s="3070">
        <v>1574468.8</v>
      </c>
      <c r="CV373" s="3070" t="s">
        <v>3246</v>
      </c>
      <c r="CW373" s="3070" t="s">
        <v>6323</v>
      </c>
      <c r="CX373" s="3070" t="s">
        <v>3267</v>
      </c>
      <c r="CZ373" s="3070">
        <v>213894.57</v>
      </c>
      <c r="DA373" s="3070">
        <v>159426.93</v>
      </c>
      <c r="DB373" s="3070">
        <v>0</v>
      </c>
      <c r="DC373" s="3070">
        <v>0</v>
      </c>
      <c r="DD373" s="3070">
        <v>3290547602</v>
      </c>
      <c r="DE373" s="3070">
        <v>2764253109</v>
      </c>
      <c r="DF373" s="3070">
        <v>1464966739</v>
      </c>
      <c r="DG373" s="3070">
        <v>14938370</v>
      </c>
      <c r="DH373" s="3070">
        <v>1284348000</v>
      </c>
      <c r="DI373" s="3070">
        <v>1278128000</v>
      </c>
      <c r="DJ373" s="3070">
        <v>6220000</v>
      </c>
      <c r="DK373" s="3070">
        <v>0</v>
      </c>
      <c r="DL373" s="3070">
        <v>0</v>
      </c>
      <c r="DM373" s="3070">
        <v>25491817.620000001</v>
      </c>
      <c r="DN373" s="3070">
        <v>2764253109</v>
      </c>
      <c r="DP373" s="3070">
        <v>2764253109</v>
      </c>
    </row>
    <row r="374" spans="1:120">
      <c r="A374" s="3070">
        <v>373</v>
      </c>
      <c r="B374" s="3070" t="s">
        <v>3224</v>
      </c>
      <c r="C374" s="3070">
        <v>4</v>
      </c>
      <c r="D374" s="3070">
        <v>1</v>
      </c>
      <c r="E374" s="3070">
        <v>1401</v>
      </c>
      <c r="F374" s="3070" t="s">
        <v>6324</v>
      </c>
      <c r="G374" s="3070" t="s">
        <v>6325</v>
      </c>
      <c r="H374" s="3070">
        <v>1727685</v>
      </c>
      <c r="I374" s="3070">
        <v>1727685</v>
      </c>
      <c r="J374" s="3070">
        <v>132.62</v>
      </c>
      <c r="K374" s="3070">
        <v>100.59</v>
      </c>
      <c r="L374" s="3070">
        <v>0</v>
      </c>
      <c r="M374" s="3070">
        <v>0</v>
      </c>
      <c r="N374" s="3070">
        <v>15744.44</v>
      </c>
      <c r="O374" s="3070">
        <v>2088028</v>
      </c>
      <c r="P374" s="3070">
        <v>13027.33</v>
      </c>
      <c r="Q374" s="3070">
        <v>1727685</v>
      </c>
      <c r="R374" s="3070" t="s">
        <v>3227</v>
      </c>
      <c r="S374" s="3070" t="s">
        <v>3353</v>
      </c>
      <c r="T374" s="3070" t="s">
        <v>3494</v>
      </c>
      <c r="V374" s="3070" t="s">
        <v>3230</v>
      </c>
      <c r="Y374" s="3070">
        <v>172769</v>
      </c>
      <c r="Z374" s="3070">
        <v>172769</v>
      </c>
      <c r="AA374" s="3070">
        <v>1727685</v>
      </c>
      <c r="AB374" s="3070">
        <v>0</v>
      </c>
      <c r="AC374" s="3070">
        <v>0</v>
      </c>
      <c r="AD374" s="3070">
        <v>0</v>
      </c>
      <c r="AE374" s="3070">
        <v>0</v>
      </c>
      <c r="AI374" s="3070" t="s">
        <v>3227</v>
      </c>
      <c r="AJ374" s="3070">
        <v>0</v>
      </c>
      <c r="AK374" s="3070">
        <v>0</v>
      </c>
      <c r="AL374" s="3070">
        <v>0</v>
      </c>
      <c r="AM374" s="3070">
        <v>13027.33</v>
      </c>
      <c r="AN374" s="3070">
        <v>1727685</v>
      </c>
      <c r="AP374" s="3070">
        <v>1727685</v>
      </c>
      <c r="AQ374" s="3072">
        <v>45230</v>
      </c>
      <c r="AT374" s="3073">
        <v>45770</v>
      </c>
      <c r="AV374" s="3074">
        <v>1.41E+17</v>
      </c>
      <c r="AW374" s="3070" t="s">
        <v>6326</v>
      </c>
      <c r="AX374" s="3070" t="s">
        <v>6327</v>
      </c>
      <c r="AY374" s="3070" t="s">
        <v>3981</v>
      </c>
      <c r="BA374" s="3070" t="s">
        <v>3986</v>
      </c>
      <c r="BC374" s="3070" t="s">
        <v>6328</v>
      </c>
      <c r="BD374" s="3070" t="s">
        <v>3075</v>
      </c>
      <c r="BI374" s="3070" t="s">
        <v>3235</v>
      </c>
      <c r="BL374" s="3070" t="s">
        <v>6329</v>
      </c>
      <c r="BM374" s="3075">
        <v>44287</v>
      </c>
      <c r="BN374" s="3070">
        <v>-14</v>
      </c>
      <c r="BR374" s="3070">
        <v>19</v>
      </c>
      <c r="BS374" s="3070" t="s">
        <v>3238</v>
      </c>
      <c r="BU374" s="3070" t="s">
        <v>3986</v>
      </c>
      <c r="BZ374" s="3073">
        <v>44198.70416666667</v>
      </c>
      <c r="CA374" s="3070">
        <v>4</v>
      </c>
      <c r="CD374" s="3070" t="s">
        <v>3239</v>
      </c>
      <c r="CF374" s="3070" t="s">
        <v>3091</v>
      </c>
      <c r="CH374" s="3070" t="s">
        <v>3240</v>
      </c>
      <c r="CI374" s="3070">
        <v>0</v>
      </c>
      <c r="CK374" s="3070" t="s">
        <v>3985</v>
      </c>
      <c r="CL374" s="3070" t="s">
        <v>3986</v>
      </c>
      <c r="CM374" s="3070">
        <v>1585032.11</v>
      </c>
      <c r="CV374" s="3070" t="s">
        <v>3494</v>
      </c>
      <c r="CW374" s="3070" t="s">
        <v>6330</v>
      </c>
      <c r="CZ374" s="3070">
        <v>213894.57</v>
      </c>
      <c r="DA374" s="3070">
        <v>159426.93</v>
      </c>
      <c r="DB374" s="3070">
        <v>0</v>
      </c>
      <c r="DC374" s="3070">
        <v>0</v>
      </c>
      <c r="DD374" s="3070">
        <v>3290547602</v>
      </c>
      <c r="DE374" s="3070">
        <v>2764253109</v>
      </c>
      <c r="DF374" s="3070">
        <v>1464966739</v>
      </c>
      <c r="DG374" s="3070">
        <v>14938370</v>
      </c>
      <c r="DH374" s="3070">
        <v>1284348000</v>
      </c>
      <c r="DI374" s="3070">
        <v>1278128000</v>
      </c>
      <c r="DJ374" s="3070">
        <v>6220000</v>
      </c>
      <c r="DK374" s="3070">
        <v>0</v>
      </c>
      <c r="DL374" s="3070">
        <v>0</v>
      </c>
      <c r="DM374" s="3070">
        <v>25491817.620000001</v>
      </c>
      <c r="DN374" s="3070">
        <v>2764253109</v>
      </c>
      <c r="DP374" s="3070">
        <v>2764253109</v>
      </c>
    </row>
    <row r="375" spans="1:120">
      <c r="A375" s="3070">
        <v>374</v>
      </c>
      <c r="B375" s="3070" t="s">
        <v>3224</v>
      </c>
      <c r="C375" s="3070">
        <v>4</v>
      </c>
      <c r="D375" s="3070">
        <v>1</v>
      </c>
      <c r="E375" s="3070">
        <v>1402</v>
      </c>
      <c r="F375" s="3070" t="s">
        <v>6331</v>
      </c>
      <c r="G375" s="3070" t="s">
        <v>6332</v>
      </c>
      <c r="H375" s="3070">
        <v>1410984</v>
      </c>
      <c r="I375" s="3070">
        <v>1410984</v>
      </c>
      <c r="J375" s="3070">
        <v>105.02</v>
      </c>
      <c r="K375" s="3070">
        <v>79.66</v>
      </c>
      <c r="L375" s="3070">
        <v>0</v>
      </c>
      <c r="M375" s="3070">
        <v>0</v>
      </c>
      <c r="N375" s="3070">
        <v>15894.44</v>
      </c>
      <c r="O375" s="3070">
        <v>1669234</v>
      </c>
      <c r="P375" s="3070">
        <v>13435.38</v>
      </c>
      <c r="Q375" s="3070">
        <v>1410984</v>
      </c>
      <c r="R375" s="3070" t="s">
        <v>3227</v>
      </c>
      <c r="S375" s="3070" t="s">
        <v>6333</v>
      </c>
      <c r="T375" s="3070" t="s">
        <v>3246</v>
      </c>
      <c r="U375" s="3070" t="s">
        <v>3371</v>
      </c>
      <c r="V375" s="3070" t="s">
        <v>3230</v>
      </c>
      <c r="Y375" s="3070">
        <v>490984</v>
      </c>
      <c r="Z375" s="3070">
        <v>141098</v>
      </c>
      <c r="AA375" s="3070">
        <v>490984</v>
      </c>
      <c r="AB375" s="3070">
        <v>0</v>
      </c>
      <c r="AC375" s="3070">
        <v>920000</v>
      </c>
      <c r="AD375" s="3070">
        <v>920000</v>
      </c>
      <c r="AE375" s="3070">
        <v>0</v>
      </c>
      <c r="AI375" s="3070" t="s">
        <v>3227</v>
      </c>
      <c r="AJ375" s="3070">
        <v>0</v>
      </c>
      <c r="AK375" s="3070">
        <v>0</v>
      </c>
      <c r="AL375" s="3070">
        <v>0</v>
      </c>
      <c r="AM375" s="3070">
        <v>13435.38</v>
      </c>
      <c r="AN375" s="3070">
        <v>1410984</v>
      </c>
      <c r="AP375" s="3070">
        <v>1410984</v>
      </c>
      <c r="AQ375" s="3072">
        <v>45230</v>
      </c>
      <c r="AT375" s="3073">
        <v>45770</v>
      </c>
      <c r="AV375" s="3070" t="s">
        <v>6334</v>
      </c>
      <c r="AW375" s="3070" t="s">
        <v>6335</v>
      </c>
      <c r="AX375" s="3070" t="s">
        <v>6336</v>
      </c>
      <c r="AY375" s="3070" t="s">
        <v>3656</v>
      </c>
      <c r="BA375" s="3070" t="s">
        <v>3656</v>
      </c>
      <c r="BC375" s="3070" t="s">
        <v>5876</v>
      </c>
      <c r="BD375" s="3070" t="s">
        <v>3077</v>
      </c>
      <c r="BI375" s="3070" t="s">
        <v>3235</v>
      </c>
      <c r="BL375" s="3070" t="s">
        <v>6337</v>
      </c>
      <c r="BM375" s="3075">
        <v>44287</v>
      </c>
      <c r="BN375" s="3070">
        <v>-14</v>
      </c>
      <c r="BO375" s="3070" t="s">
        <v>3253</v>
      </c>
      <c r="BR375" s="3070">
        <v>16</v>
      </c>
      <c r="BS375" s="3070" t="s">
        <v>3238</v>
      </c>
      <c r="BT375" s="3070" t="s">
        <v>3481</v>
      </c>
      <c r="BU375" s="3070" t="s">
        <v>3656</v>
      </c>
      <c r="BV375" s="3070" t="s">
        <v>6338</v>
      </c>
      <c r="BZ375" s="3073">
        <v>44176.713888888888</v>
      </c>
      <c r="CA375" s="3070">
        <v>4</v>
      </c>
      <c r="CB375" s="3070" t="s">
        <v>3481</v>
      </c>
      <c r="CD375" s="3070" t="s">
        <v>3239</v>
      </c>
      <c r="CF375" s="3070" t="s">
        <v>3091</v>
      </c>
      <c r="CH375" s="3070" t="s">
        <v>3240</v>
      </c>
      <c r="CI375" s="3070">
        <v>0</v>
      </c>
      <c r="CK375" s="3070" t="s">
        <v>3656</v>
      </c>
      <c r="CL375" s="3070" t="s">
        <v>3656</v>
      </c>
      <c r="CM375" s="3070">
        <v>1294480.73</v>
      </c>
      <c r="CV375" s="3070" t="s">
        <v>3246</v>
      </c>
      <c r="CW375" s="3070" t="s">
        <v>6339</v>
      </c>
      <c r="CX375" s="3070" t="s">
        <v>3510</v>
      </c>
      <c r="CZ375" s="3070">
        <v>213894.57</v>
      </c>
      <c r="DA375" s="3070">
        <v>159426.93</v>
      </c>
      <c r="DB375" s="3070">
        <v>0</v>
      </c>
      <c r="DC375" s="3070">
        <v>0</v>
      </c>
      <c r="DD375" s="3070">
        <v>3290547602</v>
      </c>
      <c r="DE375" s="3070">
        <v>2764253109</v>
      </c>
      <c r="DF375" s="3070">
        <v>1464966739</v>
      </c>
      <c r="DG375" s="3070">
        <v>14938370</v>
      </c>
      <c r="DH375" s="3070">
        <v>1284348000</v>
      </c>
      <c r="DI375" s="3070">
        <v>1278128000</v>
      </c>
      <c r="DJ375" s="3070">
        <v>6220000</v>
      </c>
      <c r="DK375" s="3070">
        <v>0</v>
      </c>
      <c r="DL375" s="3070">
        <v>0</v>
      </c>
      <c r="DM375" s="3070">
        <v>25491817.620000001</v>
      </c>
      <c r="DN375" s="3070">
        <v>2764253109</v>
      </c>
      <c r="DP375" s="3070">
        <v>2764253109</v>
      </c>
    </row>
    <row r="376" spans="1:120">
      <c r="A376" s="3070">
        <v>375</v>
      </c>
      <c r="B376" s="3070" t="s">
        <v>3224</v>
      </c>
      <c r="C376" s="3070">
        <v>4</v>
      </c>
      <c r="D376" s="3070">
        <v>1</v>
      </c>
      <c r="E376" s="3070">
        <v>1403</v>
      </c>
      <c r="F376" s="3070" t="s">
        <v>6340</v>
      </c>
      <c r="G376" s="3070" t="s">
        <v>6341</v>
      </c>
      <c r="H376" s="3070">
        <v>367304</v>
      </c>
      <c r="I376" s="3070">
        <v>1836515</v>
      </c>
      <c r="J376" s="3070">
        <v>132.99</v>
      </c>
      <c r="K376" s="3070">
        <v>100.87</v>
      </c>
      <c r="L376" s="3070">
        <v>0</v>
      </c>
      <c r="M376" s="3070">
        <v>0</v>
      </c>
      <c r="N376" s="3070">
        <v>15594.44</v>
      </c>
      <c r="O376" s="3070">
        <v>2073905</v>
      </c>
      <c r="P376" s="3070">
        <v>13809.42</v>
      </c>
      <c r="Q376" s="3070">
        <v>1836515</v>
      </c>
      <c r="R376" s="3070" t="s">
        <v>3227</v>
      </c>
      <c r="S376" s="3070" t="s">
        <v>3353</v>
      </c>
      <c r="T376" s="3070" t="s">
        <v>4061</v>
      </c>
      <c r="V376" s="3070" t="s">
        <v>3230</v>
      </c>
      <c r="Y376" s="3070">
        <v>183652</v>
      </c>
      <c r="Z376" s="3070">
        <v>183652</v>
      </c>
      <c r="AA376" s="3070">
        <v>367304</v>
      </c>
      <c r="AB376" s="3070">
        <v>1469211</v>
      </c>
      <c r="AC376" s="3070">
        <v>0</v>
      </c>
      <c r="AD376" s="3070">
        <v>0</v>
      </c>
      <c r="AE376" s="3070">
        <v>0</v>
      </c>
      <c r="AI376" s="3070" t="s">
        <v>3227</v>
      </c>
      <c r="AJ376" s="3070">
        <v>0</v>
      </c>
      <c r="AK376" s="3070">
        <v>0</v>
      </c>
      <c r="AL376" s="3070">
        <v>0</v>
      </c>
      <c r="AM376" s="3070">
        <v>13809.42</v>
      </c>
      <c r="AN376" s="3070">
        <v>1836515</v>
      </c>
      <c r="AP376" s="3070">
        <v>1836515</v>
      </c>
      <c r="AQ376" s="3072">
        <v>45230</v>
      </c>
      <c r="AT376" s="3073">
        <v>45770</v>
      </c>
      <c r="AV376" s="3074">
        <v>3.21E+17</v>
      </c>
      <c r="AW376" s="3070" t="s">
        <v>6342</v>
      </c>
      <c r="AX376" s="3070" t="s">
        <v>6343</v>
      </c>
      <c r="AY376" s="3070" t="s">
        <v>4100</v>
      </c>
      <c r="BC376" s="3070" t="s">
        <v>4066</v>
      </c>
      <c r="BD376" s="3070" t="s">
        <v>3075</v>
      </c>
      <c r="BI376" s="3070" t="s">
        <v>3235</v>
      </c>
      <c r="BJ376" s="3070" t="s">
        <v>3236</v>
      </c>
      <c r="BL376" s="3070" t="s">
        <v>6344</v>
      </c>
      <c r="BM376" s="3075">
        <v>44287</v>
      </c>
      <c r="BN376" s="3070">
        <v>-14</v>
      </c>
      <c r="BR376" s="3070">
        <v>0</v>
      </c>
      <c r="BS376" s="3070" t="s">
        <v>3238</v>
      </c>
      <c r="BZ376" s="3073">
        <v>44248.618750000001</v>
      </c>
      <c r="CA376" s="3070">
        <v>4</v>
      </c>
      <c r="CD376" s="3070" t="s">
        <v>3239</v>
      </c>
      <c r="CF376" s="3070" t="s">
        <v>3091</v>
      </c>
      <c r="CH376" s="3070" t="s">
        <v>3240</v>
      </c>
      <c r="CI376" s="3070">
        <v>0</v>
      </c>
      <c r="CK376" s="3070" t="s">
        <v>4100</v>
      </c>
      <c r="CL376" s="3070" t="s">
        <v>4100</v>
      </c>
      <c r="CM376" s="3070">
        <v>1684876.12</v>
      </c>
      <c r="CV376" s="3070" t="s">
        <v>3494</v>
      </c>
      <c r="CW376" s="3070" t="s">
        <v>6345</v>
      </c>
      <c r="CX376" s="3070" t="s">
        <v>3510</v>
      </c>
      <c r="CZ376" s="3070">
        <v>213894.57</v>
      </c>
      <c r="DA376" s="3070">
        <v>159426.93</v>
      </c>
      <c r="DB376" s="3070">
        <v>0</v>
      </c>
      <c r="DC376" s="3070">
        <v>0</v>
      </c>
      <c r="DD376" s="3070">
        <v>3290547602</v>
      </c>
      <c r="DE376" s="3070">
        <v>2764253109</v>
      </c>
      <c r="DF376" s="3070">
        <v>1464966739</v>
      </c>
      <c r="DG376" s="3070">
        <v>14938370</v>
      </c>
      <c r="DH376" s="3070">
        <v>1284348000</v>
      </c>
      <c r="DI376" s="3070">
        <v>1278128000</v>
      </c>
      <c r="DJ376" s="3070">
        <v>6220000</v>
      </c>
      <c r="DK376" s="3070">
        <v>0</v>
      </c>
      <c r="DL376" s="3070">
        <v>0</v>
      </c>
      <c r="DM376" s="3070">
        <v>25491817.620000001</v>
      </c>
      <c r="DN376" s="3070">
        <v>2764253109</v>
      </c>
      <c r="DP376" s="3070">
        <v>2764253109</v>
      </c>
    </row>
    <row r="377" spans="1:120">
      <c r="A377" s="3070">
        <v>376</v>
      </c>
      <c r="B377" s="3070" t="s">
        <v>3224</v>
      </c>
      <c r="C377" s="3070">
        <v>4</v>
      </c>
      <c r="D377" s="3070">
        <v>2</v>
      </c>
      <c r="E377" s="3070">
        <v>1404</v>
      </c>
      <c r="F377" s="3070" t="s">
        <v>6346</v>
      </c>
      <c r="G377" s="3070" t="s">
        <v>6347</v>
      </c>
      <c r="H377" s="3070">
        <v>1623423</v>
      </c>
      <c r="I377" s="3070">
        <v>1623423</v>
      </c>
      <c r="J377" s="3070">
        <v>132.99</v>
      </c>
      <c r="K377" s="3070">
        <v>100.87</v>
      </c>
      <c r="L377" s="3070">
        <v>0</v>
      </c>
      <c r="M377" s="3070">
        <v>0</v>
      </c>
      <c r="N377" s="3070">
        <v>15594.44</v>
      </c>
      <c r="O377" s="3070">
        <v>2073905</v>
      </c>
      <c r="P377" s="3070">
        <v>12207.11</v>
      </c>
      <c r="Q377" s="3070">
        <v>1623423</v>
      </c>
      <c r="R377" s="3070" t="s">
        <v>3227</v>
      </c>
      <c r="S377" s="3070" t="s">
        <v>6348</v>
      </c>
      <c r="T377" s="3070" t="s">
        <v>3494</v>
      </c>
      <c r="V377" s="3070" t="s">
        <v>3230</v>
      </c>
      <c r="Y377" s="3070">
        <v>162342</v>
      </c>
      <c r="Z377" s="3070">
        <v>162342</v>
      </c>
      <c r="AA377" s="3070">
        <v>1623423</v>
      </c>
      <c r="AB377" s="3070">
        <v>0</v>
      </c>
      <c r="AC377" s="3070">
        <v>0</v>
      </c>
      <c r="AD377" s="3070">
        <v>0</v>
      </c>
      <c r="AE377" s="3070">
        <v>0</v>
      </c>
      <c r="AI377" s="3070" t="s">
        <v>3227</v>
      </c>
      <c r="AJ377" s="3070">
        <v>0</v>
      </c>
      <c r="AK377" s="3070">
        <v>0</v>
      </c>
      <c r="AL377" s="3070">
        <v>0</v>
      </c>
      <c r="AM377" s="3070">
        <v>12207.11</v>
      </c>
      <c r="AN377" s="3070">
        <v>1623423</v>
      </c>
      <c r="AP377" s="3070">
        <v>1623423</v>
      </c>
      <c r="AQ377" s="3072">
        <v>45230</v>
      </c>
      <c r="AT377" s="3073">
        <v>45770</v>
      </c>
      <c r="AV377" s="3070" t="s">
        <v>6349</v>
      </c>
      <c r="AW377" s="3070" t="s">
        <v>6350</v>
      </c>
      <c r="AX377" s="3070" t="s">
        <v>6351</v>
      </c>
      <c r="AY377" s="3070" t="s">
        <v>4100</v>
      </c>
      <c r="BC377" s="3070" t="s">
        <v>6352</v>
      </c>
      <c r="BD377" s="3070" t="s">
        <v>3075</v>
      </c>
      <c r="BI377" s="3070" t="s">
        <v>3295</v>
      </c>
      <c r="BL377" s="3070" t="s">
        <v>6353</v>
      </c>
      <c r="BM377" s="3075">
        <v>44288</v>
      </c>
      <c r="BN377" s="3070">
        <v>-14</v>
      </c>
      <c r="BR377" s="3070">
        <v>21</v>
      </c>
      <c r="BS377" s="3070" t="s">
        <v>3238</v>
      </c>
      <c r="BZ377" s="3073">
        <v>44227.64166666667</v>
      </c>
      <c r="CA377" s="3070">
        <v>4</v>
      </c>
      <c r="CD377" s="3070" t="s">
        <v>3239</v>
      </c>
      <c r="CF377" s="3070" t="s">
        <v>3091</v>
      </c>
      <c r="CH377" s="3070" t="s">
        <v>3240</v>
      </c>
      <c r="CI377" s="3070">
        <v>0</v>
      </c>
      <c r="CK377" s="3070" t="s">
        <v>4100</v>
      </c>
      <c r="CL377" s="3070" t="s">
        <v>4100</v>
      </c>
      <c r="CM377" s="3070">
        <v>1489378.9</v>
      </c>
      <c r="CV377" s="3070" t="s">
        <v>3494</v>
      </c>
      <c r="CW377" s="3070" t="s">
        <v>6354</v>
      </c>
      <c r="CZ377" s="3070">
        <v>213894.57</v>
      </c>
      <c r="DA377" s="3070">
        <v>159426.93</v>
      </c>
      <c r="DB377" s="3070">
        <v>0</v>
      </c>
      <c r="DC377" s="3070">
        <v>0</v>
      </c>
      <c r="DD377" s="3070">
        <v>3290547602</v>
      </c>
      <c r="DE377" s="3070">
        <v>2764253109</v>
      </c>
      <c r="DF377" s="3070">
        <v>1464966739</v>
      </c>
      <c r="DG377" s="3070">
        <v>14938370</v>
      </c>
      <c r="DH377" s="3070">
        <v>1284348000</v>
      </c>
      <c r="DI377" s="3070">
        <v>1278128000</v>
      </c>
      <c r="DJ377" s="3070">
        <v>6220000</v>
      </c>
      <c r="DK377" s="3070">
        <v>0</v>
      </c>
      <c r="DL377" s="3070">
        <v>0</v>
      </c>
      <c r="DM377" s="3070">
        <v>25491817.620000001</v>
      </c>
      <c r="DN377" s="3070">
        <v>2764253109</v>
      </c>
      <c r="DP377" s="3070">
        <v>2764253109</v>
      </c>
    </row>
    <row r="378" spans="1:120">
      <c r="A378" s="3070">
        <v>377</v>
      </c>
      <c r="B378" s="3070" t="s">
        <v>3224</v>
      </c>
      <c r="C378" s="3070">
        <v>4</v>
      </c>
      <c r="D378" s="3070">
        <v>2</v>
      </c>
      <c r="E378" s="3070">
        <v>1405</v>
      </c>
      <c r="F378" s="3070" t="s">
        <v>6355</v>
      </c>
      <c r="G378" s="3070" t="s">
        <v>6356</v>
      </c>
      <c r="H378" s="3070">
        <v>1359013</v>
      </c>
      <c r="I378" s="3070">
        <v>1359013</v>
      </c>
      <c r="J378" s="3070">
        <v>105.02</v>
      </c>
      <c r="K378" s="3070">
        <v>79.66</v>
      </c>
      <c r="L378" s="3070">
        <v>0</v>
      </c>
      <c r="M378" s="3070">
        <v>0</v>
      </c>
      <c r="N378" s="3070">
        <v>15894.44</v>
      </c>
      <c r="O378" s="3070">
        <v>1669234</v>
      </c>
      <c r="P378" s="3070">
        <v>12940.52</v>
      </c>
      <c r="Q378" s="3070">
        <v>1359013</v>
      </c>
      <c r="R378" s="3070" t="s">
        <v>3227</v>
      </c>
      <c r="S378" s="3070" t="s">
        <v>6357</v>
      </c>
      <c r="T378" s="3070" t="s">
        <v>3258</v>
      </c>
      <c r="U378" s="3070" t="s">
        <v>3279</v>
      </c>
      <c r="V378" s="3070" t="s">
        <v>3230</v>
      </c>
      <c r="Y378" s="3070">
        <v>409013</v>
      </c>
      <c r="Z378" s="3070">
        <v>409013</v>
      </c>
      <c r="AA378" s="3070">
        <v>409013</v>
      </c>
      <c r="AB378" s="3070">
        <v>0</v>
      </c>
      <c r="AC378" s="3070">
        <v>950000</v>
      </c>
      <c r="AD378" s="3070">
        <v>950000</v>
      </c>
      <c r="AE378" s="3070">
        <v>0</v>
      </c>
      <c r="AI378" s="3070" t="s">
        <v>3227</v>
      </c>
      <c r="AJ378" s="3070">
        <v>0</v>
      </c>
      <c r="AK378" s="3070">
        <v>0</v>
      </c>
      <c r="AL378" s="3070">
        <v>0</v>
      </c>
      <c r="AM378" s="3070">
        <v>12940.52</v>
      </c>
      <c r="AN378" s="3070">
        <v>1359013</v>
      </c>
      <c r="AP378" s="3070">
        <v>1359013</v>
      </c>
      <c r="AQ378" s="3072">
        <v>45230</v>
      </c>
      <c r="AT378" s="3073">
        <v>45770</v>
      </c>
      <c r="AV378" s="3070" t="s">
        <v>6358</v>
      </c>
      <c r="AW378" s="3070" t="s">
        <v>6359</v>
      </c>
      <c r="AX378" s="3070" t="s">
        <v>6360</v>
      </c>
      <c r="AY378" s="3070" t="s">
        <v>3318</v>
      </c>
      <c r="BC378" s="3070" t="s">
        <v>3263</v>
      </c>
      <c r="BD378" s="3070" t="s">
        <v>3077</v>
      </c>
      <c r="BI378" s="3070" t="s">
        <v>3235</v>
      </c>
      <c r="BJ378" s="3070" t="s">
        <v>3236</v>
      </c>
      <c r="BL378" s="3070" t="s">
        <v>6361</v>
      </c>
      <c r="BM378" s="3075">
        <v>44288</v>
      </c>
      <c r="BN378" s="3070">
        <v>-14</v>
      </c>
      <c r="BO378" s="3070" t="s">
        <v>3253</v>
      </c>
      <c r="BP378" s="3070" t="s">
        <v>3253</v>
      </c>
      <c r="BR378" s="3070">
        <v>442</v>
      </c>
      <c r="BS378" s="3070" t="s">
        <v>3238</v>
      </c>
      <c r="BZ378" s="3073">
        <v>44142.880555555559</v>
      </c>
      <c r="CA378" s="3070">
        <v>4</v>
      </c>
      <c r="CD378" s="3070" t="s">
        <v>3239</v>
      </c>
      <c r="CF378" s="3070" t="s">
        <v>3091</v>
      </c>
      <c r="CH378" s="3070" t="s">
        <v>3240</v>
      </c>
      <c r="CI378" s="3070">
        <v>0</v>
      </c>
      <c r="CJ378" s="3070" t="s">
        <v>3279</v>
      </c>
      <c r="CK378" s="3070" t="s">
        <v>3318</v>
      </c>
      <c r="CL378" s="3070" t="s">
        <v>3318</v>
      </c>
      <c r="CM378" s="3070">
        <v>1246800.92</v>
      </c>
      <c r="CV378" s="3070" t="s">
        <v>3258</v>
      </c>
      <c r="CW378" s="3070" t="s">
        <v>6362</v>
      </c>
      <c r="CX378" s="3070" t="s">
        <v>3267</v>
      </c>
      <c r="CZ378" s="3070">
        <v>213894.57</v>
      </c>
      <c r="DA378" s="3070">
        <v>159426.93</v>
      </c>
      <c r="DB378" s="3070">
        <v>0</v>
      </c>
      <c r="DC378" s="3070">
        <v>0</v>
      </c>
      <c r="DD378" s="3070">
        <v>3290547602</v>
      </c>
      <c r="DE378" s="3070">
        <v>2764253109</v>
      </c>
      <c r="DF378" s="3070">
        <v>1464966739</v>
      </c>
      <c r="DG378" s="3070">
        <v>14938370</v>
      </c>
      <c r="DH378" s="3070">
        <v>1284348000</v>
      </c>
      <c r="DI378" s="3070">
        <v>1278128000</v>
      </c>
      <c r="DJ378" s="3070">
        <v>6220000</v>
      </c>
      <c r="DK378" s="3070">
        <v>0</v>
      </c>
      <c r="DL378" s="3070">
        <v>0</v>
      </c>
      <c r="DM378" s="3070">
        <v>25491817.620000001</v>
      </c>
      <c r="DN378" s="3070">
        <v>2764253109</v>
      </c>
      <c r="DP378" s="3070">
        <v>2764253109</v>
      </c>
    </row>
    <row r="379" spans="1:120">
      <c r="A379" s="3070">
        <v>378</v>
      </c>
      <c r="B379" s="3070" t="s">
        <v>3224</v>
      </c>
      <c r="C379" s="3070">
        <v>4</v>
      </c>
      <c r="D379" s="3070">
        <v>2</v>
      </c>
      <c r="E379" s="3070">
        <v>1406</v>
      </c>
      <c r="F379" s="3070" t="s">
        <v>6363</v>
      </c>
      <c r="G379" s="3070" t="s">
        <v>6364</v>
      </c>
      <c r="H379" s="3070">
        <v>1641080</v>
      </c>
      <c r="I379" s="3070">
        <v>1641080</v>
      </c>
      <c r="J379" s="3070">
        <v>132.62</v>
      </c>
      <c r="K379" s="3070">
        <v>100.59</v>
      </c>
      <c r="L379" s="3070">
        <v>0</v>
      </c>
      <c r="M379" s="3070">
        <v>0</v>
      </c>
      <c r="N379" s="3070">
        <v>15794.44</v>
      </c>
      <c r="O379" s="3070">
        <v>2094659</v>
      </c>
      <c r="P379" s="3070">
        <v>12374.3</v>
      </c>
      <c r="Q379" s="3070">
        <v>1641080</v>
      </c>
      <c r="R379" s="3070" t="s">
        <v>3227</v>
      </c>
      <c r="S379" s="3070" t="s">
        <v>6365</v>
      </c>
      <c r="T379" s="3070" t="s">
        <v>3246</v>
      </c>
      <c r="U379" s="3070" t="s">
        <v>3247</v>
      </c>
      <c r="V379" s="3070" t="s">
        <v>3230</v>
      </c>
      <c r="Y379" s="3070">
        <v>941080</v>
      </c>
      <c r="Z379" s="3070">
        <v>941080</v>
      </c>
      <c r="AA379" s="3070">
        <v>941080</v>
      </c>
      <c r="AB379" s="3070">
        <v>0</v>
      </c>
      <c r="AC379" s="3070">
        <v>700000</v>
      </c>
      <c r="AD379" s="3070">
        <v>700000</v>
      </c>
      <c r="AE379" s="3070">
        <v>0</v>
      </c>
      <c r="AI379" s="3070" t="s">
        <v>3227</v>
      </c>
      <c r="AJ379" s="3070">
        <v>0</v>
      </c>
      <c r="AK379" s="3070">
        <v>0</v>
      </c>
      <c r="AL379" s="3070">
        <v>0</v>
      </c>
      <c r="AM379" s="3070">
        <v>12374.3</v>
      </c>
      <c r="AN379" s="3070">
        <v>1641080</v>
      </c>
      <c r="AP379" s="3070">
        <v>1641080</v>
      </c>
      <c r="AQ379" s="3072">
        <v>45230</v>
      </c>
      <c r="AT379" s="3073">
        <v>45770</v>
      </c>
      <c r="AV379" s="3070" t="s">
        <v>6366</v>
      </c>
      <c r="AW379" s="3070" t="s">
        <v>6367</v>
      </c>
      <c r="AX379" s="3070" t="s">
        <v>6368</v>
      </c>
      <c r="AY379" s="3070" t="s">
        <v>3892</v>
      </c>
      <c r="BA379" s="3070" t="s">
        <v>5264</v>
      </c>
      <c r="BC379" s="3070" t="s">
        <v>4570</v>
      </c>
      <c r="BD379" s="3070" t="s">
        <v>3075</v>
      </c>
      <c r="BI379" s="3070" t="s">
        <v>3235</v>
      </c>
      <c r="BJ379" s="3070" t="s">
        <v>3296</v>
      </c>
      <c r="BL379" s="3070" t="s">
        <v>6369</v>
      </c>
      <c r="BM379" s="3075">
        <v>44288</v>
      </c>
      <c r="BN379" s="3070">
        <v>-14</v>
      </c>
      <c r="BO379" s="3070" t="s">
        <v>3253</v>
      </c>
      <c r="BR379" s="3070">
        <v>0</v>
      </c>
      <c r="BS379" s="3070" t="s">
        <v>3238</v>
      </c>
      <c r="BU379" s="3070" t="s">
        <v>5264</v>
      </c>
      <c r="BZ379" s="3073">
        <v>44220.796527777777</v>
      </c>
      <c r="CA379" s="3070">
        <v>4</v>
      </c>
      <c r="CD379" s="3070" t="s">
        <v>3239</v>
      </c>
      <c r="CF379" s="3070" t="s">
        <v>3091</v>
      </c>
      <c r="CH379" s="3070" t="s">
        <v>3240</v>
      </c>
      <c r="CI379" s="3070">
        <v>0</v>
      </c>
      <c r="CK379" s="3070" t="s">
        <v>3892</v>
      </c>
      <c r="CL379" s="3070" t="s">
        <v>4056</v>
      </c>
      <c r="CM379" s="3070">
        <v>1505577.98</v>
      </c>
      <c r="CV379" s="3070" t="s">
        <v>3246</v>
      </c>
      <c r="CW379" s="3070" t="s">
        <v>6370</v>
      </c>
      <c r="CX379" s="3070" t="s">
        <v>3267</v>
      </c>
      <c r="CZ379" s="3070">
        <v>213894.57</v>
      </c>
      <c r="DA379" s="3070">
        <v>159426.93</v>
      </c>
      <c r="DB379" s="3070">
        <v>0</v>
      </c>
      <c r="DC379" s="3070">
        <v>0</v>
      </c>
      <c r="DD379" s="3070">
        <v>3290547602</v>
      </c>
      <c r="DE379" s="3070">
        <v>2764253109</v>
      </c>
      <c r="DF379" s="3070">
        <v>1464966739</v>
      </c>
      <c r="DG379" s="3070">
        <v>14938370</v>
      </c>
      <c r="DH379" s="3070">
        <v>1284348000</v>
      </c>
      <c r="DI379" s="3070">
        <v>1278128000</v>
      </c>
      <c r="DJ379" s="3070">
        <v>6220000</v>
      </c>
      <c r="DK379" s="3070">
        <v>0</v>
      </c>
      <c r="DL379" s="3070">
        <v>0</v>
      </c>
      <c r="DM379" s="3070">
        <v>25491817.620000001</v>
      </c>
      <c r="DN379" s="3070">
        <v>2764253109</v>
      </c>
      <c r="DP379" s="3070">
        <v>2764253109</v>
      </c>
    </row>
    <row r="380" spans="1:120">
      <c r="A380" s="3070">
        <v>379</v>
      </c>
      <c r="B380" s="3070" t="s">
        <v>3224</v>
      </c>
      <c r="C380" s="3070">
        <v>4</v>
      </c>
      <c r="D380" s="3070">
        <v>1</v>
      </c>
      <c r="E380" s="3070">
        <v>1501</v>
      </c>
      <c r="F380" s="3070" t="s">
        <v>6371</v>
      </c>
      <c r="G380" s="3070" t="s">
        <v>6372</v>
      </c>
      <c r="H380" s="3070">
        <v>1825644</v>
      </c>
      <c r="I380" s="3070">
        <v>1825644</v>
      </c>
      <c r="J380" s="3070">
        <v>132.62</v>
      </c>
      <c r="K380" s="3070">
        <v>100.59</v>
      </c>
      <c r="L380" s="3070">
        <v>0</v>
      </c>
      <c r="M380" s="3070">
        <v>0</v>
      </c>
      <c r="N380" s="3070">
        <v>15794.44</v>
      </c>
      <c r="O380" s="3070">
        <v>2094659</v>
      </c>
      <c r="P380" s="3070">
        <v>13765.98</v>
      </c>
      <c r="Q380" s="3070">
        <v>1825644</v>
      </c>
      <c r="R380" s="3070" t="s">
        <v>3227</v>
      </c>
      <c r="S380" s="3070" t="s">
        <v>6373</v>
      </c>
      <c r="T380" s="3070" t="s">
        <v>3494</v>
      </c>
      <c r="V380" s="3070" t="s">
        <v>3230</v>
      </c>
      <c r="Y380" s="3070">
        <v>182564</v>
      </c>
      <c r="Z380" s="3070">
        <v>182564</v>
      </c>
      <c r="AA380" s="3070">
        <v>1825644</v>
      </c>
      <c r="AB380" s="3070">
        <v>0</v>
      </c>
      <c r="AC380" s="3070">
        <v>0</v>
      </c>
      <c r="AD380" s="3070">
        <v>0</v>
      </c>
      <c r="AE380" s="3070">
        <v>0</v>
      </c>
      <c r="AI380" s="3070" t="s">
        <v>3227</v>
      </c>
      <c r="AJ380" s="3070">
        <v>0</v>
      </c>
      <c r="AK380" s="3070">
        <v>0</v>
      </c>
      <c r="AL380" s="3070">
        <v>0</v>
      </c>
      <c r="AM380" s="3070">
        <v>13765.98</v>
      </c>
      <c r="AN380" s="3070">
        <v>1825644</v>
      </c>
      <c r="AP380" s="3070">
        <v>1825644</v>
      </c>
      <c r="AQ380" s="3072">
        <v>45230</v>
      </c>
      <c r="AT380" s="3073">
        <v>45770</v>
      </c>
      <c r="AV380" s="3070" t="s">
        <v>6374</v>
      </c>
      <c r="AW380" s="3070" t="s">
        <v>6375</v>
      </c>
      <c r="AX380" s="3070" t="s">
        <v>6376</v>
      </c>
      <c r="AY380" s="3070" t="s">
        <v>4265</v>
      </c>
      <c r="BA380" s="3070" t="s">
        <v>4665</v>
      </c>
      <c r="BC380" s="3070" t="s">
        <v>6377</v>
      </c>
      <c r="BD380" s="3070" t="s">
        <v>3075</v>
      </c>
      <c r="BI380" s="3070" t="s">
        <v>3235</v>
      </c>
      <c r="BL380" s="3070" t="s">
        <v>6378</v>
      </c>
      <c r="BM380" s="3075">
        <v>44287</v>
      </c>
      <c r="BN380" s="3070">
        <v>-15</v>
      </c>
      <c r="BR380" s="3070">
        <v>19</v>
      </c>
      <c r="BS380" s="3070" t="s">
        <v>3238</v>
      </c>
      <c r="BU380" s="3070" t="s">
        <v>4665</v>
      </c>
      <c r="BZ380" s="3073">
        <v>44220.723611111112</v>
      </c>
      <c r="CA380" s="3070">
        <v>4</v>
      </c>
      <c r="CD380" s="3070" t="s">
        <v>3239</v>
      </c>
      <c r="CF380" s="3070" t="s">
        <v>3091</v>
      </c>
      <c r="CH380" s="3070" t="s">
        <v>3240</v>
      </c>
      <c r="CI380" s="3070">
        <v>0</v>
      </c>
      <c r="CK380" s="3070" t="s">
        <v>4265</v>
      </c>
      <c r="CL380" s="3070" t="s">
        <v>4665</v>
      </c>
      <c r="CM380" s="3070">
        <v>1674902.75</v>
      </c>
      <c r="CV380" s="3070" t="s">
        <v>3494</v>
      </c>
      <c r="CW380" s="3070" t="s">
        <v>6379</v>
      </c>
      <c r="CX380" s="3070" t="s">
        <v>3350</v>
      </c>
      <c r="CZ380" s="3070">
        <v>213894.57</v>
      </c>
      <c r="DA380" s="3070">
        <v>159426.93</v>
      </c>
      <c r="DB380" s="3070">
        <v>0</v>
      </c>
      <c r="DC380" s="3070">
        <v>0</v>
      </c>
      <c r="DD380" s="3070">
        <v>3290547602</v>
      </c>
      <c r="DE380" s="3070">
        <v>2764253109</v>
      </c>
      <c r="DF380" s="3070">
        <v>1464966739</v>
      </c>
      <c r="DG380" s="3070">
        <v>14938370</v>
      </c>
      <c r="DH380" s="3070">
        <v>1284348000</v>
      </c>
      <c r="DI380" s="3070">
        <v>1278128000</v>
      </c>
      <c r="DJ380" s="3070">
        <v>6220000</v>
      </c>
      <c r="DK380" s="3070">
        <v>0</v>
      </c>
      <c r="DL380" s="3070">
        <v>0</v>
      </c>
      <c r="DM380" s="3070">
        <v>25491817.620000001</v>
      </c>
      <c r="DN380" s="3070">
        <v>2764253109</v>
      </c>
      <c r="DP380" s="3070">
        <v>2764253109</v>
      </c>
    </row>
    <row r="381" spans="1:120">
      <c r="A381" s="3070">
        <v>380</v>
      </c>
      <c r="B381" s="3070" t="s">
        <v>3224</v>
      </c>
      <c r="C381" s="3070">
        <v>4</v>
      </c>
      <c r="D381" s="3070">
        <v>1</v>
      </c>
      <c r="E381" s="3070">
        <v>1502</v>
      </c>
      <c r="F381" s="3070" t="s">
        <v>6380</v>
      </c>
      <c r="G381" s="3070" t="s">
        <v>6381</v>
      </c>
      <c r="H381" s="3070">
        <v>1430991</v>
      </c>
      <c r="I381" s="3070">
        <v>1430991</v>
      </c>
      <c r="J381" s="3070">
        <v>105.02</v>
      </c>
      <c r="K381" s="3070">
        <v>79.66</v>
      </c>
      <c r="L381" s="3070">
        <v>0</v>
      </c>
      <c r="M381" s="3070">
        <v>0</v>
      </c>
      <c r="N381" s="3070">
        <v>15944.44</v>
      </c>
      <c r="O381" s="3070">
        <v>1674485</v>
      </c>
      <c r="P381" s="3070">
        <v>13625.89</v>
      </c>
      <c r="Q381" s="3070">
        <v>1430991</v>
      </c>
      <c r="R381" s="3070" t="s">
        <v>3227</v>
      </c>
      <c r="S381" s="3070" t="s">
        <v>6382</v>
      </c>
      <c r="T381" s="3070" t="s">
        <v>3494</v>
      </c>
      <c r="V381" s="3070" t="s">
        <v>3230</v>
      </c>
      <c r="Y381" s="3070">
        <v>143099</v>
      </c>
      <c r="Z381" s="3070">
        <v>143099</v>
      </c>
      <c r="AA381" s="3070">
        <v>1430991</v>
      </c>
      <c r="AB381" s="3070">
        <v>0</v>
      </c>
      <c r="AC381" s="3070">
        <v>0</v>
      </c>
      <c r="AD381" s="3070">
        <v>0</v>
      </c>
      <c r="AE381" s="3070">
        <v>0</v>
      </c>
      <c r="AI381" s="3070" t="s">
        <v>3227</v>
      </c>
      <c r="AJ381" s="3070">
        <v>0</v>
      </c>
      <c r="AK381" s="3070">
        <v>0</v>
      </c>
      <c r="AL381" s="3070">
        <v>0</v>
      </c>
      <c r="AM381" s="3070">
        <v>13625.89</v>
      </c>
      <c r="AN381" s="3070">
        <v>1430991</v>
      </c>
      <c r="AP381" s="3070">
        <v>1430991</v>
      </c>
      <c r="AQ381" s="3072">
        <v>45230</v>
      </c>
      <c r="AT381" s="3073">
        <v>45770</v>
      </c>
      <c r="AV381" s="3070" t="s">
        <v>6383</v>
      </c>
      <c r="AW381" s="3070" t="s">
        <v>6384</v>
      </c>
      <c r="AX381" s="3070" t="s">
        <v>6385</v>
      </c>
      <c r="AY381" s="3070" t="s">
        <v>3587</v>
      </c>
      <c r="BC381" s="3070" t="s">
        <v>4117</v>
      </c>
      <c r="BD381" s="3070" t="s">
        <v>3077</v>
      </c>
      <c r="BI381" s="3070" t="s">
        <v>3235</v>
      </c>
      <c r="BL381" s="3070" t="s">
        <v>6386</v>
      </c>
      <c r="BM381" s="3075">
        <v>44287</v>
      </c>
      <c r="BN381" s="3070">
        <v>-15</v>
      </c>
      <c r="BR381" s="3070">
        <v>18</v>
      </c>
      <c r="BS381" s="3070" t="s">
        <v>3238</v>
      </c>
      <c r="BV381" s="3070" t="s">
        <v>6387</v>
      </c>
      <c r="BZ381" s="3073">
        <v>44183.625</v>
      </c>
      <c r="CA381" s="3070">
        <v>4</v>
      </c>
      <c r="CD381" s="3070" t="s">
        <v>3239</v>
      </c>
      <c r="CF381" s="3070" t="s">
        <v>3091</v>
      </c>
      <c r="CH381" s="3070" t="s">
        <v>3240</v>
      </c>
      <c r="CI381" s="3070">
        <v>0</v>
      </c>
      <c r="CK381" s="3070" t="s">
        <v>3587</v>
      </c>
      <c r="CL381" s="3070" t="s">
        <v>3590</v>
      </c>
      <c r="CM381" s="3070">
        <v>1312835.78</v>
      </c>
      <c r="CV381" s="3070" t="s">
        <v>3494</v>
      </c>
      <c r="CW381" s="3070" t="s">
        <v>6388</v>
      </c>
      <c r="CX381" s="3070" t="s">
        <v>3267</v>
      </c>
      <c r="CZ381" s="3070">
        <v>213894.57</v>
      </c>
      <c r="DA381" s="3070">
        <v>159426.93</v>
      </c>
      <c r="DB381" s="3070">
        <v>0</v>
      </c>
      <c r="DC381" s="3070">
        <v>0</v>
      </c>
      <c r="DD381" s="3070">
        <v>3290547602</v>
      </c>
      <c r="DE381" s="3070">
        <v>2764253109</v>
      </c>
      <c r="DF381" s="3070">
        <v>1464966739</v>
      </c>
      <c r="DG381" s="3070">
        <v>14938370</v>
      </c>
      <c r="DH381" s="3070">
        <v>1284348000</v>
      </c>
      <c r="DI381" s="3070">
        <v>1278128000</v>
      </c>
      <c r="DJ381" s="3070">
        <v>6220000</v>
      </c>
      <c r="DK381" s="3070">
        <v>0</v>
      </c>
      <c r="DL381" s="3070">
        <v>0</v>
      </c>
      <c r="DM381" s="3070">
        <v>25491817.620000001</v>
      </c>
      <c r="DN381" s="3070">
        <v>2764253109</v>
      </c>
      <c r="DP381" s="3070">
        <v>2764253109</v>
      </c>
    </row>
    <row r="382" spans="1:120">
      <c r="A382" s="3070">
        <v>381</v>
      </c>
      <c r="B382" s="3070" t="s">
        <v>3224</v>
      </c>
      <c r="C382" s="3070">
        <v>4</v>
      </c>
      <c r="D382" s="3070">
        <v>1</v>
      </c>
      <c r="E382" s="3070">
        <v>1503</v>
      </c>
      <c r="F382" s="3070" t="s">
        <v>6389</v>
      </c>
      <c r="G382" s="3070" t="s">
        <v>6390</v>
      </c>
      <c r="H382" s="3070">
        <v>1783328</v>
      </c>
      <c r="I382" s="3070">
        <v>1783328</v>
      </c>
      <c r="J382" s="3070">
        <v>132.99</v>
      </c>
      <c r="K382" s="3070">
        <v>100.87</v>
      </c>
      <c r="L382" s="3070">
        <v>0</v>
      </c>
      <c r="M382" s="3070">
        <v>0</v>
      </c>
      <c r="N382" s="3070">
        <v>15644.44</v>
      </c>
      <c r="O382" s="3070">
        <v>2080554</v>
      </c>
      <c r="P382" s="3070">
        <v>13409.49</v>
      </c>
      <c r="Q382" s="3070">
        <v>1783328</v>
      </c>
      <c r="R382" s="3070" t="s">
        <v>3227</v>
      </c>
      <c r="S382" s="3070" t="s">
        <v>6391</v>
      </c>
      <c r="T382" s="3070" t="s">
        <v>3494</v>
      </c>
      <c r="V382" s="3070" t="s">
        <v>3230</v>
      </c>
      <c r="Y382" s="3070">
        <v>178333</v>
      </c>
      <c r="Z382" s="3070">
        <v>178333</v>
      </c>
      <c r="AA382" s="3070">
        <v>1783328</v>
      </c>
      <c r="AB382" s="3070">
        <v>0</v>
      </c>
      <c r="AC382" s="3070">
        <v>0</v>
      </c>
      <c r="AD382" s="3070">
        <v>0</v>
      </c>
      <c r="AE382" s="3070">
        <v>0</v>
      </c>
      <c r="AI382" s="3070" t="s">
        <v>3227</v>
      </c>
      <c r="AJ382" s="3070">
        <v>0</v>
      </c>
      <c r="AK382" s="3070">
        <v>0</v>
      </c>
      <c r="AL382" s="3070">
        <v>0</v>
      </c>
      <c r="AM382" s="3070">
        <v>13409.49</v>
      </c>
      <c r="AN382" s="3070">
        <v>1783328</v>
      </c>
      <c r="AP382" s="3070">
        <v>1783328</v>
      </c>
      <c r="AQ382" s="3072">
        <v>45230</v>
      </c>
      <c r="AT382" s="3073">
        <v>45770</v>
      </c>
      <c r="AV382" s="3074">
        <v>3.21E+17</v>
      </c>
      <c r="AW382" s="3070" t="s">
        <v>6392</v>
      </c>
      <c r="AX382" s="3070" t="s">
        <v>6393</v>
      </c>
      <c r="AY382" s="3070" t="s">
        <v>3607</v>
      </c>
      <c r="BC382" s="3070" t="s">
        <v>4672</v>
      </c>
      <c r="BD382" s="3070" t="s">
        <v>3075</v>
      </c>
      <c r="BI382" s="3070" t="s">
        <v>3235</v>
      </c>
      <c r="BL382" s="3070" t="s">
        <v>6394</v>
      </c>
      <c r="BM382" s="3075">
        <v>44287</v>
      </c>
      <c r="BN382" s="3070">
        <v>-15</v>
      </c>
      <c r="BR382" s="3070">
        <v>23</v>
      </c>
      <c r="BS382" s="3070" t="s">
        <v>3238</v>
      </c>
      <c r="BV382" s="3070" t="s">
        <v>6395</v>
      </c>
      <c r="BZ382" s="3073">
        <v>44196.832638888889</v>
      </c>
      <c r="CA382" s="3070">
        <v>4</v>
      </c>
      <c r="CD382" s="3070" t="s">
        <v>3239</v>
      </c>
      <c r="CF382" s="3070" t="s">
        <v>3091</v>
      </c>
      <c r="CH382" s="3070" t="s">
        <v>3240</v>
      </c>
      <c r="CI382" s="3070">
        <v>0</v>
      </c>
      <c r="CK382" s="3070" t="s">
        <v>3607</v>
      </c>
      <c r="CL382" s="3070" t="s">
        <v>3607</v>
      </c>
      <c r="CM382" s="3070">
        <v>1636080.73</v>
      </c>
      <c r="CV382" s="3070" t="s">
        <v>3494</v>
      </c>
      <c r="CW382" s="3070" t="s">
        <v>6396</v>
      </c>
      <c r="CZ382" s="3070">
        <v>213894.57</v>
      </c>
      <c r="DA382" s="3070">
        <v>159426.93</v>
      </c>
      <c r="DB382" s="3070">
        <v>0</v>
      </c>
      <c r="DC382" s="3070">
        <v>0</v>
      </c>
      <c r="DD382" s="3070">
        <v>3290547602</v>
      </c>
      <c r="DE382" s="3070">
        <v>2764253109</v>
      </c>
      <c r="DF382" s="3070">
        <v>1464966739</v>
      </c>
      <c r="DG382" s="3070">
        <v>14938370</v>
      </c>
      <c r="DH382" s="3070">
        <v>1284348000</v>
      </c>
      <c r="DI382" s="3070">
        <v>1278128000</v>
      </c>
      <c r="DJ382" s="3070">
        <v>6220000</v>
      </c>
      <c r="DK382" s="3070">
        <v>0</v>
      </c>
      <c r="DL382" s="3070">
        <v>0</v>
      </c>
      <c r="DM382" s="3070">
        <v>25491817.620000001</v>
      </c>
      <c r="DN382" s="3070">
        <v>2764253109</v>
      </c>
      <c r="DP382" s="3070">
        <v>2764253109</v>
      </c>
    </row>
    <row r="383" spans="1:120">
      <c r="A383" s="3070">
        <v>382</v>
      </c>
      <c r="B383" s="3070" t="s">
        <v>3224</v>
      </c>
      <c r="C383" s="3070">
        <v>4</v>
      </c>
      <c r="D383" s="3070">
        <v>2</v>
      </c>
      <c r="E383" s="3070">
        <v>1504</v>
      </c>
      <c r="F383" s="3070" t="s">
        <v>6397</v>
      </c>
      <c r="G383" s="3070" t="s">
        <v>6398</v>
      </c>
      <c r="H383" s="3070">
        <v>1665640</v>
      </c>
      <c r="I383" s="3070">
        <v>1665640</v>
      </c>
      <c r="J383" s="3070">
        <v>132.99</v>
      </c>
      <c r="K383" s="3070">
        <v>100.87</v>
      </c>
      <c r="L383" s="3070">
        <v>0</v>
      </c>
      <c r="M383" s="3070">
        <v>0</v>
      </c>
      <c r="N383" s="3070">
        <v>15644.44</v>
      </c>
      <c r="O383" s="3070">
        <v>2080554</v>
      </c>
      <c r="P383" s="3070">
        <v>12524.55</v>
      </c>
      <c r="Q383" s="3070">
        <v>1665640</v>
      </c>
      <c r="R383" s="3070" t="s">
        <v>3227</v>
      </c>
      <c r="S383" s="3070" t="s">
        <v>6399</v>
      </c>
      <c r="T383" s="3070" t="s">
        <v>3494</v>
      </c>
      <c r="V383" s="3070" t="s">
        <v>3230</v>
      </c>
      <c r="Y383" s="3070">
        <v>166564</v>
      </c>
      <c r="Z383" s="3070">
        <v>166564</v>
      </c>
      <c r="AA383" s="3070">
        <v>1665640</v>
      </c>
      <c r="AB383" s="3070">
        <v>0</v>
      </c>
      <c r="AC383" s="3070">
        <v>0</v>
      </c>
      <c r="AD383" s="3070">
        <v>0</v>
      </c>
      <c r="AE383" s="3070">
        <v>0</v>
      </c>
      <c r="AI383" s="3070" t="s">
        <v>3227</v>
      </c>
      <c r="AJ383" s="3070">
        <v>0</v>
      </c>
      <c r="AK383" s="3070">
        <v>0</v>
      </c>
      <c r="AL383" s="3070">
        <v>0</v>
      </c>
      <c r="AM383" s="3070">
        <v>12524.55</v>
      </c>
      <c r="AN383" s="3070">
        <v>1665640</v>
      </c>
      <c r="AP383" s="3070">
        <v>1665640</v>
      </c>
      <c r="AQ383" s="3072">
        <v>45230</v>
      </c>
      <c r="AT383" s="3073">
        <v>45770</v>
      </c>
      <c r="AV383" s="3074">
        <v>3.21E+17</v>
      </c>
      <c r="AW383" s="3070" t="s">
        <v>6400</v>
      </c>
      <c r="AX383" s="3070" t="s">
        <v>6401</v>
      </c>
      <c r="AY383" s="3070" t="s">
        <v>3892</v>
      </c>
      <c r="BA383" s="3070" t="s">
        <v>4527</v>
      </c>
      <c r="BC383" s="3070" t="s">
        <v>6402</v>
      </c>
      <c r="BD383" s="3070" t="s">
        <v>3075</v>
      </c>
      <c r="BI383" s="3070" t="s">
        <v>3235</v>
      </c>
      <c r="BL383" s="3070" t="s">
        <v>6403</v>
      </c>
      <c r="BM383" s="3075">
        <v>44288</v>
      </c>
      <c r="BN383" s="3070">
        <v>-15</v>
      </c>
      <c r="BR383" s="3070">
        <v>21</v>
      </c>
      <c r="BS383" s="3070" t="s">
        <v>3238</v>
      </c>
      <c r="BU383" s="3070" t="s">
        <v>4527</v>
      </c>
      <c r="BZ383" s="3073">
        <v>44207.740972222222</v>
      </c>
      <c r="CA383" s="3070">
        <v>4</v>
      </c>
      <c r="CD383" s="3070" t="s">
        <v>3239</v>
      </c>
      <c r="CF383" s="3070" t="s">
        <v>3091</v>
      </c>
      <c r="CH383" s="3070" t="s">
        <v>3240</v>
      </c>
      <c r="CI383" s="3070">
        <v>0</v>
      </c>
      <c r="CK383" s="3070" t="s">
        <v>4056</v>
      </c>
      <c r="CL383" s="3070" t="s">
        <v>4056</v>
      </c>
      <c r="CM383" s="3070">
        <v>1528110.09</v>
      </c>
      <c r="CV383" s="3070" t="s">
        <v>3494</v>
      </c>
      <c r="CW383" s="3070" t="s">
        <v>6404</v>
      </c>
      <c r="CZ383" s="3070">
        <v>213894.57</v>
      </c>
      <c r="DA383" s="3070">
        <v>159426.93</v>
      </c>
      <c r="DB383" s="3070">
        <v>0</v>
      </c>
      <c r="DC383" s="3070">
        <v>0</v>
      </c>
      <c r="DD383" s="3070">
        <v>3290547602</v>
      </c>
      <c r="DE383" s="3070">
        <v>2764253109</v>
      </c>
      <c r="DF383" s="3070">
        <v>1464966739</v>
      </c>
      <c r="DG383" s="3070">
        <v>14938370</v>
      </c>
      <c r="DH383" s="3070">
        <v>1284348000</v>
      </c>
      <c r="DI383" s="3070">
        <v>1278128000</v>
      </c>
      <c r="DJ383" s="3070">
        <v>6220000</v>
      </c>
      <c r="DK383" s="3070">
        <v>0</v>
      </c>
      <c r="DL383" s="3070">
        <v>0</v>
      </c>
      <c r="DM383" s="3070">
        <v>25491817.620000001</v>
      </c>
      <c r="DN383" s="3070">
        <v>2764253109</v>
      </c>
      <c r="DP383" s="3070">
        <v>2764253109</v>
      </c>
    </row>
    <row r="384" spans="1:120">
      <c r="A384" s="3070">
        <v>383</v>
      </c>
      <c r="B384" s="3070" t="s">
        <v>3224</v>
      </c>
      <c r="C384" s="3070">
        <v>4</v>
      </c>
      <c r="D384" s="3070">
        <v>2</v>
      </c>
      <c r="E384" s="3070">
        <v>1505</v>
      </c>
      <c r="F384" s="3070" t="s">
        <v>6405</v>
      </c>
      <c r="G384" s="3070" t="s">
        <v>6406</v>
      </c>
      <c r="H384" s="3070">
        <v>1364005</v>
      </c>
      <c r="I384" s="3070">
        <v>1364005</v>
      </c>
      <c r="J384" s="3070">
        <v>105.02</v>
      </c>
      <c r="K384" s="3070">
        <v>79.66</v>
      </c>
      <c r="L384" s="3070">
        <v>0</v>
      </c>
      <c r="M384" s="3070">
        <v>0</v>
      </c>
      <c r="N384" s="3070">
        <v>15944.44</v>
      </c>
      <c r="O384" s="3070">
        <v>1674485</v>
      </c>
      <c r="P384" s="3070">
        <v>12988.05</v>
      </c>
      <c r="Q384" s="3070">
        <v>1364005</v>
      </c>
      <c r="R384" s="3070" t="s">
        <v>3227</v>
      </c>
      <c r="S384" s="3070" t="s">
        <v>6407</v>
      </c>
      <c r="T384" s="3070" t="s">
        <v>3246</v>
      </c>
      <c r="U384" s="3070" t="s">
        <v>3247</v>
      </c>
      <c r="V384" s="3070" t="s">
        <v>3230</v>
      </c>
      <c r="Y384" s="3070">
        <v>594005</v>
      </c>
      <c r="Z384" s="3070">
        <v>594005</v>
      </c>
      <c r="AA384" s="3070">
        <v>594005</v>
      </c>
      <c r="AB384" s="3070">
        <v>0</v>
      </c>
      <c r="AC384" s="3070">
        <v>770000</v>
      </c>
      <c r="AD384" s="3070">
        <v>770000</v>
      </c>
      <c r="AE384" s="3070">
        <v>0</v>
      </c>
      <c r="AI384" s="3070" t="s">
        <v>3227</v>
      </c>
      <c r="AJ384" s="3070">
        <v>0</v>
      </c>
      <c r="AK384" s="3070">
        <v>0</v>
      </c>
      <c r="AL384" s="3070">
        <v>0</v>
      </c>
      <c r="AM384" s="3070">
        <v>12988.05</v>
      </c>
      <c r="AN384" s="3070">
        <v>1364005</v>
      </c>
      <c r="AP384" s="3070">
        <v>1364005</v>
      </c>
      <c r="AQ384" s="3072">
        <v>45230</v>
      </c>
      <c r="AT384" s="3073">
        <v>45770</v>
      </c>
      <c r="AV384" s="3074">
        <v>3.21E+17</v>
      </c>
      <c r="AW384" s="3070" t="s">
        <v>6408</v>
      </c>
      <c r="AX384" s="3070" t="s">
        <v>6409</v>
      </c>
      <c r="AY384" s="3070" t="s">
        <v>4084</v>
      </c>
      <c r="BC384" s="3070" t="s">
        <v>3284</v>
      </c>
      <c r="BD384" s="3070" t="s">
        <v>3077</v>
      </c>
      <c r="BI384" s="3070" t="s">
        <v>3295</v>
      </c>
      <c r="BJ384" s="3070" t="s">
        <v>6298</v>
      </c>
      <c r="BL384" s="3070" t="s">
        <v>6410</v>
      </c>
      <c r="BM384" s="3075">
        <v>44288</v>
      </c>
      <c r="BN384" s="3070">
        <v>-15</v>
      </c>
      <c r="BO384" s="3070" t="s">
        <v>3253</v>
      </c>
      <c r="BR384" s="3070">
        <v>871</v>
      </c>
      <c r="BS384" s="3070" t="s">
        <v>3238</v>
      </c>
      <c r="BZ384" s="3073">
        <v>44146.743750000001</v>
      </c>
      <c r="CA384" s="3070">
        <v>4</v>
      </c>
      <c r="CD384" s="3070" t="s">
        <v>3239</v>
      </c>
      <c r="CF384" s="3070" t="s">
        <v>3091</v>
      </c>
      <c r="CH384" s="3070" t="s">
        <v>3240</v>
      </c>
      <c r="CI384" s="3070">
        <v>0</v>
      </c>
      <c r="CK384" s="3070" t="s">
        <v>4084</v>
      </c>
      <c r="CL384" s="3070" t="s">
        <v>4084</v>
      </c>
      <c r="CM384" s="3070">
        <v>1251380.73</v>
      </c>
      <c r="CV384" s="3070" t="s">
        <v>3246</v>
      </c>
      <c r="CW384" s="3070" t="s">
        <v>6411</v>
      </c>
      <c r="CZ384" s="3070">
        <v>213894.57</v>
      </c>
      <c r="DA384" s="3070">
        <v>159426.93</v>
      </c>
      <c r="DB384" s="3070">
        <v>0</v>
      </c>
      <c r="DC384" s="3070">
        <v>0</v>
      </c>
      <c r="DD384" s="3070">
        <v>3290547602</v>
      </c>
      <c r="DE384" s="3070">
        <v>2764253109</v>
      </c>
      <c r="DF384" s="3070">
        <v>1464966739</v>
      </c>
      <c r="DG384" s="3070">
        <v>14938370</v>
      </c>
      <c r="DH384" s="3070">
        <v>1284348000</v>
      </c>
      <c r="DI384" s="3070">
        <v>1278128000</v>
      </c>
      <c r="DJ384" s="3070">
        <v>6220000</v>
      </c>
      <c r="DK384" s="3070">
        <v>0</v>
      </c>
      <c r="DL384" s="3070">
        <v>0</v>
      </c>
      <c r="DM384" s="3070">
        <v>25491817.620000001</v>
      </c>
      <c r="DN384" s="3070">
        <v>2764253109</v>
      </c>
      <c r="DP384" s="3070">
        <v>2764253109</v>
      </c>
    </row>
    <row r="385" spans="1:120">
      <c r="A385" s="3070">
        <v>384</v>
      </c>
      <c r="B385" s="3070" t="s">
        <v>3224</v>
      </c>
      <c r="C385" s="3070">
        <v>4</v>
      </c>
      <c r="D385" s="3070">
        <v>2</v>
      </c>
      <c r="E385" s="3070">
        <v>1506</v>
      </c>
      <c r="F385" s="3070" t="s">
        <v>6412</v>
      </c>
      <c r="G385" s="3070" t="s">
        <v>6413</v>
      </c>
      <c r="H385" s="3070">
        <v>1663819</v>
      </c>
      <c r="I385" s="3070">
        <v>1663819</v>
      </c>
      <c r="J385" s="3070">
        <v>132.62</v>
      </c>
      <c r="K385" s="3070">
        <v>100.59</v>
      </c>
      <c r="L385" s="3070">
        <v>0</v>
      </c>
      <c r="M385" s="3070">
        <v>0</v>
      </c>
      <c r="N385" s="3070">
        <v>15844.44</v>
      </c>
      <c r="O385" s="3070">
        <v>2101290</v>
      </c>
      <c r="P385" s="3070">
        <v>12545.76</v>
      </c>
      <c r="Q385" s="3070">
        <v>1663819</v>
      </c>
      <c r="R385" s="3070" t="s">
        <v>3227</v>
      </c>
      <c r="S385" s="3070" t="s">
        <v>6414</v>
      </c>
      <c r="T385" s="3070" t="s">
        <v>3494</v>
      </c>
      <c r="V385" s="3070" t="s">
        <v>3230</v>
      </c>
      <c r="Y385" s="3070">
        <v>166382</v>
      </c>
      <c r="Z385" s="3070">
        <v>166382</v>
      </c>
      <c r="AA385" s="3070">
        <v>1663819</v>
      </c>
      <c r="AB385" s="3070">
        <v>0</v>
      </c>
      <c r="AC385" s="3070">
        <v>0</v>
      </c>
      <c r="AD385" s="3070">
        <v>0</v>
      </c>
      <c r="AE385" s="3070">
        <v>0</v>
      </c>
      <c r="AI385" s="3070" t="s">
        <v>3227</v>
      </c>
      <c r="AJ385" s="3070">
        <v>0</v>
      </c>
      <c r="AK385" s="3070">
        <v>0</v>
      </c>
      <c r="AL385" s="3070">
        <v>0</v>
      </c>
      <c r="AM385" s="3070">
        <v>12545.76</v>
      </c>
      <c r="AN385" s="3070">
        <v>1663819</v>
      </c>
      <c r="AP385" s="3070">
        <v>1663819</v>
      </c>
      <c r="AQ385" s="3072">
        <v>45230</v>
      </c>
      <c r="AT385" s="3073">
        <v>45770</v>
      </c>
      <c r="AV385" s="3074">
        <v>3.21E+17</v>
      </c>
      <c r="AW385" s="3070" t="s">
        <v>6415</v>
      </c>
      <c r="AX385" s="3070" t="s">
        <v>6416</v>
      </c>
      <c r="AY385" s="3070" t="s">
        <v>4065</v>
      </c>
      <c r="BA385" s="3070" t="s">
        <v>4065</v>
      </c>
      <c r="BC385" s="3070" t="s">
        <v>6417</v>
      </c>
      <c r="BD385" s="3070" t="s">
        <v>3075</v>
      </c>
      <c r="BI385" s="3070" t="s">
        <v>3235</v>
      </c>
      <c r="BL385" s="3070" t="s">
        <v>6418</v>
      </c>
      <c r="BM385" s="3075">
        <v>44288</v>
      </c>
      <c r="BN385" s="3070">
        <v>-15</v>
      </c>
      <c r="BR385" s="3070">
        <v>25</v>
      </c>
      <c r="BS385" s="3070" t="s">
        <v>3238</v>
      </c>
      <c r="BU385" s="3070" t="s">
        <v>4065</v>
      </c>
      <c r="BZ385" s="3073">
        <v>44216.523611111108</v>
      </c>
      <c r="CA385" s="3070">
        <v>4</v>
      </c>
      <c r="CD385" s="3070" t="s">
        <v>3239</v>
      </c>
      <c r="CF385" s="3070" t="s">
        <v>3091</v>
      </c>
      <c r="CH385" s="3070" t="s">
        <v>3240</v>
      </c>
      <c r="CI385" s="3070">
        <v>0</v>
      </c>
      <c r="CK385" s="3070" t="s">
        <v>4065</v>
      </c>
      <c r="CL385" s="3070" t="s">
        <v>4242</v>
      </c>
      <c r="CM385" s="3070">
        <v>1526439.45</v>
      </c>
      <c r="CV385" s="3070" t="s">
        <v>3494</v>
      </c>
      <c r="CW385" s="3070" t="s">
        <v>6419</v>
      </c>
      <c r="CX385" s="3070" t="s">
        <v>3267</v>
      </c>
      <c r="CZ385" s="3070">
        <v>213894.57</v>
      </c>
      <c r="DA385" s="3070">
        <v>159426.93</v>
      </c>
      <c r="DB385" s="3070">
        <v>0</v>
      </c>
      <c r="DC385" s="3070">
        <v>0</v>
      </c>
      <c r="DD385" s="3070">
        <v>3290547602</v>
      </c>
      <c r="DE385" s="3070">
        <v>2764253109</v>
      </c>
      <c r="DF385" s="3070">
        <v>1464966739</v>
      </c>
      <c r="DG385" s="3070">
        <v>14938370</v>
      </c>
      <c r="DH385" s="3070">
        <v>1284348000</v>
      </c>
      <c r="DI385" s="3070">
        <v>1278128000</v>
      </c>
      <c r="DJ385" s="3070">
        <v>6220000</v>
      </c>
      <c r="DK385" s="3070">
        <v>0</v>
      </c>
      <c r="DL385" s="3070">
        <v>0</v>
      </c>
      <c r="DM385" s="3070">
        <v>25491817.620000001</v>
      </c>
      <c r="DN385" s="3070">
        <v>2764253109</v>
      </c>
      <c r="DP385" s="3070">
        <v>2764253109</v>
      </c>
    </row>
    <row r="386" spans="1:120">
      <c r="A386" s="3070">
        <v>385</v>
      </c>
      <c r="B386" s="3070" t="s">
        <v>3224</v>
      </c>
      <c r="C386" s="3070">
        <v>4</v>
      </c>
      <c r="D386" s="3070">
        <v>1</v>
      </c>
      <c r="E386" s="3070">
        <v>1601</v>
      </c>
      <c r="F386" s="3070" t="s">
        <v>6420</v>
      </c>
      <c r="G386" s="3070" t="s">
        <v>6421</v>
      </c>
      <c r="H386" s="3070">
        <v>1703565</v>
      </c>
      <c r="I386" s="3070">
        <v>1703565</v>
      </c>
      <c r="J386" s="3070">
        <v>132.62</v>
      </c>
      <c r="K386" s="3070">
        <v>100.59</v>
      </c>
      <c r="L386" s="3070">
        <v>0</v>
      </c>
      <c r="M386" s="3070">
        <v>0</v>
      </c>
      <c r="N386" s="3070">
        <v>15794.44</v>
      </c>
      <c r="O386" s="3070">
        <v>2094659</v>
      </c>
      <c r="P386" s="3070">
        <v>12845.46</v>
      </c>
      <c r="Q386" s="3070">
        <v>1703565</v>
      </c>
      <c r="R386" s="3070" t="s">
        <v>3227</v>
      </c>
      <c r="S386" s="3070" t="s">
        <v>6422</v>
      </c>
      <c r="T386" s="3070" t="s">
        <v>3246</v>
      </c>
      <c r="U386" s="3070" t="s">
        <v>3247</v>
      </c>
      <c r="V386" s="3070" t="s">
        <v>3230</v>
      </c>
      <c r="Y386" s="3070">
        <v>1303565</v>
      </c>
      <c r="Z386" s="3070">
        <v>1303565</v>
      </c>
      <c r="AA386" s="3070">
        <v>1303565</v>
      </c>
      <c r="AB386" s="3070">
        <v>0</v>
      </c>
      <c r="AC386" s="3070">
        <v>400000</v>
      </c>
      <c r="AD386" s="3070">
        <v>400000</v>
      </c>
      <c r="AE386" s="3070">
        <v>0</v>
      </c>
      <c r="AI386" s="3070" t="s">
        <v>3227</v>
      </c>
      <c r="AJ386" s="3070">
        <v>0</v>
      </c>
      <c r="AK386" s="3070">
        <v>0</v>
      </c>
      <c r="AL386" s="3070">
        <v>0</v>
      </c>
      <c r="AM386" s="3070">
        <v>12845.46</v>
      </c>
      <c r="AN386" s="3070">
        <v>1703565</v>
      </c>
      <c r="AP386" s="3070">
        <v>1703565</v>
      </c>
      <c r="AQ386" s="3072">
        <v>45230</v>
      </c>
      <c r="AT386" s="3073">
        <v>45770</v>
      </c>
      <c r="AV386" s="3070" t="s">
        <v>6423</v>
      </c>
      <c r="AW386" s="3070" t="s">
        <v>6424</v>
      </c>
      <c r="AX386" s="3070" t="s">
        <v>6425</v>
      </c>
      <c r="AY386" s="3070" t="s">
        <v>3294</v>
      </c>
      <c r="BC386" s="3070" t="s">
        <v>3284</v>
      </c>
      <c r="BD386" s="3070" t="s">
        <v>3075</v>
      </c>
      <c r="BI386" s="3070" t="s">
        <v>3235</v>
      </c>
      <c r="BJ386" s="3070" t="s">
        <v>3338</v>
      </c>
      <c r="BL386" s="3070" t="s">
        <v>6426</v>
      </c>
      <c r="BM386" s="3075">
        <v>44287</v>
      </c>
      <c r="BN386" s="3070">
        <v>-16</v>
      </c>
      <c r="BO386" s="3070" t="s">
        <v>3253</v>
      </c>
      <c r="BR386" s="3070">
        <v>541</v>
      </c>
      <c r="BS386" s="3070" t="s">
        <v>3238</v>
      </c>
      <c r="BZ386" s="3073">
        <v>44142.615277777775</v>
      </c>
      <c r="CA386" s="3070">
        <v>4</v>
      </c>
      <c r="CD386" s="3070" t="s">
        <v>3239</v>
      </c>
      <c r="CF386" s="3070" t="s">
        <v>3091</v>
      </c>
      <c r="CH386" s="3070" t="s">
        <v>3240</v>
      </c>
      <c r="CI386" s="3070">
        <v>0</v>
      </c>
      <c r="CK386" s="3070" t="s">
        <v>3294</v>
      </c>
      <c r="CL386" s="3070" t="s">
        <v>3294</v>
      </c>
      <c r="CM386" s="3070">
        <v>1562903.67</v>
      </c>
      <c r="CV386" s="3070" t="s">
        <v>3246</v>
      </c>
      <c r="CW386" s="3070" t="s">
        <v>6427</v>
      </c>
      <c r="CZ386" s="3070">
        <v>213894.57</v>
      </c>
      <c r="DA386" s="3070">
        <v>159426.93</v>
      </c>
      <c r="DB386" s="3070">
        <v>0</v>
      </c>
      <c r="DC386" s="3070">
        <v>0</v>
      </c>
      <c r="DD386" s="3070">
        <v>3290547602</v>
      </c>
      <c r="DE386" s="3070">
        <v>2764253109</v>
      </c>
      <c r="DF386" s="3070">
        <v>1464966739</v>
      </c>
      <c r="DG386" s="3070">
        <v>14938370</v>
      </c>
      <c r="DH386" s="3070">
        <v>1284348000</v>
      </c>
      <c r="DI386" s="3070">
        <v>1278128000</v>
      </c>
      <c r="DJ386" s="3070">
        <v>6220000</v>
      </c>
      <c r="DK386" s="3070">
        <v>0</v>
      </c>
      <c r="DL386" s="3070">
        <v>0</v>
      </c>
      <c r="DM386" s="3070">
        <v>25491817.620000001</v>
      </c>
      <c r="DN386" s="3070">
        <v>2764253109</v>
      </c>
      <c r="DP386" s="3070">
        <v>2764253109</v>
      </c>
    </row>
    <row r="387" spans="1:120">
      <c r="A387" s="3070">
        <v>386</v>
      </c>
      <c r="B387" s="3070" t="s">
        <v>3224</v>
      </c>
      <c r="C387" s="3070">
        <v>4</v>
      </c>
      <c r="D387" s="3070">
        <v>1</v>
      </c>
      <c r="E387" s="3070">
        <v>1602</v>
      </c>
      <c r="F387" s="3070" t="s">
        <v>6428</v>
      </c>
      <c r="G387" s="3070" t="s">
        <v>6429</v>
      </c>
      <c r="H387" s="3070">
        <v>1364005</v>
      </c>
      <c r="I387" s="3070">
        <v>1364005</v>
      </c>
      <c r="J387" s="3070">
        <v>105.02</v>
      </c>
      <c r="K387" s="3070">
        <v>79.66</v>
      </c>
      <c r="L387" s="3070">
        <v>0</v>
      </c>
      <c r="M387" s="3070">
        <v>0</v>
      </c>
      <c r="N387" s="3070">
        <v>15944.44</v>
      </c>
      <c r="O387" s="3070">
        <v>1674485</v>
      </c>
      <c r="P387" s="3070">
        <v>12988.05</v>
      </c>
      <c r="Q387" s="3070">
        <v>1364005</v>
      </c>
      <c r="R387" s="3070" t="s">
        <v>3227</v>
      </c>
      <c r="S387" s="3070" t="s">
        <v>6430</v>
      </c>
      <c r="T387" s="3070" t="s">
        <v>3246</v>
      </c>
      <c r="U387" s="3070" t="s">
        <v>3371</v>
      </c>
      <c r="V387" s="3070" t="s">
        <v>3230</v>
      </c>
      <c r="Y387" s="3070">
        <v>554005</v>
      </c>
      <c r="Z387" s="3070">
        <v>554005</v>
      </c>
      <c r="AA387" s="3070">
        <v>554005</v>
      </c>
      <c r="AB387" s="3070">
        <v>0</v>
      </c>
      <c r="AC387" s="3070">
        <v>810000</v>
      </c>
      <c r="AD387" s="3070">
        <v>810000</v>
      </c>
      <c r="AE387" s="3070">
        <v>0</v>
      </c>
      <c r="AI387" s="3070" t="s">
        <v>3227</v>
      </c>
      <c r="AJ387" s="3070">
        <v>0</v>
      </c>
      <c r="AK387" s="3070">
        <v>0</v>
      </c>
      <c r="AL387" s="3070">
        <v>0</v>
      </c>
      <c r="AM387" s="3070">
        <v>12988.05</v>
      </c>
      <c r="AN387" s="3070">
        <v>1364005</v>
      </c>
      <c r="AP387" s="3070">
        <v>1364005</v>
      </c>
      <c r="AQ387" s="3072">
        <v>45230</v>
      </c>
      <c r="AT387" s="3073">
        <v>45770</v>
      </c>
      <c r="AV387" s="3070" t="s">
        <v>6431</v>
      </c>
      <c r="AW387" s="3070" t="s">
        <v>6432</v>
      </c>
      <c r="AX387" s="3070" t="s">
        <v>6433</v>
      </c>
      <c r="AY387" s="3070" t="s">
        <v>3429</v>
      </c>
      <c r="BC387" s="3070" t="s">
        <v>3284</v>
      </c>
      <c r="BD387" s="3070" t="s">
        <v>3077</v>
      </c>
      <c r="BI387" s="3070" t="s">
        <v>3295</v>
      </c>
      <c r="BJ387" s="3070" t="s">
        <v>3296</v>
      </c>
      <c r="BL387" s="3070" t="s">
        <v>6434</v>
      </c>
      <c r="BM387" s="3075">
        <v>44287</v>
      </c>
      <c r="BN387" s="3070">
        <v>-16</v>
      </c>
      <c r="BO387" s="3070" t="s">
        <v>3253</v>
      </c>
      <c r="BR387" s="3070">
        <v>58</v>
      </c>
      <c r="BS387" s="3070" t="s">
        <v>3238</v>
      </c>
      <c r="BZ387" s="3073">
        <v>44142.691666666666</v>
      </c>
      <c r="CA387" s="3070">
        <v>4</v>
      </c>
      <c r="CD387" s="3070" t="s">
        <v>3239</v>
      </c>
      <c r="CF387" s="3070" t="s">
        <v>3091</v>
      </c>
      <c r="CH387" s="3070" t="s">
        <v>3240</v>
      </c>
      <c r="CI387" s="3070">
        <v>0</v>
      </c>
      <c r="CK387" s="3070" t="s">
        <v>3429</v>
      </c>
      <c r="CL387" s="3070" t="s">
        <v>3429</v>
      </c>
      <c r="CM387" s="3070">
        <v>1251380.73</v>
      </c>
      <c r="CV387" s="3070" t="s">
        <v>3246</v>
      </c>
      <c r="CW387" s="3070" t="s">
        <v>6435</v>
      </c>
      <c r="CZ387" s="3070">
        <v>213894.57</v>
      </c>
      <c r="DA387" s="3070">
        <v>159426.93</v>
      </c>
      <c r="DB387" s="3070">
        <v>0</v>
      </c>
      <c r="DC387" s="3070">
        <v>0</v>
      </c>
      <c r="DD387" s="3070">
        <v>3290547602</v>
      </c>
      <c r="DE387" s="3070">
        <v>2764253109</v>
      </c>
      <c r="DF387" s="3070">
        <v>1464966739</v>
      </c>
      <c r="DG387" s="3070">
        <v>14938370</v>
      </c>
      <c r="DH387" s="3070">
        <v>1284348000</v>
      </c>
      <c r="DI387" s="3070">
        <v>1278128000</v>
      </c>
      <c r="DJ387" s="3070">
        <v>6220000</v>
      </c>
      <c r="DK387" s="3070">
        <v>0</v>
      </c>
      <c r="DL387" s="3070">
        <v>0</v>
      </c>
      <c r="DM387" s="3070">
        <v>25491817.620000001</v>
      </c>
      <c r="DN387" s="3070">
        <v>2764253109</v>
      </c>
      <c r="DP387" s="3070">
        <v>2764253109</v>
      </c>
    </row>
    <row r="388" spans="1:120">
      <c r="A388" s="3070">
        <v>387</v>
      </c>
      <c r="B388" s="3070" t="s">
        <v>3224</v>
      </c>
      <c r="C388" s="3070">
        <v>4</v>
      </c>
      <c r="D388" s="3070">
        <v>1</v>
      </c>
      <c r="E388" s="3070">
        <v>1603</v>
      </c>
      <c r="F388" s="3070" t="s">
        <v>6436</v>
      </c>
      <c r="G388" s="3070" t="s">
        <v>6437</v>
      </c>
      <c r="H388" s="3070">
        <v>1689354</v>
      </c>
      <c r="I388" s="3070">
        <v>1689354</v>
      </c>
      <c r="J388" s="3070">
        <v>132.99</v>
      </c>
      <c r="K388" s="3070">
        <v>100.87</v>
      </c>
      <c r="L388" s="3070">
        <v>0</v>
      </c>
      <c r="M388" s="3070">
        <v>0</v>
      </c>
      <c r="N388" s="3070">
        <v>15644.44</v>
      </c>
      <c r="O388" s="3070">
        <v>2080554</v>
      </c>
      <c r="P388" s="3070">
        <v>12702.86</v>
      </c>
      <c r="Q388" s="3070">
        <v>1689354</v>
      </c>
      <c r="R388" s="3070" t="s">
        <v>3227</v>
      </c>
      <c r="S388" s="3070" t="s">
        <v>6438</v>
      </c>
      <c r="T388" s="3070" t="s">
        <v>3246</v>
      </c>
      <c r="U388" s="3070" t="s">
        <v>3371</v>
      </c>
      <c r="V388" s="3070" t="s">
        <v>3230</v>
      </c>
      <c r="Y388" s="3070">
        <v>539354</v>
      </c>
      <c r="Z388" s="3070">
        <v>539354</v>
      </c>
      <c r="AA388" s="3070">
        <v>539354</v>
      </c>
      <c r="AB388" s="3070">
        <v>0</v>
      </c>
      <c r="AC388" s="3070">
        <v>1150000</v>
      </c>
      <c r="AD388" s="3070">
        <v>1150000</v>
      </c>
      <c r="AE388" s="3070">
        <v>0</v>
      </c>
      <c r="AI388" s="3070" t="s">
        <v>3227</v>
      </c>
      <c r="AJ388" s="3070">
        <v>0</v>
      </c>
      <c r="AK388" s="3070">
        <v>0</v>
      </c>
      <c r="AL388" s="3070">
        <v>0</v>
      </c>
      <c r="AM388" s="3070">
        <v>12702.86</v>
      </c>
      <c r="AN388" s="3070">
        <v>1689354</v>
      </c>
      <c r="AP388" s="3070">
        <v>1689354</v>
      </c>
      <c r="AQ388" s="3072">
        <v>45230</v>
      </c>
      <c r="AT388" s="3073">
        <v>45770</v>
      </c>
      <c r="AV388" s="3074">
        <v>3.21E+17</v>
      </c>
      <c r="AW388" s="3070" t="s">
        <v>6439</v>
      </c>
      <c r="AX388" s="3070" t="s">
        <v>6440</v>
      </c>
      <c r="AY388" s="3070" t="s">
        <v>3656</v>
      </c>
      <c r="BC388" s="3070" t="s">
        <v>3284</v>
      </c>
      <c r="BD388" s="3070" t="s">
        <v>3075</v>
      </c>
      <c r="BI388" s="3070" t="s">
        <v>3235</v>
      </c>
      <c r="BL388" s="3070" t="s">
        <v>6441</v>
      </c>
      <c r="BM388" s="3075">
        <v>44287</v>
      </c>
      <c r="BN388" s="3070">
        <v>-16</v>
      </c>
      <c r="BO388" s="3070" t="s">
        <v>3253</v>
      </c>
      <c r="BR388" s="3070">
        <v>727</v>
      </c>
      <c r="BS388" s="3070" t="s">
        <v>3238</v>
      </c>
      <c r="BZ388" s="3073">
        <v>44142.624305555553</v>
      </c>
      <c r="CA388" s="3070">
        <v>4</v>
      </c>
      <c r="CD388" s="3070" t="s">
        <v>3239</v>
      </c>
      <c r="CF388" s="3070" t="s">
        <v>3091</v>
      </c>
      <c r="CH388" s="3070" t="s">
        <v>3240</v>
      </c>
      <c r="CI388" s="3070">
        <v>0</v>
      </c>
      <c r="CK388" s="3070" t="s">
        <v>3656</v>
      </c>
      <c r="CL388" s="3070" t="s">
        <v>3656</v>
      </c>
      <c r="CM388" s="3070">
        <v>1549866.06</v>
      </c>
      <c r="CV388" s="3070" t="s">
        <v>3246</v>
      </c>
      <c r="CW388" s="3070" t="s">
        <v>6442</v>
      </c>
      <c r="CZ388" s="3070">
        <v>213894.57</v>
      </c>
      <c r="DA388" s="3070">
        <v>159426.93</v>
      </c>
      <c r="DB388" s="3070">
        <v>0</v>
      </c>
      <c r="DC388" s="3070">
        <v>0</v>
      </c>
      <c r="DD388" s="3070">
        <v>3290547602</v>
      </c>
      <c r="DE388" s="3070">
        <v>2764253109</v>
      </c>
      <c r="DF388" s="3070">
        <v>1464966739</v>
      </c>
      <c r="DG388" s="3070">
        <v>14938370</v>
      </c>
      <c r="DH388" s="3070">
        <v>1284348000</v>
      </c>
      <c r="DI388" s="3070">
        <v>1278128000</v>
      </c>
      <c r="DJ388" s="3070">
        <v>6220000</v>
      </c>
      <c r="DK388" s="3070">
        <v>0</v>
      </c>
      <c r="DL388" s="3070">
        <v>0</v>
      </c>
      <c r="DM388" s="3070">
        <v>25491817.620000001</v>
      </c>
      <c r="DN388" s="3070">
        <v>2764253109</v>
      </c>
      <c r="DP388" s="3070">
        <v>2764253109</v>
      </c>
    </row>
    <row r="389" spans="1:120">
      <c r="A389" s="3070">
        <v>388</v>
      </c>
      <c r="B389" s="3070" t="s">
        <v>3224</v>
      </c>
      <c r="C389" s="3070">
        <v>4</v>
      </c>
      <c r="D389" s="3070">
        <v>2</v>
      </c>
      <c r="E389" s="3070">
        <v>1604</v>
      </c>
      <c r="F389" s="3070" t="s">
        <v>6443</v>
      </c>
      <c r="G389" s="3070" t="s">
        <v>6444</v>
      </c>
      <c r="H389" s="3070">
        <v>1783328</v>
      </c>
      <c r="I389" s="3070">
        <v>1783328</v>
      </c>
      <c r="J389" s="3070">
        <v>132.99</v>
      </c>
      <c r="K389" s="3070">
        <v>100.87</v>
      </c>
      <c r="L389" s="3070">
        <v>0</v>
      </c>
      <c r="M389" s="3070">
        <v>0</v>
      </c>
      <c r="N389" s="3070">
        <v>15644.44</v>
      </c>
      <c r="O389" s="3070">
        <v>2080554</v>
      </c>
      <c r="P389" s="3070">
        <v>13409.49</v>
      </c>
      <c r="Q389" s="3070">
        <v>1783328</v>
      </c>
      <c r="R389" s="3070" t="s">
        <v>3227</v>
      </c>
      <c r="S389" s="3070" t="s">
        <v>6445</v>
      </c>
      <c r="T389" s="3070" t="s">
        <v>3494</v>
      </c>
      <c r="V389" s="3070" t="s">
        <v>3230</v>
      </c>
      <c r="Y389" s="3070">
        <v>178333</v>
      </c>
      <c r="Z389" s="3070">
        <v>178333</v>
      </c>
      <c r="AA389" s="3070">
        <v>1783328</v>
      </c>
      <c r="AB389" s="3070">
        <v>0</v>
      </c>
      <c r="AC389" s="3070">
        <v>0</v>
      </c>
      <c r="AD389" s="3070">
        <v>0</v>
      </c>
      <c r="AE389" s="3070">
        <v>0</v>
      </c>
      <c r="AI389" s="3070" t="s">
        <v>3227</v>
      </c>
      <c r="AJ389" s="3070">
        <v>0</v>
      </c>
      <c r="AK389" s="3070">
        <v>0</v>
      </c>
      <c r="AL389" s="3070">
        <v>0</v>
      </c>
      <c r="AM389" s="3070">
        <v>13409.49</v>
      </c>
      <c r="AN389" s="3070">
        <v>1783328</v>
      </c>
      <c r="AP389" s="3070">
        <v>1783328</v>
      </c>
      <c r="AQ389" s="3072">
        <v>45230</v>
      </c>
      <c r="AT389" s="3073">
        <v>45770</v>
      </c>
      <c r="AV389" s="3070" t="s">
        <v>6446</v>
      </c>
      <c r="AW389" s="3070" t="s">
        <v>6447</v>
      </c>
      <c r="AX389" s="3070" t="s">
        <v>6448</v>
      </c>
      <c r="AY389" s="3070" t="s">
        <v>3607</v>
      </c>
      <c r="BC389" s="3070" t="s">
        <v>4117</v>
      </c>
      <c r="BD389" s="3070" t="s">
        <v>3075</v>
      </c>
      <c r="BI389" s="3070" t="s">
        <v>3235</v>
      </c>
      <c r="BL389" s="3070" t="s">
        <v>6449</v>
      </c>
      <c r="BM389" s="3075">
        <v>44288</v>
      </c>
      <c r="BN389" s="3070">
        <v>-16</v>
      </c>
      <c r="BR389" s="3070">
        <v>20</v>
      </c>
      <c r="BS389" s="3070" t="s">
        <v>3238</v>
      </c>
      <c r="BV389" s="3070" t="s">
        <v>6450</v>
      </c>
      <c r="BZ389" s="3073">
        <v>44196.534722222219</v>
      </c>
      <c r="CA389" s="3070">
        <v>4</v>
      </c>
      <c r="CD389" s="3070" t="s">
        <v>3239</v>
      </c>
      <c r="CF389" s="3070" t="s">
        <v>3091</v>
      </c>
      <c r="CH389" s="3070" t="s">
        <v>3240</v>
      </c>
      <c r="CI389" s="3070">
        <v>0</v>
      </c>
      <c r="CK389" s="3070" t="s">
        <v>3607</v>
      </c>
      <c r="CL389" s="3070" t="s">
        <v>3607</v>
      </c>
      <c r="CM389" s="3070">
        <v>1636080.73</v>
      </c>
      <c r="CV389" s="3070" t="s">
        <v>3494</v>
      </c>
      <c r="CW389" s="3070" t="s">
        <v>6451</v>
      </c>
      <c r="CZ389" s="3070">
        <v>213894.57</v>
      </c>
      <c r="DA389" s="3070">
        <v>159426.93</v>
      </c>
      <c r="DB389" s="3070">
        <v>0</v>
      </c>
      <c r="DC389" s="3070">
        <v>0</v>
      </c>
      <c r="DD389" s="3070">
        <v>3290547602</v>
      </c>
      <c r="DE389" s="3070">
        <v>2764253109</v>
      </c>
      <c r="DF389" s="3070">
        <v>1464966739</v>
      </c>
      <c r="DG389" s="3070">
        <v>14938370</v>
      </c>
      <c r="DH389" s="3070">
        <v>1284348000</v>
      </c>
      <c r="DI389" s="3070">
        <v>1278128000</v>
      </c>
      <c r="DJ389" s="3070">
        <v>6220000</v>
      </c>
      <c r="DK389" s="3070">
        <v>0</v>
      </c>
      <c r="DL389" s="3070">
        <v>0</v>
      </c>
      <c r="DM389" s="3070">
        <v>25491817.620000001</v>
      </c>
      <c r="DN389" s="3070">
        <v>2764253109</v>
      </c>
      <c r="DP389" s="3070">
        <v>2764253109</v>
      </c>
    </row>
    <row r="390" spans="1:120">
      <c r="A390" s="3070">
        <v>389</v>
      </c>
      <c r="B390" s="3070" t="s">
        <v>3224</v>
      </c>
      <c r="C390" s="3070">
        <v>4</v>
      </c>
      <c r="D390" s="3070">
        <v>2</v>
      </c>
      <c r="E390" s="3070">
        <v>1605</v>
      </c>
      <c r="F390" s="3070" t="s">
        <v>6452</v>
      </c>
      <c r="G390" s="3070" t="s">
        <v>6453</v>
      </c>
      <c r="H390" s="3070">
        <v>1364005</v>
      </c>
      <c r="I390" s="3070">
        <v>1364005</v>
      </c>
      <c r="J390" s="3070">
        <v>105.02</v>
      </c>
      <c r="K390" s="3070">
        <v>79.66</v>
      </c>
      <c r="L390" s="3070">
        <v>0</v>
      </c>
      <c r="M390" s="3070">
        <v>0</v>
      </c>
      <c r="N390" s="3070">
        <v>15944.44</v>
      </c>
      <c r="O390" s="3070">
        <v>1674485</v>
      </c>
      <c r="P390" s="3070">
        <v>12988.05</v>
      </c>
      <c r="Q390" s="3070">
        <v>1364005</v>
      </c>
      <c r="R390" s="3070" t="s">
        <v>3227</v>
      </c>
      <c r="S390" s="3070" t="s">
        <v>6454</v>
      </c>
      <c r="T390" s="3070" t="s">
        <v>3258</v>
      </c>
      <c r="U390" s="3070" t="s">
        <v>3259</v>
      </c>
      <c r="V390" s="3070" t="s">
        <v>3230</v>
      </c>
      <c r="Y390" s="3070">
        <v>514005</v>
      </c>
      <c r="Z390" s="3070">
        <v>514005</v>
      </c>
      <c r="AA390" s="3070">
        <v>514005</v>
      </c>
      <c r="AB390" s="3070">
        <v>0</v>
      </c>
      <c r="AC390" s="3070">
        <v>850000</v>
      </c>
      <c r="AD390" s="3070">
        <v>850000</v>
      </c>
      <c r="AE390" s="3070">
        <v>0</v>
      </c>
      <c r="AI390" s="3070" t="s">
        <v>3227</v>
      </c>
      <c r="AJ390" s="3070">
        <v>0</v>
      </c>
      <c r="AK390" s="3070">
        <v>0</v>
      </c>
      <c r="AL390" s="3070">
        <v>0</v>
      </c>
      <c r="AM390" s="3070">
        <v>12988.05</v>
      </c>
      <c r="AN390" s="3070">
        <v>1364005</v>
      </c>
      <c r="AP390" s="3070">
        <v>1364005</v>
      </c>
      <c r="AQ390" s="3072">
        <v>45230</v>
      </c>
      <c r="AT390" s="3073">
        <v>45770</v>
      </c>
      <c r="AV390" s="3074">
        <v>3.21E+17</v>
      </c>
      <c r="AW390" s="3070" t="s">
        <v>6455</v>
      </c>
      <c r="AX390" s="3070" t="s">
        <v>6456</v>
      </c>
      <c r="AY390" s="3070" t="s">
        <v>3306</v>
      </c>
      <c r="BC390" s="3070" t="s">
        <v>3263</v>
      </c>
      <c r="BD390" s="3070" t="s">
        <v>3077</v>
      </c>
      <c r="BI390" s="3070" t="s">
        <v>3235</v>
      </c>
      <c r="BL390" s="3070" t="s">
        <v>6457</v>
      </c>
      <c r="BM390" s="3075">
        <v>44288</v>
      </c>
      <c r="BN390" s="3070">
        <v>-16</v>
      </c>
      <c r="BO390" s="3070" t="s">
        <v>3253</v>
      </c>
      <c r="BP390" s="3070" t="s">
        <v>3253</v>
      </c>
      <c r="BR390" s="3070">
        <v>338</v>
      </c>
      <c r="BS390" s="3070" t="s">
        <v>3238</v>
      </c>
      <c r="BZ390" s="3073">
        <v>44148.392361111109</v>
      </c>
      <c r="CA390" s="3070">
        <v>4</v>
      </c>
      <c r="CD390" s="3070" t="s">
        <v>3239</v>
      </c>
      <c r="CF390" s="3070" t="s">
        <v>3091</v>
      </c>
      <c r="CH390" s="3070" t="s">
        <v>3240</v>
      </c>
      <c r="CI390" s="3070">
        <v>0</v>
      </c>
      <c r="CJ390" s="3070" t="s">
        <v>3259</v>
      </c>
      <c r="CK390" s="3070" t="s">
        <v>3306</v>
      </c>
      <c r="CL390" s="3070" t="s">
        <v>3306</v>
      </c>
      <c r="CM390" s="3070">
        <v>1251380.73</v>
      </c>
      <c r="CV390" s="3070" t="s">
        <v>3258</v>
      </c>
      <c r="CW390" s="3070" t="s">
        <v>6458</v>
      </c>
      <c r="CZ390" s="3070">
        <v>213894.57</v>
      </c>
      <c r="DA390" s="3070">
        <v>159426.93</v>
      </c>
      <c r="DB390" s="3070">
        <v>0</v>
      </c>
      <c r="DC390" s="3070">
        <v>0</v>
      </c>
      <c r="DD390" s="3070">
        <v>3290547602</v>
      </c>
      <c r="DE390" s="3070">
        <v>2764253109</v>
      </c>
      <c r="DF390" s="3070">
        <v>1464966739</v>
      </c>
      <c r="DG390" s="3070">
        <v>14938370</v>
      </c>
      <c r="DH390" s="3070">
        <v>1284348000</v>
      </c>
      <c r="DI390" s="3070">
        <v>1278128000</v>
      </c>
      <c r="DJ390" s="3070">
        <v>6220000</v>
      </c>
      <c r="DK390" s="3070">
        <v>0</v>
      </c>
      <c r="DL390" s="3070">
        <v>0</v>
      </c>
      <c r="DM390" s="3070">
        <v>25491817.620000001</v>
      </c>
      <c r="DN390" s="3070">
        <v>2764253109</v>
      </c>
      <c r="DP390" s="3070">
        <v>2764253109</v>
      </c>
    </row>
    <row r="391" spans="1:120">
      <c r="A391" s="3070">
        <v>390</v>
      </c>
      <c r="B391" s="3070" t="s">
        <v>3224</v>
      </c>
      <c r="C391" s="3070">
        <v>4</v>
      </c>
      <c r="D391" s="3070">
        <v>2</v>
      </c>
      <c r="E391" s="3070">
        <v>1606</v>
      </c>
      <c r="F391" s="3070" t="s">
        <v>6459</v>
      </c>
      <c r="G391" s="3070" t="s">
        <v>6460</v>
      </c>
      <c r="H391" s="3070">
        <v>1683673</v>
      </c>
      <c r="I391" s="3070">
        <v>1683673</v>
      </c>
      <c r="J391" s="3070">
        <v>132.62</v>
      </c>
      <c r="K391" s="3070">
        <v>100.59</v>
      </c>
      <c r="L391" s="3070">
        <v>0</v>
      </c>
      <c r="M391" s="3070">
        <v>0</v>
      </c>
      <c r="N391" s="3070">
        <v>15844.44</v>
      </c>
      <c r="O391" s="3070">
        <v>2101290</v>
      </c>
      <c r="P391" s="3070">
        <v>12695.47</v>
      </c>
      <c r="Q391" s="3070">
        <v>1683673</v>
      </c>
      <c r="R391" s="3070" t="s">
        <v>3227</v>
      </c>
      <c r="S391" s="3070" t="s">
        <v>6461</v>
      </c>
      <c r="T391" s="3070" t="s">
        <v>3494</v>
      </c>
      <c r="V391" s="3070" t="s">
        <v>3230</v>
      </c>
      <c r="Y391" s="3070">
        <v>168367</v>
      </c>
      <c r="Z391" s="3070">
        <v>168367</v>
      </c>
      <c r="AA391" s="3070">
        <v>1683673</v>
      </c>
      <c r="AB391" s="3070">
        <v>0</v>
      </c>
      <c r="AC391" s="3070">
        <v>0</v>
      </c>
      <c r="AD391" s="3070">
        <v>0</v>
      </c>
      <c r="AE391" s="3070">
        <v>0</v>
      </c>
      <c r="AI391" s="3070" t="s">
        <v>3227</v>
      </c>
      <c r="AJ391" s="3070">
        <v>0</v>
      </c>
      <c r="AK391" s="3070">
        <v>0</v>
      </c>
      <c r="AL391" s="3070">
        <v>0</v>
      </c>
      <c r="AM391" s="3070">
        <v>12695.47</v>
      </c>
      <c r="AN391" s="3070">
        <v>1683673</v>
      </c>
      <c r="AP391" s="3070">
        <v>1683673</v>
      </c>
      <c r="AQ391" s="3072">
        <v>45230</v>
      </c>
      <c r="AT391" s="3073">
        <v>45770</v>
      </c>
      <c r="AV391" s="3074">
        <v>3.21E+17</v>
      </c>
      <c r="AW391" s="3070" t="s">
        <v>6462</v>
      </c>
      <c r="AX391" s="3070" t="s">
        <v>6463</v>
      </c>
      <c r="AY391" s="3070" t="s">
        <v>3883</v>
      </c>
      <c r="BA391" s="3070" t="s">
        <v>3883</v>
      </c>
      <c r="BC391" s="3070" t="s">
        <v>6402</v>
      </c>
      <c r="BD391" s="3070" t="s">
        <v>3075</v>
      </c>
      <c r="BI391" s="3070" t="s">
        <v>3235</v>
      </c>
      <c r="BL391" s="3070" t="s">
        <v>6464</v>
      </c>
      <c r="BM391" s="3075">
        <v>44288</v>
      </c>
      <c r="BN391" s="3070">
        <v>-16</v>
      </c>
      <c r="BR391" s="3070">
        <v>16</v>
      </c>
      <c r="BS391" s="3070" t="s">
        <v>3238</v>
      </c>
      <c r="BU391" s="3070" t="s">
        <v>3883</v>
      </c>
      <c r="BZ391" s="3073">
        <v>44211.826388888891</v>
      </c>
      <c r="CA391" s="3070">
        <v>4</v>
      </c>
      <c r="CD391" s="3070" t="s">
        <v>3239</v>
      </c>
      <c r="CF391" s="3070" t="s">
        <v>3091</v>
      </c>
      <c r="CH391" s="3070" t="s">
        <v>3240</v>
      </c>
      <c r="CI391" s="3070">
        <v>0</v>
      </c>
      <c r="CK391" s="3070" t="s">
        <v>3883</v>
      </c>
      <c r="CL391" s="3070" t="s">
        <v>4303</v>
      </c>
      <c r="CM391" s="3070">
        <v>1544654.13</v>
      </c>
      <c r="CV391" s="3070" t="s">
        <v>3494</v>
      </c>
      <c r="CW391" s="3070" t="s">
        <v>6465</v>
      </c>
      <c r="CX391" s="3070" t="s">
        <v>3267</v>
      </c>
      <c r="CZ391" s="3070">
        <v>213894.57</v>
      </c>
      <c r="DA391" s="3070">
        <v>159426.93</v>
      </c>
      <c r="DB391" s="3070">
        <v>0</v>
      </c>
      <c r="DC391" s="3070">
        <v>0</v>
      </c>
      <c r="DD391" s="3070">
        <v>3290547602</v>
      </c>
      <c r="DE391" s="3070">
        <v>2764253109</v>
      </c>
      <c r="DF391" s="3070">
        <v>1464966739</v>
      </c>
      <c r="DG391" s="3070">
        <v>14938370</v>
      </c>
      <c r="DH391" s="3070">
        <v>1284348000</v>
      </c>
      <c r="DI391" s="3070">
        <v>1278128000</v>
      </c>
      <c r="DJ391" s="3070">
        <v>6220000</v>
      </c>
      <c r="DK391" s="3070">
        <v>0</v>
      </c>
      <c r="DL391" s="3070">
        <v>0</v>
      </c>
      <c r="DM391" s="3070">
        <v>25491817.620000001</v>
      </c>
      <c r="DN391" s="3070">
        <v>2764253109</v>
      </c>
      <c r="DP391" s="3070">
        <v>2764253109</v>
      </c>
    </row>
    <row r="392" spans="1:120">
      <c r="A392" s="3070">
        <v>391</v>
      </c>
      <c r="B392" s="3070" t="s">
        <v>3224</v>
      </c>
      <c r="C392" s="3070">
        <v>4</v>
      </c>
      <c r="D392" s="3070">
        <v>1</v>
      </c>
      <c r="E392" s="3070">
        <v>1701</v>
      </c>
      <c r="F392" s="3070" t="s">
        <v>6466</v>
      </c>
      <c r="G392" s="3070" t="s">
        <v>6467</v>
      </c>
      <c r="H392" s="3070">
        <v>1690958</v>
      </c>
      <c r="I392" s="3070">
        <v>1690958</v>
      </c>
      <c r="J392" s="3070">
        <v>132.62</v>
      </c>
      <c r="K392" s="3070">
        <v>100.59</v>
      </c>
      <c r="L392" s="3070">
        <v>0</v>
      </c>
      <c r="M392" s="3070">
        <v>0</v>
      </c>
      <c r="N392" s="3070">
        <v>15694.44</v>
      </c>
      <c r="O392" s="3070">
        <v>2081397</v>
      </c>
      <c r="P392" s="3070">
        <v>12750.4</v>
      </c>
      <c r="Q392" s="3070">
        <v>1690958</v>
      </c>
      <c r="R392" s="3070" t="s">
        <v>3227</v>
      </c>
      <c r="S392" s="3070" t="s">
        <v>6468</v>
      </c>
      <c r="T392" s="3070" t="s">
        <v>3246</v>
      </c>
      <c r="U392" s="3070" t="s">
        <v>3247</v>
      </c>
      <c r="V392" s="3070" t="s">
        <v>3230</v>
      </c>
      <c r="Y392" s="3070">
        <v>610958</v>
      </c>
      <c r="Z392" s="3070">
        <v>169096</v>
      </c>
      <c r="AA392" s="3070">
        <v>610958</v>
      </c>
      <c r="AB392" s="3070">
        <v>0</v>
      </c>
      <c r="AC392" s="3070">
        <v>1080000</v>
      </c>
      <c r="AD392" s="3070">
        <v>1080000</v>
      </c>
      <c r="AE392" s="3070">
        <v>0</v>
      </c>
      <c r="AI392" s="3070" t="s">
        <v>3227</v>
      </c>
      <c r="AJ392" s="3070">
        <v>0</v>
      </c>
      <c r="AK392" s="3070">
        <v>0</v>
      </c>
      <c r="AL392" s="3070">
        <v>0</v>
      </c>
      <c r="AM392" s="3070">
        <v>12750.4</v>
      </c>
      <c r="AN392" s="3070">
        <v>1690958</v>
      </c>
      <c r="AP392" s="3070">
        <v>1690958</v>
      </c>
      <c r="AQ392" s="3072">
        <v>45230</v>
      </c>
      <c r="AT392" s="3073">
        <v>45770</v>
      </c>
      <c r="AV392" s="3070" t="s">
        <v>6469</v>
      </c>
      <c r="AW392" s="3070" t="s">
        <v>6470</v>
      </c>
      <c r="AX392" s="3070" t="s">
        <v>6471</v>
      </c>
      <c r="AY392" s="3070" t="s">
        <v>3497</v>
      </c>
      <c r="BC392" s="3070" t="s">
        <v>3284</v>
      </c>
      <c r="BD392" s="3070" t="s">
        <v>3075</v>
      </c>
      <c r="BI392" s="3070" t="s">
        <v>3235</v>
      </c>
      <c r="BL392" s="3070" t="s">
        <v>6472</v>
      </c>
      <c r="BM392" s="3075">
        <v>44287</v>
      </c>
      <c r="BN392" s="3070">
        <v>-17</v>
      </c>
      <c r="BO392" s="3070" t="s">
        <v>3253</v>
      </c>
      <c r="BR392" s="3070">
        <v>797</v>
      </c>
      <c r="BS392" s="3070" t="s">
        <v>3238</v>
      </c>
      <c r="BZ392" s="3073">
        <v>44142.692361111112</v>
      </c>
      <c r="CA392" s="3070">
        <v>4</v>
      </c>
      <c r="CD392" s="3070" t="s">
        <v>3239</v>
      </c>
      <c r="CF392" s="3070" t="s">
        <v>3091</v>
      </c>
      <c r="CH392" s="3070" t="s">
        <v>3240</v>
      </c>
      <c r="CI392" s="3070">
        <v>0</v>
      </c>
      <c r="CK392" s="3070" t="s">
        <v>3497</v>
      </c>
      <c r="CL392" s="3070" t="s">
        <v>3497</v>
      </c>
      <c r="CM392" s="3070">
        <v>1551337.61</v>
      </c>
      <c r="CV392" s="3070" t="s">
        <v>3246</v>
      </c>
      <c r="CW392" s="3070" t="s">
        <v>6473</v>
      </c>
      <c r="CX392" s="3070" t="s">
        <v>3510</v>
      </c>
      <c r="CZ392" s="3070">
        <v>213894.57</v>
      </c>
      <c r="DA392" s="3070">
        <v>159426.93</v>
      </c>
      <c r="DB392" s="3070">
        <v>0</v>
      </c>
      <c r="DC392" s="3070">
        <v>0</v>
      </c>
      <c r="DD392" s="3070">
        <v>3290547602</v>
      </c>
      <c r="DE392" s="3070">
        <v>2764253109</v>
      </c>
      <c r="DF392" s="3070">
        <v>1464966739</v>
      </c>
      <c r="DG392" s="3070">
        <v>14938370</v>
      </c>
      <c r="DH392" s="3070">
        <v>1284348000</v>
      </c>
      <c r="DI392" s="3070">
        <v>1278128000</v>
      </c>
      <c r="DJ392" s="3070">
        <v>6220000</v>
      </c>
      <c r="DK392" s="3070">
        <v>0</v>
      </c>
      <c r="DL392" s="3070">
        <v>0</v>
      </c>
      <c r="DM392" s="3070">
        <v>25491817.620000001</v>
      </c>
      <c r="DN392" s="3070">
        <v>2764253109</v>
      </c>
      <c r="DP392" s="3070">
        <v>2764253109</v>
      </c>
    </row>
    <row r="393" spans="1:120">
      <c r="A393" s="3070">
        <v>392</v>
      </c>
      <c r="B393" s="3070" t="s">
        <v>3224</v>
      </c>
      <c r="C393" s="3070">
        <v>4</v>
      </c>
      <c r="D393" s="3070">
        <v>1</v>
      </c>
      <c r="E393" s="3070">
        <v>1702</v>
      </c>
      <c r="F393" s="3070" t="s">
        <v>6474</v>
      </c>
      <c r="G393" s="3070" t="s">
        <v>6475</v>
      </c>
      <c r="H393" s="3070">
        <v>1421313</v>
      </c>
      <c r="I393" s="3070">
        <v>1421313</v>
      </c>
      <c r="J393" s="3070">
        <v>105.02</v>
      </c>
      <c r="K393" s="3070">
        <v>79.66</v>
      </c>
      <c r="L393" s="3070">
        <v>0</v>
      </c>
      <c r="M393" s="3070">
        <v>0</v>
      </c>
      <c r="N393" s="3070">
        <v>15844.44</v>
      </c>
      <c r="O393" s="3070">
        <v>1663983</v>
      </c>
      <c r="P393" s="3070">
        <v>13533.74</v>
      </c>
      <c r="Q393" s="3070">
        <v>1421313</v>
      </c>
      <c r="R393" s="3070" t="s">
        <v>3227</v>
      </c>
      <c r="S393" s="3070" t="s">
        <v>6476</v>
      </c>
      <c r="T393" s="3070" t="s">
        <v>3246</v>
      </c>
      <c r="U393" s="3070" t="s">
        <v>3259</v>
      </c>
      <c r="V393" s="3070" t="s">
        <v>3230</v>
      </c>
      <c r="Y393" s="3070">
        <v>821313</v>
      </c>
      <c r="Z393" s="3070">
        <v>142131</v>
      </c>
      <c r="AA393" s="3070">
        <v>821313</v>
      </c>
      <c r="AB393" s="3070">
        <v>0</v>
      </c>
      <c r="AC393" s="3070">
        <v>600000</v>
      </c>
      <c r="AD393" s="3070">
        <v>600000</v>
      </c>
      <c r="AE393" s="3070">
        <v>0</v>
      </c>
      <c r="AI393" s="3070" t="s">
        <v>3227</v>
      </c>
      <c r="AJ393" s="3070">
        <v>0</v>
      </c>
      <c r="AK393" s="3070">
        <v>0</v>
      </c>
      <c r="AL393" s="3070">
        <v>0</v>
      </c>
      <c r="AM393" s="3070">
        <v>13533.74</v>
      </c>
      <c r="AN393" s="3070">
        <v>1421313</v>
      </c>
      <c r="AP393" s="3070">
        <v>1421313</v>
      </c>
      <c r="AQ393" s="3072">
        <v>45230</v>
      </c>
      <c r="AT393" s="3073">
        <v>45770</v>
      </c>
      <c r="AV393" s="3070" t="s">
        <v>6477</v>
      </c>
      <c r="AW393" s="3070" t="s">
        <v>6478</v>
      </c>
      <c r="AX393" s="3070" t="s">
        <v>6479</v>
      </c>
      <c r="AY393" s="3070" t="s">
        <v>4618</v>
      </c>
      <c r="BA393" s="3070" t="s">
        <v>4618</v>
      </c>
      <c r="BC393" s="3070" t="s">
        <v>6480</v>
      </c>
      <c r="BD393" s="3070" t="s">
        <v>3077</v>
      </c>
      <c r="BI393" s="3070" t="s">
        <v>3235</v>
      </c>
      <c r="BL393" s="3070" t="s">
        <v>6481</v>
      </c>
      <c r="BM393" s="3075">
        <v>44287</v>
      </c>
      <c r="BN393" s="3070">
        <v>-17</v>
      </c>
      <c r="BO393" s="3070" t="s">
        <v>3253</v>
      </c>
      <c r="BR393" s="3070">
        <v>19</v>
      </c>
      <c r="BS393" s="3070" t="s">
        <v>3238</v>
      </c>
      <c r="BT393" s="3070" t="s">
        <v>3481</v>
      </c>
      <c r="BU393" s="3070" t="s">
        <v>4618</v>
      </c>
      <c r="BV393" s="3070" t="s">
        <v>6482</v>
      </c>
      <c r="BZ393" s="3073">
        <v>44180.631944444445</v>
      </c>
      <c r="CA393" s="3070">
        <v>4</v>
      </c>
      <c r="CB393" s="3070" t="s">
        <v>3481</v>
      </c>
      <c r="CD393" s="3070" t="s">
        <v>3239</v>
      </c>
      <c r="CF393" s="3070" t="s">
        <v>3091</v>
      </c>
      <c r="CH393" s="3070" t="s">
        <v>3240</v>
      </c>
      <c r="CI393" s="3070">
        <v>0</v>
      </c>
      <c r="CK393" s="3070" t="s">
        <v>4618</v>
      </c>
      <c r="CL393" s="3070" t="s">
        <v>4618</v>
      </c>
      <c r="CM393" s="3070">
        <v>1303956.8799999999</v>
      </c>
      <c r="CV393" s="3070" t="s">
        <v>3246</v>
      </c>
      <c r="CW393" s="3070" t="s">
        <v>6483</v>
      </c>
      <c r="CZ393" s="3070">
        <v>213894.57</v>
      </c>
      <c r="DA393" s="3070">
        <v>159426.93</v>
      </c>
      <c r="DB393" s="3070">
        <v>0</v>
      </c>
      <c r="DC393" s="3070">
        <v>0</v>
      </c>
      <c r="DD393" s="3070">
        <v>3290547602</v>
      </c>
      <c r="DE393" s="3070">
        <v>2764253109</v>
      </c>
      <c r="DF393" s="3070">
        <v>1464966739</v>
      </c>
      <c r="DG393" s="3070">
        <v>14938370</v>
      </c>
      <c r="DH393" s="3070">
        <v>1284348000</v>
      </c>
      <c r="DI393" s="3070">
        <v>1278128000</v>
      </c>
      <c r="DJ393" s="3070">
        <v>6220000</v>
      </c>
      <c r="DK393" s="3070">
        <v>0</v>
      </c>
      <c r="DL393" s="3070">
        <v>0</v>
      </c>
      <c r="DM393" s="3070">
        <v>25491817.620000001</v>
      </c>
      <c r="DN393" s="3070">
        <v>2764253109</v>
      </c>
      <c r="DP393" s="3070">
        <v>2764253109</v>
      </c>
    </row>
    <row r="394" spans="1:120">
      <c r="A394" s="3070">
        <v>393</v>
      </c>
      <c r="B394" s="3070" t="s">
        <v>3224</v>
      </c>
      <c r="C394" s="3070">
        <v>4</v>
      </c>
      <c r="D394" s="3070">
        <v>1</v>
      </c>
      <c r="E394" s="3070">
        <v>1703</v>
      </c>
      <c r="F394" s="3070" t="s">
        <v>6484</v>
      </c>
      <c r="G394" s="3070" t="s">
        <v>6485</v>
      </c>
      <c r="H394" s="3070">
        <v>1659945</v>
      </c>
      <c r="I394" s="3070">
        <v>1659945</v>
      </c>
      <c r="J394" s="3070">
        <v>132.99</v>
      </c>
      <c r="K394" s="3070">
        <v>100.87</v>
      </c>
      <c r="L394" s="3070">
        <v>0</v>
      </c>
      <c r="M394" s="3070">
        <v>0</v>
      </c>
      <c r="N394" s="3070">
        <v>15544.44</v>
      </c>
      <c r="O394" s="3070">
        <v>2067255</v>
      </c>
      <c r="P394" s="3070">
        <v>12481.73</v>
      </c>
      <c r="Q394" s="3070">
        <v>1659945</v>
      </c>
      <c r="R394" s="3070" t="s">
        <v>3227</v>
      </c>
      <c r="S394" s="3070" t="s">
        <v>6486</v>
      </c>
      <c r="T394" s="3070" t="s">
        <v>3229</v>
      </c>
      <c r="V394" s="3070" t="s">
        <v>3230</v>
      </c>
      <c r="Y394" s="3070">
        <v>497984</v>
      </c>
      <c r="Z394" s="3070">
        <v>497984</v>
      </c>
      <c r="AA394" s="3070">
        <v>1659945</v>
      </c>
      <c r="AB394" s="3070">
        <v>0</v>
      </c>
      <c r="AC394" s="3070">
        <v>0</v>
      </c>
      <c r="AD394" s="3070">
        <v>0</v>
      </c>
      <c r="AE394" s="3070">
        <v>0</v>
      </c>
      <c r="AI394" s="3070" t="s">
        <v>3227</v>
      </c>
      <c r="AJ394" s="3070">
        <v>0</v>
      </c>
      <c r="AK394" s="3070">
        <v>0</v>
      </c>
      <c r="AL394" s="3070">
        <v>0</v>
      </c>
      <c r="AM394" s="3070">
        <v>12481.73</v>
      </c>
      <c r="AN394" s="3070">
        <v>1659945</v>
      </c>
      <c r="AP394" s="3070">
        <v>1659945</v>
      </c>
      <c r="AQ394" s="3072">
        <v>45230</v>
      </c>
      <c r="AT394" s="3073">
        <v>45770</v>
      </c>
      <c r="AV394" s="3070" t="s">
        <v>6487</v>
      </c>
      <c r="AW394" s="3070" t="s">
        <v>6488</v>
      </c>
      <c r="AX394" s="3070" t="s">
        <v>6489</v>
      </c>
      <c r="AY394" s="3070" t="s">
        <v>3722</v>
      </c>
      <c r="BC394" s="3070" t="s">
        <v>3347</v>
      </c>
      <c r="BD394" s="3070" t="s">
        <v>3075</v>
      </c>
      <c r="BI394" s="3070" t="s">
        <v>3235</v>
      </c>
      <c r="BJ394" s="3070" t="s">
        <v>3285</v>
      </c>
      <c r="BL394" s="3070" t="s">
        <v>6490</v>
      </c>
      <c r="BM394" s="3075">
        <v>44287</v>
      </c>
      <c r="BN394" s="3070">
        <v>-17</v>
      </c>
      <c r="BR394" s="3070">
        <v>621</v>
      </c>
      <c r="BS394" s="3070" t="s">
        <v>3238</v>
      </c>
      <c r="BZ394" s="3073">
        <v>44143.776388888888</v>
      </c>
      <c r="CA394" s="3070">
        <v>4</v>
      </c>
      <c r="CD394" s="3070" t="s">
        <v>3239</v>
      </c>
      <c r="CF394" s="3070" t="s">
        <v>3091</v>
      </c>
      <c r="CH394" s="3070" t="s">
        <v>3240</v>
      </c>
      <c r="CI394" s="3070">
        <v>0</v>
      </c>
      <c r="CK394" s="3070" t="s">
        <v>3722</v>
      </c>
      <c r="CL394" s="3070" t="s">
        <v>3722</v>
      </c>
      <c r="CM394" s="3070">
        <v>1522885.32</v>
      </c>
      <c r="CV394" s="3070" t="s">
        <v>3229</v>
      </c>
      <c r="CW394" s="3070" t="s">
        <v>6491</v>
      </c>
      <c r="CX394" s="3070" t="s">
        <v>3267</v>
      </c>
      <c r="CZ394" s="3070">
        <v>213894.57</v>
      </c>
      <c r="DA394" s="3070">
        <v>159426.93</v>
      </c>
      <c r="DB394" s="3070">
        <v>0</v>
      </c>
      <c r="DC394" s="3070">
        <v>0</v>
      </c>
      <c r="DD394" s="3070">
        <v>3290547602</v>
      </c>
      <c r="DE394" s="3070">
        <v>2764253109</v>
      </c>
      <c r="DF394" s="3070">
        <v>1464966739</v>
      </c>
      <c r="DG394" s="3070">
        <v>14938370</v>
      </c>
      <c r="DH394" s="3070">
        <v>1284348000</v>
      </c>
      <c r="DI394" s="3070">
        <v>1278128000</v>
      </c>
      <c r="DJ394" s="3070">
        <v>6220000</v>
      </c>
      <c r="DK394" s="3070">
        <v>0</v>
      </c>
      <c r="DL394" s="3070">
        <v>0</v>
      </c>
      <c r="DM394" s="3070">
        <v>25491817.620000001</v>
      </c>
      <c r="DN394" s="3070">
        <v>2764253109</v>
      </c>
      <c r="DP394" s="3070">
        <v>2764253109</v>
      </c>
    </row>
    <row r="395" spans="1:120">
      <c r="A395" s="3070">
        <v>394</v>
      </c>
      <c r="B395" s="3070" t="s">
        <v>3224</v>
      </c>
      <c r="C395" s="3070">
        <v>4</v>
      </c>
      <c r="D395" s="3070">
        <v>2</v>
      </c>
      <c r="E395" s="3070">
        <v>1704</v>
      </c>
      <c r="F395" s="3070" t="s">
        <v>6492</v>
      </c>
      <c r="G395" s="3070" t="s">
        <v>6493</v>
      </c>
      <c r="H395" s="3070">
        <v>1617850</v>
      </c>
      <c r="I395" s="3070">
        <v>1617850</v>
      </c>
      <c r="J395" s="3070">
        <v>132.99</v>
      </c>
      <c r="K395" s="3070">
        <v>100.87</v>
      </c>
      <c r="L395" s="3070">
        <v>0</v>
      </c>
      <c r="M395" s="3070">
        <v>0</v>
      </c>
      <c r="N395" s="3070">
        <v>15544.44</v>
      </c>
      <c r="O395" s="3070">
        <v>2067255</v>
      </c>
      <c r="P395" s="3070">
        <v>12165.2</v>
      </c>
      <c r="Q395" s="3070">
        <v>1617850</v>
      </c>
      <c r="R395" s="3070" t="s">
        <v>3227</v>
      </c>
      <c r="S395" s="3070" t="s">
        <v>6494</v>
      </c>
      <c r="T395" s="3070" t="s">
        <v>3494</v>
      </c>
      <c r="V395" s="3070" t="s">
        <v>3230</v>
      </c>
      <c r="Y395" s="3070">
        <v>161785</v>
      </c>
      <c r="Z395" s="3070">
        <v>161785</v>
      </c>
      <c r="AA395" s="3070">
        <v>1617850</v>
      </c>
      <c r="AB395" s="3070">
        <v>0</v>
      </c>
      <c r="AC395" s="3070">
        <v>0</v>
      </c>
      <c r="AD395" s="3070">
        <v>0</v>
      </c>
      <c r="AE395" s="3070">
        <v>0</v>
      </c>
      <c r="AI395" s="3070" t="s">
        <v>3227</v>
      </c>
      <c r="AJ395" s="3070">
        <v>0</v>
      </c>
      <c r="AK395" s="3070">
        <v>0</v>
      </c>
      <c r="AL395" s="3070">
        <v>0</v>
      </c>
      <c r="AM395" s="3070">
        <v>12165.2</v>
      </c>
      <c r="AN395" s="3070">
        <v>1617850</v>
      </c>
      <c r="AP395" s="3070">
        <v>1617850</v>
      </c>
      <c r="AQ395" s="3072">
        <v>45230</v>
      </c>
      <c r="AT395" s="3073">
        <v>45770</v>
      </c>
      <c r="AV395" s="3074">
        <v>3.2E+17</v>
      </c>
      <c r="AW395" s="3070" t="s">
        <v>6495</v>
      </c>
      <c r="AX395" s="3070" t="s">
        <v>6496</v>
      </c>
      <c r="AY395" s="3070" t="s">
        <v>4265</v>
      </c>
      <c r="BC395" s="3070" t="s">
        <v>4460</v>
      </c>
      <c r="BD395" s="3070" t="s">
        <v>3075</v>
      </c>
      <c r="BI395" s="3070" t="s">
        <v>3235</v>
      </c>
      <c r="BL395" s="3070" t="s">
        <v>6497</v>
      </c>
      <c r="BM395" s="3075">
        <v>44288</v>
      </c>
      <c r="BN395" s="3070">
        <v>-17</v>
      </c>
      <c r="BR395" s="3070">
        <v>20</v>
      </c>
      <c r="BS395" s="3070" t="s">
        <v>3238</v>
      </c>
      <c r="BZ395" s="3073">
        <v>44213.499305555553</v>
      </c>
      <c r="CA395" s="3070">
        <v>4</v>
      </c>
      <c r="CD395" s="3070" t="s">
        <v>3239</v>
      </c>
      <c r="CF395" s="3070" t="s">
        <v>3091</v>
      </c>
      <c r="CH395" s="3070" t="s">
        <v>3240</v>
      </c>
      <c r="CI395" s="3070">
        <v>0</v>
      </c>
      <c r="CK395" s="3070" t="s">
        <v>4265</v>
      </c>
      <c r="CL395" s="3070" t="s">
        <v>4665</v>
      </c>
      <c r="CM395" s="3070">
        <v>1484266.06</v>
      </c>
      <c r="CV395" s="3070" t="s">
        <v>3494</v>
      </c>
      <c r="CW395" s="3070" t="s">
        <v>6498</v>
      </c>
      <c r="CX395" s="3070" t="s">
        <v>3267</v>
      </c>
      <c r="CZ395" s="3070">
        <v>213894.57</v>
      </c>
      <c r="DA395" s="3070">
        <v>159426.93</v>
      </c>
      <c r="DB395" s="3070">
        <v>0</v>
      </c>
      <c r="DC395" s="3070">
        <v>0</v>
      </c>
      <c r="DD395" s="3070">
        <v>3290547602</v>
      </c>
      <c r="DE395" s="3070">
        <v>2764253109</v>
      </c>
      <c r="DF395" s="3070">
        <v>1464966739</v>
      </c>
      <c r="DG395" s="3070">
        <v>14938370</v>
      </c>
      <c r="DH395" s="3070">
        <v>1284348000</v>
      </c>
      <c r="DI395" s="3070">
        <v>1278128000</v>
      </c>
      <c r="DJ395" s="3070">
        <v>6220000</v>
      </c>
      <c r="DK395" s="3070">
        <v>0</v>
      </c>
      <c r="DL395" s="3070">
        <v>0</v>
      </c>
      <c r="DM395" s="3070">
        <v>25491817.620000001</v>
      </c>
      <c r="DN395" s="3070">
        <v>2764253109</v>
      </c>
      <c r="DP395" s="3070">
        <v>2764253109</v>
      </c>
    </row>
    <row r="396" spans="1:120">
      <c r="A396" s="3070">
        <v>395</v>
      </c>
      <c r="B396" s="3070" t="s">
        <v>3224</v>
      </c>
      <c r="C396" s="3070">
        <v>4</v>
      </c>
      <c r="D396" s="3070">
        <v>2</v>
      </c>
      <c r="E396" s="3070">
        <v>1705</v>
      </c>
      <c r="F396" s="3070" t="s">
        <v>6499</v>
      </c>
      <c r="G396" s="3070" t="s">
        <v>6500</v>
      </c>
      <c r="H396" s="3070">
        <v>1398092</v>
      </c>
      <c r="I396" s="3070">
        <v>1398092</v>
      </c>
      <c r="J396" s="3070">
        <v>105.02</v>
      </c>
      <c r="K396" s="3070">
        <v>79.66</v>
      </c>
      <c r="L396" s="3070">
        <v>0</v>
      </c>
      <c r="M396" s="3070">
        <v>0</v>
      </c>
      <c r="N396" s="3070">
        <v>15844.44</v>
      </c>
      <c r="O396" s="3070">
        <v>1663983</v>
      </c>
      <c r="P396" s="3070">
        <v>13312.63</v>
      </c>
      <c r="Q396" s="3070">
        <v>1398092</v>
      </c>
      <c r="R396" s="3070" t="s">
        <v>3227</v>
      </c>
      <c r="S396" s="3070" t="s">
        <v>6501</v>
      </c>
      <c r="T396" s="3070" t="s">
        <v>3476</v>
      </c>
      <c r="U396" s="3070" t="s">
        <v>3247</v>
      </c>
      <c r="V396" s="3070" t="s">
        <v>3230</v>
      </c>
      <c r="Y396" s="3070">
        <v>167771</v>
      </c>
      <c r="Z396" s="3070">
        <v>167771</v>
      </c>
      <c r="AA396" s="3070">
        <v>428092</v>
      </c>
      <c r="AB396" s="3070">
        <v>0</v>
      </c>
      <c r="AC396" s="3070">
        <v>970000</v>
      </c>
      <c r="AD396" s="3070">
        <v>970000</v>
      </c>
      <c r="AE396" s="3070">
        <v>0</v>
      </c>
      <c r="AI396" s="3070" t="s">
        <v>3227</v>
      </c>
      <c r="AJ396" s="3070">
        <v>0</v>
      </c>
      <c r="AK396" s="3070">
        <v>0</v>
      </c>
      <c r="AL396" s="3070">
        <v>0</v>
      </c>
      <c r="AM396" s="3070">
        <v>13312.63</v>
      </c>
      <c r="AN396" s="3070">
        <v>1398092</v>
      </c>
      <c r="AP396" s="3070">
        <v>1398092</v>
      </c>
      <c r="AQ396" s="3072">
        <v>45230</v>
      </c>
      <c r="AT396" s="3073">
        <v>45770</v>
      </c>
      <c r="AV396" s="3070" t="s">
        <v>6502</v>
      </c>
      <c r="AW396" s="3070" t="s">
        <v>6503</v>
      </c>
      <c r="AX396" s="3070" t="s">
        <v>6504</v>
      </c>
      <c r="AY396" s="3070" t="s">
        <v>3419</v>
      </c>
      <c r="BC396" s="3070" t="s">
        <v>6505</v>
      </c>
      <c r="BD396" s="3070" t="s">
        <v>3077</v>
      </c>
      <c r="BI396" s="3070" t="s">
        <v>3235</v>
      </c>
      <c r="BL396" s="3070" t="s">
        <v>6506</v>
      </c>
      <c r="BM396" s="3075">
        <v>44288</v>
      </c>
      <c r="BN396" s="3070">
        <v>-17</v>
      </c>
      <c r="BO396" s="3070" t="s">
        <v>3253</v>
      </c>
      <c r="BR396" s="3070">
        <v>16</v>
      </c>
      <c r="BS396" s="3070" t="s">
        <v>3238</v>
      </c>
      <c r="BT396" s="3070" t="s">
        <v>3481</v>
      </c>
      <c r="BV396" s="3070" t="s">
        <v>6507</v>
      </c>
      <c r="BZ396" s="3073">
        <v>44185.548611111109</v>
      </c>
      <c r="CA396" s="3070">
        <v>4</v>
      </c>
      <c r="CB396" s="3070" t="s">
        <v>3481</v>
      </c>
      <c r="CD396" s="3070" t="s">
        <v>3239</v>
      </c>
      <c r="CF396" s="3070" t="s">
        <v>3091</v>
      </c>
      <c r="CH396" s="3070" t="s">
        <v>3240</v>
      </c>
      <c r="CI396" s="3070">
        <v>0</v>
      </c>
      <c r="CK396" s="3070" t="s">
        <v>3419</v>
      </c>
      <c r="CL396" s="3070" t="s">
        <v>3419</v>
      </c>
      <c r="CM396" s="3070">
        <v>1282653.21</v>
      </c>
      <c r="CV396" s="3070" t="s">
        <v>3482</v>
      </c>
      <c r="CW396" s="3070" t="s">
        <v>6508</v>
      </c>
      <c r="CX396" s="3070" t="s">
        <v>3510</v>
      </c>
      <c r="CZ396" s="3070">
        <v>213894.57</v>
      </c>
      <c r="DA396" s="3070">
        <v>159426.93</v>
      </c>
      <c r="DB396" s="3070">
        <v>0</v>
      </c>
      <c r="DC396" s="3070">
        <v>0</v>
      </c>
      <c r="DD396" s="3070">
        <v>3290547602</v>
      </c>
      <c r="DE396" s="3070">
        <v>2764253109</v>
      </c>
      <c r="DF396" s="3070">
        <v>1464966739</v>
      </c>
      <c r="DG396" s="3070">
        <v>14938370</v>
      </c>
      <c r="DH396" s="3070">
        <v>1284348000</v>
      </c>
      <c r="DI396" s="3070">
        <v>1278128000</v>
      </c>
      <c r="DJ396" s="3070">
        <v>6220000</v>
      </c>
      <c r="DK396" s="3070">
        <v>0</v>
      </c>
      <c r="DL396" s="3070">
        <v>0</v>
      </c>
      <c r="DM396" s="3070">
        <v>25491817.620000001</v>
      </c>
      <c r="DN396" s="3070">
        <v>2764253109</v>
      </c>
      <c r="DP396" s="3070">
        <v>2764253109</v>
      </c>
    </row>
    <row r="397" spans="1:120">
      <c r="A397" s="3070">
        <v>396</v>
      </c>
      <c r="B397" s="3070" t="s">
        <v>3224</v>
      </c>
      <c r="C397" s="3070">
        <v>4</v>
      </c>
      <c r="D397" s="3070">
        <v>2</v>
      </c>
      <c r="E397" s="3070">
        <v>1706</v>
      </c>
      <c r="F397" s="3070" t="s">
        <v>6509</v>
      </c>
      <c r="G397" s="3070" t="s">
        <v>6510</v>
      </c>
      <c r="H397" s="3070">
        <v>1635522</v>
      </c>
      <c r="I397" s="3070">
        <v>1635522</v>
      </c>
      <c r="J397" s="3070">
        <v>132.62</v>
      </c>
      <c r="K397" s="3070">
        <v>100.59</v>
      </c>
      <c r="L397" s="3070">
        <v>0</v>
      </c>
      <c r="M397" s="3070">
        <v>0</v>
      </c>
      <c r="N397" s="3070">
        <v>15744.44</v>
      </c>
      <c r="O397" s="3070">
        <v>2088028</v>
      </c>
      <c r="P397" s="3070">
        <v>12332.39</v>
      </c>
      <c r="Q397" s="3070">
        <v>1635522</v>
      </c>
      <c r="R397" s="3070" t="s">
        <v>3227</v>
      </c>
      <c r="S397" s="3070" t="s">
        <v>3353</v>
      </c>
      <c r="T397" s="3070" t="s">
        <v>3494</v>
      </c>
      <c r="V397" s="3070" t="s">
        <v>3230</v>
      </c>
      <c r="Y397" s="3070">
        <v>163552</v>
      </c>
      <c r="Z397" s="3070">
        <v>163552</v>
      </c>
      <c r="AA397" s="3070">
        <v>1635522</v>
      </c>
      <c r="AB397" s="3070">
        <v>0</v>
      </c>
      <c r="AC397" s="3070">
        <v>0</v>
      </c>
      <c r="AD397" s="3070">
        <v>0</v>
      </c>
      <c r="AE397" s="3070">
        <v>0</v>
      </c>
      <c r="AI397" s="3070" t="s">
        <v>3227</v>
      </c>
      <c r="AJ397" s="3070">
        <v>0</v>
      </c>
      <c r="AK397" s="3070">
        <v>0</v>
      </c>
      <c r="AL397" s="3070">
        <v>0</v>
      </c>
      <c r="AM397" s="3070">
        <v>12332.39</v>
      </c>
      <c r="AN397" s="3070">
        <v>1635522</v>
      </c>
      <c r="AP397" s="3070">
        <v>1635522</v>
      </c>
      <c r="AQ397" s="3072">
        <v>45230</v>
      </c>
      <c r="AT397" s="3073">
        <v>45770</v>
      </c>
      <c r="AV397" s="3070" t="s">
        <v>6511</v>
      </c>
      <c r="AW397" s="3070" t="s">
        <v>6512</v>
      </c>
      <c r="AX397" s="3070" t="s">
        <v>6513</v>
      </c>
      <c r="AY397" s="3070" t="s">
        <v>3892</v>
      </c>
      <c r="BC397" s="3070" t="s">
        <v>6514</v>
      </c>
      <c r="BD397" s="3070" t="s">
        <v>3075</v>
      </c>
      <c r="BI397" s="3070" t="s">
        <v>3295</v>
      </c>
      <c r="BL397" s="3070" t="s">
        <v>6515</v>
      </c>
      <c r="BM397" s="3075">
        <v>44288</v>
      </c>
      <c r="BN397" s="3070">
        <v>-17</v>
      </c>
      <c r="BR397" s="3070">
        <v>24</v>
      </c>
      <c r="BS397" s="3070" t="s">
        <v>3238</v>
      </c>
      <c r="BZ397" s="3073">
        <v>44214.633333333331</v>
      </c>
      <c r="CA397" s="3070">
        <v>4</v>
      </c>
      <c r="CD397" s="3070" t="s">
        <v>3239</v>
      </c>
      <c r="CF397" s="3070" t="s">
        <v>3091</v>
      </c>
      <c r="CH397" s="3070" t="s">
        <v>3240</v>
      </c>
      <c r="CI397" s="3070">
        <v>0</v>
      </c>
      <c r="CK397" s="3070" t="s">
        <v>3892</v>
      </c>
      <c r="CL397" s="3070" t="s">
        <v>4056</v>
      </c>
      <c r="CM397" s="3070">
        <v>1500478.9</v>
      </c>
      <c r="CV397" s="3070" t="s">
        <v>3494</v>
      </c>
      <c r="CW397" s="3070" t="s">
        <v>6516</v>
      </c>
      <c r="CZ397" s="3070">
        <v>213894.57</v>
      </c>
      <c r="DA397" s="3070">
        <v>159426.93</v>
      </c>
      <c r="DB397" s="3070">
        <v>0</v>
      </c>
      <c r="DC397" s="3070">
        <v>0</v>
      </c>
      <c r="DD397" s="3070">
        <v>3290547602</v>
      </c>
      <c r="DE397" s="3070">
        <v>2764253109</v>
      </c>
      <c r="DF397" s="3070">
        <v>1464966739</v>
      </c>
      <c r="DG397" s="3070">
        <v>14938370</v>
      </c>
      <c r="DH397" s="3070">
        <v>1284348000</v>
      </c>
      <c r="DI397" s="3070">
        <v>1278128000</v>
      </c>
      <c r="DJ397" s="3070">
        <v>6220000</v>
      </c>
      <c r="DK397" s="3070">
        <v>0</v>
      </c>
      <c r="DL397" s="3070">
        <v>0</v>
      </c>
      <c r="DM397" s="3070">
        <v>25491817.620000001</v>
      </c>
      <c r="DN397" s="3070">
        <v>2764253109</v>
      </c>
      <c r="DP397" s="3070">
        <v>2764253109</v>
      </c>
    </row>
    <row r="398" spans="1:120">
      <c r="A398" s="3070">
        <v>397</v>
      </c>
      <c r="B398" s="3070" t="s">
        <v>3224</v>
      </c>
      <c r="C398" s="3070">
        <v>4</v>
      </c>
      <c r="D398" s="3070">
        <v>1</v>
      </c>
      <c r="E398" s="3070">
        <v>1801</v>
      </c>
      <c r="F398" s="3070" t="s">
        <v>6517</v>
      </c>
      <c r="G398" s="3070" t="s">
        <v>6518</v>
      </c>
      <c r="H398" s="3070">
        <v>1234570</v>
      </c>
      <c r="I398" s="3070">
        <v>1234570</v>
      </c>
      <c r="J398" s="3070">
        <v>132.62</v>
      </c>
      <c r="K398" s="3070">
        <v>100.59</v>
      </c>
      <c r="L398" s="3070">
        <v>0</v>
      </c>
      <c r="M398" s="3070">
        <v>0</v>
      </c>
      <c r="N398" s="3070">
        <v>15494.44</v>
      </c>
      <c r="O398" s="3070">
        <v>2054873</v>
      </c>
      <c r="P398" s="3070">
        <v>9309.08</v>
      </c>
      <c r="Q398" s="3070">
        <v>1234570</v>
      </c>
      <c r="R398" s="3070" t="s">
        <v>3227</v>
      </c>
      <c r="S398" s="3070" t="s">
        <v>6519</v>
      </c>
      <c r="T398" s="3070" t="s">
        <v>4158</v>
      </c>
      <c r="V398" s="3070" t="s">
        <v>3230</v>
      </c>
      <c r="Y398" s="3070">
        <v>617285</v>
      </c>
      <c r="Z398" s="3070">
        <v>617285</v>
      </c>
      <c r="AA398" s="3070">
        <v>1234570</v>
      </c>
      <c r="AB398" s="3070">
        <v>0</v>
      </c>
      <c r="AC398" s="3070">
        <v>0</v>
      </c>
      <c r="AD398" s="3070">
        <v>0</v>
      </c>
      <c r="AE398" s="3070">
        <v>0</v>
      </c>
      <c r="AI398" s="3070" t="s">
        <v>3227</v>
      </c>
      <c r="AJ398" s="3070">
        <v>0</v>
      </c>
      <c r="AK398" s="3070">
        <v>0</v>
      </c>
      <c r="AL398" s="3070">
        <v>0</v>
      </c>
      <c r="AM398" s="3070">
        <v>9309.08</v>
      </c>
      <c r="AN398" s="3070">
        <v>1234570</v>
      </c>
      <c r="AP398" s="3070">
        <v>1234570</v>
      </c>
      <c r="AQ398" s="3072">
        <v>45230</v>
      </c>
      <c r="AT398" s="3073">
        <v>45770</v>
      </c>
      <c r="AV398" s="3070" t="s">
        <v>6520</v>
      </c>
      <c r="AW398" s="3070" t="s">
        <v>6521</v>
      </c>
      <c r="AX398" s="3070" t="s">
        <v>6522</v>
      </c>
      <c r="AY398" s="3070" t="s">
        <v>4065</v>
      </c>
      <c r="BC398" s="3070" t="s">
        <v>6523</v>
      </c>
      <c r="BD398" s="3070" t="s">
        <v>3075</v>
      </c>
      <c r="BI398" s="3070" t="s">
        <v>3235</v>
      </c>
      <c r="BJ398" s="3070" t="s">
        <v>3236</v>
      </c>
      <c r="BL398" s="3070" t="s">
        <v>6524</v>
      </c>
      <c r="BM398" s="3075">
        <v>44287</v>
      </c>
      <c r="BN398" s="3070">
        <v>-18</v>
      </c>
      <c r="BR398" s="3070">
        <v>0</v>
      </c>
      <c r="BS398" s="3070" t="s">
        <v>3238</v>
      </c>
      <c r="BV398" s="3070" t="s">
        <v>6525</v>
      </c>
      <c r="BW398" s="3070" t="s">
        <v>6526</v>
      </c>
      <c r="BX398" s="3070" t="s">
        <v>6527</v>
      </c>
      <c r="BZ398" s="3073">
        <v>44257.457638888889</v>
      </c>
      <c r="CA398" s="3070">
        <v>4</v>
      </c>
      <c r="CD398" s="3070" t="s">
        <v>3239</v>
      </c>
      <c r="CF398" s="3070" t="s">
        <v>3091</v>
      </c>
      <c r="CH398" s="3070" t="s">
        <v>3240</v>
      </c>
      <c r="CI398" s="3070">
        <v>0</v>
      </c>
      <c r="CK398" s="3070" t="s">
        <v>3892</v>
      </c>
      <c r="CL398" s="3070" t="s">
        <v>4065</v>
      </c>
      <c r="CM398" s="3070">
        <v>1132633.03</v>
      </c>
      <c r="CV398" s="3070" t="s">
        <v>3494</v>
      </c>
      <c r="CW398" s="3070" t="s">
        <v>6528</v>
      </c>
      <c r="CX398" s="3070" t="s">
        <v>3510</v>
      </c>
      <c r="CZ398" s="3070">
        <v>213894.57</v>
      </c>
      <c r="DA398" s="3070">
        <v>159426.93</v>
      </c>
      <c r="DB398" s="3070">
        <v>0</v>
      </c>
      <c r="DC398" s="3070">
        <v>0</v>
      </c>
      <c r="DD398" s="3070">
        <v>3290547602</v>
      </c>
      <c r="DE398" s="3070">
        <v>2764253109</v>
      </c>
      <c r="DF398" s="3070">
        <v>1464966739</v>
      </c>
      <c r="DG398" s="3070">
        <v>14938370</v>
      </c>
      <c r="DH398" s="3070">
        <v>1284348000</v>
      </c>
      <c r="DI398" s="3070">
        <v>1278128000</v>
      </c>
      <c r="DJ398" s="3070">
        <v>6220000</v>
      </c>
      <c r="DK398" s="3070">
        <v>0</v>
      </c>
      <c r="DL398" s="3070">
        <v>0</v>
      </c>
      <c r="DM398" s="3070">
        <v>25491817.620000001</v>
      </c>
      <c r="DN398" s="3070">
        <v>2764253109</v>
      </c>
      <c r="DP398" s="3070">
        <v>2764253109</v>
      </c>
    </row>
    <row r="399" spans="1:120">
      <c r="A399" s="3070">
        <v>398</v>
      </c>
      <c r="B399" s="3070" t="s">
        <v>3224</v>
      </c>
      <c r="C399" s="3070">
        <v>4</v>
      </c>
      <c r="D399" s="3070">
        <v>1</v>
      </c>
      <c r="E399" s="3070">
        <v>1802</v>
      </c>
      <c r="F399" s="3070" t="s">
        <v>6529</v>
      </c>
      <c r="G399" s="3070" t="s">
        <v>6530</v>
      </c>
      <c r="H399" s="3070">
        <v>1448681</v>
      </c>
      <c r="I399" s="3070">
        <v>1448681</v>
      </c>
      <c r="J399" s="3070">
        <v>105.02</v>
      </c>
      <c r="K399" s="3070">
        <v>79.66</v>
      </c>
      <c r="L399" s="3070">
        <v>0</v>
      </c>
      <c r="M399" s="3070">
        <v>0</v>
      </c>
      <c r="N399" s="3070">
        <v>15644.44</v>
      </c>
      <c r="O399" s="3070">
        <v>1642979</v>
      </c>
      <c r="P399" s="3070">
        <v>13794.33</v>
      </c>
      <c r="Q399" s="3070">
        <v>1448681</v>
      </c>
      <c r="R399" s="3070" t="s">
        <v>3227</v>
      </c>
      <c r="S399" s="3070" t="s">
        <v>6531</v>
      </c>
      <c r="T399" s="3070" t="s">
        <v>3246</v>
      </c>
      <c r="U399" s="3070" t="s">
        <v>3247</v>
      </c>
      <c r="V399" s="3070" t="s">
        <v>3230</v>
      </c>
      <c r="Y399" s="3070">
        <v>448681</v>
      </c>
      <c r="Z399" s="3070">
        <v>448681</v>
      </c>
      <c r="AA399" s="3070">
        <v>448681</v>
      </c>
      <c r="AB399" s="3070">
        <v>0</v>
      </c>
      <c r="AC399" s="3070">
        <v>1000000</v>
      </c>
      <c r="AD399" s="3070">
        <v>1000000</v>
      </c>
      <c r="AE399" s="3070">
        <v>0</v>
      </c>
      <c r="AI399" s="3070" t="s">
        <v>3227</v>
      </c>
      <c r="AJ399" s="3070">
        <v>0</v>
      </c>
      <c r="AK399" s="3070">
        <v>0</v>
      </c>
      <c r="AL399" s="3070">
        <v>0</v>
      </c>
      <c r="AM399" s="3070">
        <v>13794.33</v>
      </c>
      <c r="AN399" s="3070">
        <v>1448681</v>
      </c>
      <c r="AP399" s="3070">
        <v>1448681</v>
      </c>
      <c r="AQ399" s="3072">
        <v>45230</v>
      </c>
      <c r="AT399" s="3073">
        <v>45770</v>
      </c>
      <c r="AV399" s="3070" t="s">
        <v>6532</v>
      </c>
      <c r="AW399" s="3070" t="s">
        <v>6533</v>
      </c>
      <c r="AX399" s="3070" t="s">
        <v>6534</v>
      </c>
      <c r="AY399" s="3070" t="s">
        <v>3981</v>
      </c>
      <c r="BC399" s="3070" t="s">
        <v>4175</v>
      </c>
      <c r="BD399" s="3070" t="s">
        <v>3077</v>
      </c>
      <c r="BI399" s="3070" t="s">
        <v>3235</v>
      </c>
      <c r="BJ399" s="3070" t="s">
        <v>3338</v>
      </c>
      <c r="BL399" s="3070" t="s">
        <v>6535</v>
      </c>
      <c r="BM399" s="3075">
        <v>44287</v>
      </c>
      <c r="BN399" s="3070">
        <v>-18</v>
      </c>
      <c r="BO399" s="3070" t="s">
        <v>3253</v>
      </c>
      <c r="BR399" s="3070">
        <v>0</v>
      </c>
      <c r="BS399" s="3070" t="s">
        <v>3238</v>
      </c>
      <c r="BZ399" s="3073">
        <v>44242.684027777781</v>
      </c>
      <c r="CA399" s="3070">
        <v>4</v>
      </c>
      <c r="CD399" s="3070" t="s">
        <v>3239</v>
      </c>
      <c r="CF399" s="3070" t="s">
        <v>3091</v>
      </c>
      <c r="CH399" s="3070" t="s">
        <v>3240</v>
      </c>
      <c r="CI399" s="3070">
        <v>0</v>
      </c>
      <c r="CK399" s="3070" t="s">
        <v>3981</v>
      </c>
      <c r="CL399" s="3070" t="s">
        <v>3981</v>
      </c>
      <c r="CM399" s="3070">
        <v>1329065.1399999999</v>
      </c>
      <c r="CV399" s="3070" t="s">
        <v>3246</v>
      </c>
      <c r="CW399" s="3070" t="s">
        <v>6536</v>
      </c>
      <c r="CZ399" s="3070">
        <v>213894.57</v>
      </c>
      <c r="DA399" s="3070">
        <v>159426.93</v>
      </c>
      <c r="DB399" s="3070">
        <v>0</v>
      </c>
      <c r="DC399" s="3070">
        <v>0</v>
      </c>
      <c r="DD399" s="3070">
        <v>3290547602</v>
      </c>
      <c r="DE399" s="3070">
        <v>2764253109</v>
      </c>
      <c r="DF399" s="3070">
        <v>1464966739</v>
      </c>
      <c r="DG399" s="3070">
        <v>14938370</v>
      </c>
      <c r="DH399" s="3070">
        <v>1284348000</v>
      </c>
      <c r="DI399" s="3070">
        <v>1278128000</v>
      </c>
      <c r="DJ399" s="3070">
        <v>6220000</v>
      </c>
      <c r="DK399" s="3070">
        <v>0</v>
      </c>
      <c r="DL399" s="3070">
        <v>0</v>
      </c>
      <c r="DM399" s="3070">
        <v>25491817.620000001</v>
      </c>
      <c r="DN399" s="3070">
        <v>2764253109</v>
      </c>
      <c r="DP399" s="3070">
        <v>2764253109</v>
      </c>
    </row>
    <row r="400" spans="1:120">
      <c r="A400" s="3070">
        <v>399</v>
      </c>
      <c r="B400" s="3070" t="s">
        <v>3224</v>
      </c>
      <c r="C400" s="3070">
        <v>4</v>
      </c>
      <c r="D400" s="3070">
        <v>1</v>
      </c>
      <c r="E400" s="3070">
        <v>1803</v>
      </c>
      <c r="F400" s="3070" t="s">
        <v>6537</v>
      </c>
      <c r="G400" s="3070" t="s">
        <v>6538</v>
      </c>
      <c r="H400" s="3070">
        <v>1225614</v>
      </c>
      <c r="I400" s="3070">
        <v>1225614</v>
      </c>
      <c r="J400" s="3070">
        <v>132.99</v>
      </c>
      <c r="K400" s="3070">
        <v>100.87</v>
      </c>
      <c r="L400" s="3070">
        <v>0</v>
      </c>
      <c r="M400" s="3070">
        <v>0</v>
      </c>
      <c r="N400" s="3070">
        <v>15344.44</v>
      </c>
      <c r="O400" s="3070">
        <v>2040657</v>
      </c>
      <c r="P400" s="3070">
        <v>9215.84</v>
      </c>
      <c r="Q400" s="3070">
        <v>1225614</v>
      </c>
      <c r="R400" s="3070" t="s">
        <v>3227</v>
      </c>
      <c r="S400" s="3070" t="s">
        <v>6539</v>
      </c>
      <c r="T400" s="3070" t="s">
        <v>4158</v>
      </c>
      <c r="V400" s="3070" t="s">
        <v>3230</v>
      </c>
      <c r="Y400" s="3070">
        <v>612807</v>
      </c>
      <c r="Z400" s="3070">
        <v>612807</v>
      </c>
      <c r="AA400" s="3070">
        <v>1225614</v>
      </c>
      <c r="AB400" s="3070">
        <v>0</v>
      </c>
      <c r="AC400" s="3070">
        <v>0</v>
      </c>
      <c r="AD400" s="3070">
        <v>0</v>
      </c>
      <c r="AE400" s="3070">
        <v>0</v>
      </c>
      <c r="AI400" s="3070" t="s">
        <v>3227</v>
      </c>
      <c r="AJ400" s="3070">
        <v>0</v>
      </c>
      <c r="AK400" s="3070">
        <v>0</v>
      </c>
      <c r="AL400" s="3070">
        <v>0</v>
      </c>
      <c r="AM400" s="3070">
        <v>9215.84</v>
      </c>
      <c r="AN400" s="3070">
        <v>1225614</v>
      </c>
      <c r="AP400" s="3070">
        <v>1225614</v>
      </c>
      <c r="AQ400" s="3072">
        <v>45230</v>
      </c>
      <c r="AT400" s="3073">
        <v>45770</v>
      </c>
      <c r="AV400" s="3070" t="s">
        <v>6540</v>
      </c>
      <c r="AW400" s="3070" t="s">
        <v>6541</v>
      </c>
      <c r="AX400" s="3070" t="s">
        <v>6542</v>
      </c>
      <c r="AY400" s="3070" t="s">
        <v>4065</v>
      </c>
      <c r="BC400" s="3070" t="s">
        <v>6523</v>
      </c>
      <c r="BD400" s="3070" t="s">
        <v>3075</v>
      </c>
      <c r="BI400" s="3070" t="s">
        <v>3235</v>
      </c>
      <c r="BL400" s="3070" t="s">
        <v>6543</v>
      </c>
      <c r="BM400" s="3075">
        <v>44287</v>
      </c>
      <c r="BN400" s="3070">
        <v>-18</v>
      </c>
      <c r="BR400" s="3070">
        <v>0</v>
      </c>
      <c r="BS400" s="3070" t="s">
        <v>3238</v>
      </c>
      <c r="BV400" s="3070" t="s">
        <v>6544</v>
      </c>
      <c r="BW400" s="3070" t="s">
        <v>6545</v>
      </c>
      <c r="BX400" s="3070" t="s">
        <v>6546</v>
      </c>
      <c r="BZ400" s="3073">
        <v>44258.693055555559</v>
      </c>
      <c r="CA400" s="3070">
        <v>4</v>
      </c>
      <c r="CD400" s="3070" t="s">
        <v>3239</v>
      </c>
      <c r="CF400" s="3070" t="s">
        <v>3091</v>
      </c>
      <c r="CH400" s="3070" t="s">
        <v>3240</v>
      </c>
      <c r="CI400" s="3070">
        <v>0</v>
      </c>
      <c r="CK400" s="3070" t="s">
        <v>4138</v>
      </c>
      <c r="CL400" s="3070" t="s">
        <v>4065</v>
      </c>
      <c r="CM400" s="3070">
        <v>1124416.51</v>
      </c>
      <c r="CV400" s="3070" t="s">
        <v>3494</v>
      </c>
      <c r="CW400" s="3070" t="s">
        <v>6547</v>
      </c>
      <c r="CX400" s="3070" t="s">
        <v>3311</v>
      </c>
      <c r="CZ400" s="3070">
        <v>213894.57</v>
      </c>
      <c r="DA400" s="3070">
        <v>159426.93</v>
      </c>
      <c r="DB400" s="3070">
        <v>0</v>
      </c>
      <c r="DC400" s="3070">
        <v>0</v>
      </c>
      <c r="DD400" s="3070">
        <v>3290547602</v>
      </c>
      <c r="DE400" s="3070">
        <v>2764253109</v>
      </c>
      <c r="DF400" s="3070">
        <v>1464966739</v>
      </c>
      <c r="DG400" s="3070">
        <v>14938370</v>
      </c>
      <c r="DH400" s="3070">
        <v>1284348000</v>
      </c>
      <c r="DI400" s="3070">
        <v>1278128000</v>
      </c>
      <c r="DJ400" s="3070">
        <v>6220000</v>
      </c>
      <c r="DK400" s="3070">
        <v>0</v>
      </c>
      <c r="DL400" s="3070">
        <v>0</v>
      </c>
      <c r="DM400" s="3070">
        <v>25491817.620000001</v>
      </c>
      <c r="DN400" s="3070">
        <v>2764253109</v>
      </c>
      <c r="DP400" s="3070">
        <v>2764253109</v>
      </c>
    </row>
    <row r="401" spans="1:120">
      <c r="A401" s="3070">
        <v>400</v>
      </c>
      <c r="B401" s="3070" t="s">
        <v>3224</v>
      </c>
      <c r="C401" s="3070">
        <v>4</v>
      </c>
      <c r="D401" s="3070">
        <v>2</v>
      </c>
      <c r="E401" s="3070">
        <v>1804</v>
      </c>
      <c r="F401" s="3070" t="s">
        <v>6548</v>
      </c>
      <c r="G401" s="3070" t="s">
        <v>6549</v>
      </c>
      <c r="H401" s="3070">
        <v>1225614</v>
      </c>
      <c r="I401" s="3070">
        <v>1225614</v>
      </c>
      <c r="J401" s="3070">
        <v>132.99</v>
      </c>
      <c r="K401" s="3070">
        <v>100.87</v>
      </c>
      <c r="L401" s="3070">
        <v>0</v>
      </c>
      <c r="M401" s="3070">
        <v>0</v>
      </c>
      <c r="N401" s="3070">
        <v>15344.44</v>
      </c>
      <c r="O401" s="3070">
        <v>2040657</v>
      </c>
      <c r="P401" s="3070">
        <v>9215.84</v>
      </c>
      <c r="Q401" s="3070">
        <v>1225614</v>
      </c>
      <c r="R401" s="3070" t="s">
        <v>3227</v>
      </c>
      <c r="S401" s="3070" t="s">
        <v>6550</v>
      </c>
      <c r="T401" s="3070" t="s">
        <v>4158</v>
      </c>
      <c r="V401" s="3070" t="s">
        <v>3230</v>
      </c>
      <c r="Y401" s="3070">
        <v>612807</v>
      </c>
      <c r="Z401" s="3070">
        <v>612807</v>
      </c>
      <c r="AA401" s="3070">
        <v>1225614</v>
      </c>
      <c r="AB401" s="3070">
        <v>0</v>
      </c>
      <c r="AC401" s="3070">
        <v>0</v>
      </c>
      <c r="AD401" s="3070">
        <v>0</v>
      </c>
      <c r="AE401" s="3070">
        <v>0</v>
      </c>
      <c r="AI401" s="3070" t="s">
        <v>3227</v>
      </c>
      <c r="AJ401" s="3070">
        <v>0</v>
      </c>
      <c r="AK401" s="3070">
        <v>0</v>
      </c>
      <c r="AL401" s="3070">
        <v>0</v>
      </c>
      <c r="AM401" s="3070">
        <v>9215.84</v>
      </c>
      <c r="AN401" s="3070">
        <v>1225614</v>
      </c>
      <c r="AP401" s="3070">
        <v>1225614</v>
      </c>
      <c r="AQ401" s="3072">
        <v>45230</v>
      </c>
      <c r="AT401" s="3073">
        <v>45770</v>
      </c>
      <c r="AV401" s="3074">
        <v>3.21E+17</v>
      </c>
      <c r="AW401" s="3070" t="s">
        <v>6551</v>
      </c>
      <c r="AX401" s="3070" t="s">
        <v>6552</v>
      </c>
      <c r="AY401" s="3070" t="s">
        <v>4167</v>
      </c>
      <c r="BA401" s="3070" t="s">
        <v>4065</v>
      </c>
      <c r="BC401" s="3070" t="s">
        <v>6553</v>
      </c>
      <c r="BD401" s="3070" t="s">
        <v>3075</v>
      </c>
      <c r="BI401" s="3070" t="s">
        <v>3235</v>
      </c>
      <c r="BJ401" s="3070" t="s">
        <v>3296</v>
      </c>
      <c r="BL401" s="3070" t="s">
        <v>6554</v>
      </c>
      <c r="BM401" s="3075">
        <v>44288</v>
      </c>
      <c r="BN401" s="3070">
        <v>-18</v>
      </c>
      <c r="BR401" s="3070">
        <v>0</v>
      </c>
      <c r="BS401" s="3070" t="s">
        <v>3238</v>
      </c>
      <c r="BU401" s="3070" t="s">
        <v>4065</v>
      </c>
      <c r="BV401" s="3070" t="s">
        <v>6555</v>
      </c>
      <c r="BW401" s="3070" t="s">
        <v>6556</v>
      </c>
      <c r="BX401" s="3070" t="s">
        <v>6557</v>
      </c>
      <c r="BZ401" s="3073">
        <v>44267.368055555555</v>
      </c>
      <c r="CA401" s="3070">
        <v>4</v>
      </c>
      <c r="CD401" s="3070" t="s">
        <v>3239</v>
      </c>
      <c r="CF401" s="3070" t="s">
        <v>3091</v>
      </c>
      <c r="CH401" s="3070" t="s">
        <v>3240</v>
      </c>
      <c r="CI401" s="3070">
        <v>0</v>
      </c>
      <c r="CK401" s="3070" t="s">
        <v>4068</v>
      </c>
      <c r="CL401" s="3070" t="s">
        <v>4167</v>
      </c>
      <c r="CM401" s="3070">
        <v>1124416.51</v>
      </c>
      <c r="CV401" s="3070" t="s">
        <v>3494</v>
      </c>
      <c r="CW401" s="3070" t="s">
        <v>6558</v>
      </c>
      <c r="CX401" s="3070" t="s">
        <v>3510</v>
      </c>
      <c r="CZ401" s="3070">
        <v>213894.57</v>
      </c>
      <c r="DA401" s="3070">
        <v>159426.93</v>
      </c>
      <c r="DB401" s="3070">
        <v>0</v>
      </c>
      <c r="DC401" s="3070">
        <v>0</v>
      </c>
      <c r="DD401" s="3070">
        <v>3290547602</v>
      </c>
      <c r="DE401" s="3070">
        <v>2764253109</v>
      </c>
      <c r="DF401" s="3070">
        <v>1464966739</v>
      </c>
      <c r="DG401" s="3070">
        <v>14938370</v>
      </c>
      <c r="DH401" s="3070">
        <v>1284348000</v>
      </c>
      <c r="DI401" s="3070">
        <v>1278128000</v>
      </c>
      <c r="DJ401" s="3070">
        <v>6220000</v>
      </c>
      <c r="DK401" s="3070">
        <v>0</v>
      </c>
      <c r="DL401" s="3070">
        <v>0</v>
      </c>
      <c r="DM401" s="3070">
        <v>25491817.620000001</v>
      </c>
      <c r="DN401" s="3070">
        <v>2764253109</v>
      </c>
      <c r="DP401" s="3070">
        <v>2764253109</v>
      </c>
    </row>
    <row r="402" spans="1:120">
      <c r="A402" s="3070">
        <v>401</v>
      </c>
      <c r="B402" s="3070" t="s">
        <v>3224</v>
      </c>
      <c r="C402" s="3070">
        <v>4</v>
      </c>
      <c r="D402" s="3070">
        <v>2</v>
      </c>
      <c r="E402" s="3070">
        <v>1805</v>
      </c>
      <c r="F402" s="3070" t="s">
        <v>6559</v>
      </c>
      <c r="G402" s="3070" t="s">
        <v>6560</v>
      </c>
      <c r="H402" s="3070">
        <v>1448681</v>
      </c>
      <c r="I402" s="3070">
        <v>1448681</v>
      </c>
      <c r="J402" s="3070">
        <v>105.02</v>
      </c>
      <c r="K402" s="3070">
        <v>79.66</v>
      </c>
      <c r="L402" s="3070">
        <v>0</v>
      </c>
      <c r="M402" s="3070">
        <v>0</v>
      </c>
      <c r="N402" s="3070">
        <v>15644.44</v>
      </c>
      <c r="O402" s="3070">
        <v>1642979</v>
      </c>
      <c r="P402" s="3070">
        <v>13794.33</v>
      </c>
      <c r="Q402" s="3070">
        <v>1448681</v>
      </c>
      <c r="R402" s="3070" t="s">
        <v>3227</v>
      </c>
      <c r="S402" s="3070" t="s">
        <v>6561</v>
      </c>
      <c r="T402" s="3070" t="s">
        <v>3246</v>
      </c>
      <c r="U402" s="3070" t="s">
        <v>3381</v>
      </c>
      <c r="V402" s="3070" t="s">
        <v>3230</v>
      </c>
      <c r="Y402" s="3070">
        <v>448681</v>
      </c>
      <c r="Z402" s="3070">
        <v>448681</v>
      </c>
      <c r="AA402" s="3070">
        <v>448681</v>
      </c>
      <c r="AB402" s="3070">
        <v>0</v>
      </c>
      <c r="AC402" s="3070">
        <v>1000000</v>
      </c>
      <c r="AD402" s="3070">
        <v>1000000</v>
      </c>
      <c r="AE402" s="3070">
        <v>0</v>
      </c>
      <c r="AI402" s="3070" t="s">
        <v>3227</v>
      </c>
      <c r="AJ402" s="3070">
        <v>0</v>
      </c>
      <c r="AK402" s="3070">
        <v>0</v>
      </c>
      <c r="AL402" s="3070">
        <v>0</v>
      </c>
      <c r="AM402" s="3070">
        <v>13794.33</v>
      </c>
      <c r="AN402" s="3070">
        <v>1448681</v>
      </c>
      <c r="AP402" s="3070">
        <v>1448681</v>
      </c>
      <c r="AQ402" s="3072">
        <v>45230</v>
      </c>
      <c r="AT402" s="3073">
        <v>45770</v>
      </c>
      <c r="AV402" s="3074">
        <v>3.21E+17</v>
      </c>
      <c r="AW402" s="3070" t="s">
        <v>6562</v>
      </c>
      <c r="AX402" s="3070" t="s">
        <v>6563</v>
      </c>
      <c r="AY402" s="3070" t="s">
        <v>4100</v>
      </c>
      <c r="BC402" s="3070" t="s">
        <v>4175</v>
      </c>
      <c r="BD402" s="3070" t="s">
        <v>3077</v>
      </c>
      <c r="BI402" s="3070" t="s">
        <v>3235</v>
      </c>
      <c r="BJ402" s="3070" t="s">
        <v>3236</v>
      </c>
      <c r="BL402" s="3070" t="s">
        <v>6564</v>
      </c>
      <c r="BM402" s="3075">
        <v>44288</v>
      </c>
      <c r="BN402" s="3070">
        <v>-18</v>
      </c>
      <c r="BO402" s="3070" t="s">
        <v>3253</v>
      </c>
      <c r="BR402" s="3070">
        <v>0</v>
      </c>
      <c r="BS402" s="3070" t="s">
        <v>3238</v>
      </c>
      <c r="BZ402" s="3073">
        <v>44246.679166666669</v>
      </c>
      <c r="CA402" s="3070">
        <v>4</v>
      </c>
      <c r="CD402" s="3070" t="s">
        <v>3239</v>
      </c>
      <c r="CF402" s="3070" t="s">
        <v>3091</v>
      </c>
      <c r="CH402" s="3070" t="s">
        <v>3240</v>
      </c>
      <c r="CI402" s="3070">
        <v>0</v>
      </c>
      <c r="CK402" s="3070" t="s">
        <v>4100</v>
      </c>
      <c r="CL402" s="3070" t="s">
        <v>4100</v>
      </c>
      <c r="CM402" s="3070">
        <v>1329065.1399999999</v>
      </c>
      <c r="CV402" s="3070" t="s">
        <v>3246</v>
      </c>
      <c r="CW402" s="3070" t="s">
        <v>6565</v>
      </c>
      <c r="CX402" s="3070" t="s">
        <v>3510</v>
      </c>
      <c r="CZ402" s="3070">
        <v>213894.57</v>
      </c>
      <c r="DA402" s="3070">
        <v>159426.93</v>
      </c>
      <c r="DB402" s="3070">
        <v>0</v>
      </c>
      <c r="DC402" s="3070">
        <v>0</v>
      </c>
      <c r="DD402" s="3070">
        <v>3290547602</v>
      </c>
      <c r="DE402" s="3070">
        <v>2764253109</v>
      </c>
      <c r="DF402" s="3070">
        <v>1464966739</v>
      </c>
      <c r="DG402" s="3070">
        <v>14938370</v>
      </c>
      <c r="DH402" s="3070">
        <v>1284348000</v>
      </c>
      <c r="DI402" s="3070">
        <v>1278128000</v>
      </c>
      <c r="DJ402" s="3070">
        <v>6220000</v>
      </c>
      <c r="DK402" s="3070">
        <v>0</v>
      </c>
      <c r="DL402" s="3070">
        <v>0</v>
      </c>
      <c r="DM402" s="3070">
        <v>25491817.620000001</v>
      </c>
      <c r="DN402" s="3070">
        <v>2764253109</v>
      </c>
      <c r="DP402" s="3070">
        <v>2764253109</v>
      </c>
    </row>
    <row r="403" spans="1:120">
      <c r="A403" s="3070">
        <v>402</v>
      </c>
      <c r="B403" s="3070" t="s">
        <v>3224</v>
      </c>
      <c r="C403" s="3070">
        <v>4</v>
      </c>
      <c r="D403" s="3070">
        <v>2</v>
      </c>
      <c r="E403" s="3070">
        <v>1806</v>
      </c>
      <c r="F403" s="3070" t="s">
        <v>6566</v>
      </c>
      <c r="G403" s="3070" t="s">
        <v>6567</v>
      </c>
      <c r="H403" s="3070">
        <v>1238748</v>
      </c>
      <c r="I403" s="3070">
        <v>1238748</v>
      </c>
      <c r="J403" s="3070">
        <v>132.62</v>
      </c>
      <c r="K403" s="3070">
        <v>100.59</v>
      </c>
      <c r="L403" s="3070">
        <v>0</v>
      </c>
      <c r="M403" s="3070">
        <v>0</v>
      </c>
      <c r="N403" s="3070">
        <v>15544.44</v>
      </c>
      <c r="O403" s="3070">
        <v>2061504</v>
      </c>
      <c r="P403" s="3070">
        <v>9340.58</v>
      </c>
      <c r="Q403" s="3070">
        <v>1238748</v>
      </c>
      <c r="R403" s="3070" t="s">
        <v>3227</v>
      </c>
      <c r="S403" s="3070" t="s">
        <v>6568</v>
      </c>
      <c r="T403" s="3070" t="s">
        <v>4158</v>
      </c>
      <c r="V403" s="3070" t="s">
        <v>3230</v>
      </c>
      <c r="Y403" s="3070">
        <v>619374</v>
      </c>
      <c r="Z403" s="3070">
        <v>619374</v>
      </c>
      <c r="AA403" s="3070">
        <v>1238748</v>
      </c>
      <c r="AB403" s="3070">
        <v>0</v>
      </c>
      <c r="AC403" s="3070">
        <v>0</v>
      </c>
      <c r="AD403" s="3070">
        <v>0</v>
      </c>
      <c r="AE403" s="3070">
        <v>0</v>
      </c>
      <c r="AI403" s="3070" t="s">
        <v>3227</v>
      </c>
      <c r="AJ403" s="3070">
        <v>0</v>
      </c>
      <c r="AK403" s="3070">
        <v>0</v>
      </c>
      <c r="AL403" s="3070">
        <v>0</v>
      </c>
      <c r="AM403" s="3070">
        <v>9340.58</v>
      </c>
      <c r="AN403" s="3070">
        <v>1238748</v>
      </c>
      <c r="AP403" s="3070">
        <v>1238748</v>
      </c>
      <c r="AQ403" s="3072">
        <v>45230</v>
      </c>
      <c r="AT403" s="3073">
        <v>45770</v>
      </c>
      <c r="AV403" s="3070" t="s">
        <v>6569</v>
      </c>
      <c r="AW403" s="3070" t="s">
        <v>6570</v>
      </c>
      <c r="AX403" s="3070" t="s">
        <v>6571</v>
      </c>
      <c r="AY403" s="3070" t="s">
        <v>4065</v>
      </c>
      <c r="BC403" s="3070" t="s">
        <v>6553</v>
      </c>
      <c r="BD403" s="3070" t="s">
        <v>3075</v>
      </c>
      <c r="BI403" s="3070" t="s">
        <v>3235</v>
      </c>
      <c r="BJ403" s="3070" t="s">
        <v>3296</v>
      </c>
      <c r="BL403" s="3070" t="s">
        <v>6572</v>
      </c>
      <c r="BM403" s="3075">
        <v>44288</v>
      </c>
      <c r="BN403" s="3070">
        <v>-18</v>
      </c>
      <c r="BR403" s="3070">
        <v>0</v>
      </c>
      <c r="BS403" s="3070" t="s">
        <v>3238</v>
      </c>
      <c r="BV403" s="3070" t="s">
        <v>6573</v>
      </c>
      <c r="BW403" s="3070" t="s">
        <v>6574</v>
      </c>
      <c r="BX403" s="3070" t="s">
        <v>6575</v>
      </c>
      <c r="BZ403" s="3073">
        <v>44264.383333333331</v>
      </c>
      <c r="CA403" s="3070">
        <v>4</v>
      </c>
      <c r="CD403" s="3070" t="s">
        <v>3239</v>
      </c>
      <c r="CF403" s="3070" t="s">
        <v>3091</v>
      </c>
      <c r="CH403" s="3070" t="s">
        <v>3240</v>
      </c>
      <c r="CI403" s="3070">
        <v>0</v>
      </c>
      <c r="CK403" s="3070" t="s">
        <v>4167</v>
      </c>
      <c r="CL403" s="3070" t="s">
        <v>4065</v>
      </c>
      <c r="CM403" s="3070">
        <v>1136466.06</v>
      </c>
      <c r="CV403" s="3070" t="s">
        <v>3494</v>
      </c>
      <c r="CW403" s="3070" t="s">
        <v>6576</v>
      </c>
      <c r="CX403" s="3070" t="s">
        <v>3510</v>
      </c>
      <c r="CZ403" s="3070">
        <v>213894.57</v>
      </c>
      <c r="DA403" s="3070">
        <v>159426.93</v>
      </c>
      <c r="DB403" s="3070">
        <v>0</v>
      </c>
      <c r="DC403" s="3070">
        <v>0</v>
      </c>
      <c r="DD403" s="3070">
        <v>3290547602</v>
      </c>
      <c r="DE403" s="3070">
        <v>2764253109</v>
      </c>
      <c r="DF403" s="3070">
        <v>1464966739</v>
      </c>
      <c r="DG403" s="3070">
        <v>14938370</v>
      </c>
      <c r="DH403" s="3070">
        <v>1284348000</v>
      </c>
      <c r="DI403" s="3070">
        <v>1278128000</v>
      </c>
      <c r="DJ403" s="3070">
        <v>6220000</v>
      </c>
      <c r="DK403" s="3070">
        <v>0</v>
      </c>
      <c r="DL403" s="3070">
        <v>0</v>
      </c>
      <c r="DM403" s="3070">
        <v>25491817.620000001</v>
      </c>
      <c r="DN403" s="3070">
        <v>2764253109</v>
      </c>
      <c r="DP403" s="3070">
        <v>2764253109</v>
      </c>
    </row>
    <row r="404" spans="1:120">
      <c r="A404" s="3070">
        <v>403</v>
      </c>
      <c r="B404" s="3070" t="s">
        <v>3224</v>
      </c>
      <c r="C404" s="3070">
        <v>4</v>
      </c>
      <c r="D404" s="3070">
        <v>1</v>
      </c>
      <c r="E404" s="3070">
        <v>201</v>
      </c>
      <c r="F404" s="3070" t="s">
        <v>6577</v>
      </c>
      <c r="G404" s="3070" t="s">
        <v>6578</v>
      </c>
      <c r="H404" s="3070">
        <v>1771482</v>
      </c>
      <c r="I404" s="3070">
        <v>1771482</v>
      </c>
      <c r="J404" s="3070">
        <v>132.62</v>
      </c>
      <c r="K404" s="3070">
        <v>100.59</v>
      </c>
      <c r="L404" s="3070">
        <v>0</v>
      </c>
      <c r="M404" s="3070">
        <v>0</v>
      </c>
      <c r="N404" s="3070">
        <v>15344.44</v>
      </c>
      <c r="O404" s="3070">
        <v>2034980</v>
      </c>
      <c r="P404" s="3070">
        <v>13357.58</v>
      </c>
      <c r="Q404" s="3070">
        <v>1771482</v>
      </c>
      <c r="R404" s="3070" t="s">
        <v>3227</v>
      </c>
      <c r="S404" s="3070" t="s">
        <v>6579</v>
      </c>
      <c r="T404" s="3070" t="s">
        <v>3246</v>
      </c>
      <c r="U404" s="3070" t="s">
        <v>3279</v>
      </c>
      <c r="V404" s="3070" t="s">
        <v>3230</v>
      </c>
      <c r="Y404" s="3070">
        <v>531482</v>
      </c>
      <c r="Z404" s="3070">
        <v>531482</v>
      </c>
      <c r="AA404" s="3070">
        <v>531482</v>
      </c>
      <c r="AB404" s="3070">
        <v>0</v>
      </c>
      <c r="AC404" s="3070">
        <v>1240000</v>
      </c>
      <c r="AD404" s="3070">
        <v>1240000</v>
      </c>
      <c r="AE404" s="3070">
        <v>0</v>
      </c>
      <c r="AI404" s="3070" t="s">
        <v>3227</v>
      </c>
      <c r="AJ404" s="3070">
        <v>0</v>
      </c>
      <c r="AK404" s="3070">
        <v>0</v>
      </c>
      <c r="AL404" s="3070">
        <v>0</v>
      </c>
      <c r="AM404" s="3070">
        <v>13357.58</v>
      </c>
      <c r="AN404" s="3070">
        <v>1771482</v>
      </c>
      <c r="AP404" s="3070">
        <v>1771482</v>
      </c>
      <c r="AQ404" s="3072">
        <v>45230</v>
      </c>
      <c r="AT404" s="3073">
        <v>45770</v>
      </c>
      <c r="AV404" s="3074">
        <v>3.21E+17</v>
      </c>
      <c r="AW404" s="3070" t="s">
        <v>6580</v>
      </c>
      <c r="AX404" s="3070" t="s">
        <v>6581</v>
      </c>
      <c r="AY404" s="3070" t="s">
        <v>3587</v>
      </c>
      <c r="BC404" s="3070" t="s">
        <v>5886</v>
      </c>
      <c r="BD404" s="3070" t="s">
        <v>3075</v>
      </c>
      <c r="BI404" s="3070" t="s">
        <v>3295</v>
      </c>
      <c r="BJ404" s="3070" t="s">
        <v>3296</v>
      </c>
      <c r="BL404" s="3070" t="s">
        <v>6582</v>
      </c>
      <c r="BM404" s="3075">
        <v>44287</v>
      </c>
      <c r="BN404" s="3070">
        <v>-20</v>
      </c>
      <c r="BO404" s="3070" t="s">
        <v>3253</v>
      </c>
      <c r="BR404" s="3070">
        <v>0</v>
      </c>
      <c r="BS404" s="3070" t="s">
        <v>3238</v>
      </c>
      <c r="BZ404" s="3073">
        <v>44262.68472222222</v>
      </c>
      <c r="CA404" s="3070">
        <v>4</v>
      </c>
      <c r="CD404" s="3070" t="s">
        <v>3239</v>
      </c>
      <c r="CF404" s="3070" t="s">
        <v>3091</v>
      </c>
      <c r="CH404" s="3070" t="s">
        <v>3240</v>
      </c>
      <c r="CI404" s="3070">
        <v>0</v>
      </c>
      <c r="CK404" s="3070" t="s">
        <v>3587</v>
      </c>
      <c r="CL404" s="3070" t="s">
        <v>3587</v>
      </c>
      <c r="CM404" s="3070">
        <v>1625212.84</v>
      </c>
      <c r="CV404" s="3070" t="s">
        <v>3246</v>
      </c>
      <c r="CW404" s="3070" t="s">
        <v>6583</v>
      </c>
      <c r="CZ404" s="3070">
        <v>213894.57</v>
      </c>
      <c r="DA404" s="3070">
        <v>159426.93</v>
      </c>
      <c r="DB404" s="3070">
        <v>0</v>
      </c>
      <c r="DC404" s="3070">
        <v>0</v>
      </c>
      <c r="DD404" s="3070">
        <v>3290547602</v>
      </c>
      <c r="DE404" s="3070">
        <v>2764253109</v>
      </c>
      <c r="DF404" s="3070">
        <v>1464966739</v>
      </c>
      <c r="DG404" s="3070">
        <v>14938370</v>
      </c>
      <c r="DH404" s="3070">
        <v>1284348000</v>
      </c>
      <c r="DI404" s="3070">
        <v>1278128000</v>
      </c>
      <c r="DJ404" s="3070">
        <v>6220000</v>
      </c>
      <c r="DK404" s="3070">
        <v>0</v>
      </c>
      <c r="DL404" s="3070">
        <v>0</v>
      </c>
      <c r="DM404" s="3070">
        <v>25491817.620000001</v>
      </c>
      <c r="DN404" s="3070">
        <v>2764253109</v>
      </c>
      <c r="DP404" s="3070">
        <v>2764253109</v>
      </c>
    </row>
    <row r="405" spans="1:120">
      <c r="A405" s="3070">
        <v>404</v>
      </c>
      <c r="B405" s="3070" t="s">
        <v>3224</v>
      </c>
      <c r="C405" s="3070">
        <v>4</v>
      </c>
      <c r="D405" s="3070">
        <v>1</v>
      </c>
      <c r="E405" s="3070">
        <v>202</v>
      </c>
      <c r="F405" s="3070" t="s">
        <v>6584</v>
      </c>
      <c r="G405" s="3070" t="s">
        <v>6585</v>
      </c>
      <c r="H405" s="3070">
        <v>1311948</v>
      </c>
      <c r="I405" s="3070">
        <v>1311948</v>
      </c>
      <c r="J405" s="3070">
        <v>105.02</v>
      </c>
      <c r="K405" s="3070">
        <v>79.66</v>
      </c>
      <c r="L405" s="3070">
        <v>0</v>
      </c>
      <c r="M405" s="3070">
        <v>0</v>
      </c>
      <c r="N405" s="3070">
        <v>15494.44</v>
      </c>
      <c r="O405" s="3070">
        <v>1627226</v>
      </c>
      <c r="P405" s="3070">
        <v>12492.36</v>
      </c>
      <c r="Q405" s="3070">
        <v>1311948</v>
      </c>
      <c r="R405" s="3070" t="s">
        <v>3227</v>
      </c>
      <c r="S405" s="3070" t="s">
        <v>6586</v>
      </c>
      <c r="T405" s="3070" t="s">
        <v>3246</v>
      </c>
      <c r="U405" s="3070" t="s">
        <v>3259</v>
      </c>
      <c r="V405" s="3070" t="s">
        <v>3230</v>
      </c>
      <c r="Y405" s="3070">
        <v>531948</v>
      </c>
      <c r="Z405" s="3070">
        <v>531948</v>
      </c>
      <c r="AA405" s="3070">
        <v>531948</v>
      </c>
      <c r="AB405" s="3070">
        <v>0</v>
      </c>
      <c r="AC405" s="3070">
        <v>780000</v>
      </c>
      <c r="AD405" s="3070">
        <v>780000</v>
      </c>
      <c r="AE405" s="3070">
        <v>0</v>
      </c>
      <c r="AI405" s="3070" t="s">
        <v>3227</v>
      </c>
      <c r="AJ405" s="3070">
        <v>0</v>
      </c>
      <c r="AK405" s="3070">
        <v>0</v>
      </c>
      <c r="AL405" s="3070">
        <v>0</v>
      </c>
      <c r="AM405" s="3070">
        <v>12492.36</v>
      </c>
      <c r="AN405" s="3070">
        <v>1311948</v>
      </c>
      <c r="AP405" s="3070">
        <v>1311948</v>
      </c>
      <c r="AQ405" s="3072">
        <v>45230</v>
      </c>
      <c r="AT405" s="3073">
        <v>45770</v>
      </c>
      <c r="AV405" s="3070" t="s">
        <v>6587</v>
      </c>
      <c r="AW405" s="3070" t="s">
        <v>6588</v>
      </c>
      <c r="AX405" s="3070" t="s">
        <v>6589</v>
      </c>
      <c r="AY405" s="3070" t="s">
        <v>3892</v>
      </c>
      <c r="BC405" s="3070" t="s">
        <v>6590</v>
      </c>
      <c r="BD405" s="3070" t="s">
        <v>3077</v>
      </c>
      <c r="BI405" s="3070" t="s">
        <v>3235</v>
      </c>
      <c r="BL405" s="3070" t="s">
        <v>6591</v>
      </c>
      <c r="BM405" s="3075">
        <v>44287</v>
      </c>
      <c r="BN405" s="3070">
        <v>-20</v>
      </c>
      <c r="BO405" s="3070" t="s">
        <v>3253</v>
      </c>
      <c r="BR405" s="3070">
        <v>20</v>
      </c>
      <c r="BS405" s="3070" t="s">
        <v>3238</v>
      </c>
      <c r="BZ405" s="3073">
        <v>44202.789583333331</v>
      </c>
      <c r="CA405" s="3070">
        <v>4</v>
      </c>
      <c r="CD405" s="3070" t="s">
        <v>3239</v>
      </c>
      <c r="CF405" s="3070" t="s">
        <v>3091</v>
      </c>
      <c r="CH405" s="3070" t="s">
        <v>3240</v>
      </c>
      <c r="CI405" s="3070">
        <v>0</v>
      </c>
      <c r="CK405" s="3070" t="s">
        <v>3892</v>
      </c>
      <c r="CL405" s="3070" t="s">
        <v>4056</v>
      </c>
      <c r="CM405" s="3070">
        <v>1203622.01</v>
      </c>
      <c r="CV405" s="3070" t="s">
        <v>3246</v>
      </c>
      <c r="CW405" s="3070" t="s">
        <v>6592</v>
      </c>
      <c r="CX405" s="3070" t="s">
        <v>3267</v>
      </c>
      <c r="CZ405" s="3070">
        <v>213894.57</v>
      </c>
      <c r="DA405" s="3070">
        <v>159426.93</v>
      </c>
      <c r="DB405" s="3070">
        <v>0</v>
      </c>
      <c r="DC405" s="3070">
        <v>0</v>
      </c>
      <c r="DD405" s="3070">
        <v>3290547602</v>
      </c>
      <c r="DE405" s="3070">
        <v>2764253109</v>
      </c>
      <c r="DF405" s="3070">
        <v>1464966739</v>
      </c>
      <c r="DG405" s="3070">
        <v>14938370</v>
      </c>
      <c r="DH405" s="3070">
        <v>1284348000</v>
      </c>
      <c r="DI405" s="3070">
        <v>1278128000</v>
      </c>
      <c r="DJ405" s="3070">
        <v>6220000</v>
      </c>
      <c r="DK405" s="3070">
        <v>0</v>
      </c>
      <c r="DL405" s="3070">
        <v>0</v>
      </c>
      <c r="DM405" s="3070">
        <v>25491817.620000001</v>
      </c>
      <c r="DN405" s="3070">
        <v>2764253109</v>
      </c>
      <c r="DP405" s="3070">
        <v>2764253109</v>
      </c>
    </row>
    <row r="406" spans="1:120">
      <c r="A406" s="3070">
        <v>405</v>
      </c>
      <c r="B406" s="3070" t="s">
        <v>3224</v>
      </c>
      <c r="C406" s="3070">
        <v>4</v>
      </c>
      <c r="D406" s="3070">
        <v>1</v>
      </c>
      <c r="E406" s="3070">
        <v>203</v>
      </c>
      <c r="F406" s="3070" t="s">
        <v>6593</v>
      </c>
      <c r="G406" s="3070" t="s">
        <v>6594</v>
      </c>
      <c r="H406" s="3070">
        <v>1758638</v>
      </c>
      <c r="I406" s="3070">
        <v>1758638</v>
      </c>
      <c r="J406" s="3070">
        <v>132.99</v>
      </c>
      <c r="K406" s="3070">
        <v>100.87</v>
      </c>
      <c r="L406" s="3070">
        <v>0</v>
      </c>
      <c r="M406" s="3070">
        <v>0</v>
      </c>
      <c r="N406" s="3070">
        <v>15194.44</v>
      </c>
      <c r="O406" s="3070">
        <v>2020709</v>
      </c>
      <c r="P406" s="3070">
        <v>13223.84</v>
      </c>
      <c r="Q406" s="3070">
        <v>1758638</v>
      </c>
      <c r="R406" s="3070" t="s">
        <v>3227</v>
      </c>
      <c r="S406" s="3070" t="s">
        <v>6595</v>
      </c>
      <c r="T406" s="3070" t="s">
        <v>3246</v>
      </c>
      <c r="U406" s="3070" t="s">
        <v>3247</v>
      </c>
      <c r="V406" s="3070" t="s">
        <v>3230</v>
      </c>
      <c r="Y406" s="3070">
        <v>558638</v>
      </c>
      <c r="Z406" s="3070">
        <v>558638</v>
      </c>
      <c r="AA406" s="3070">
        <v>558638</v>
      </c>
      <c r="AB406" s="3070">
        <v>0</v>
      </c>
      <c r="AC406" s="3070">
        <v>1200000</v>
      </c>
      <c r="AD406" s="3070">
        <v>1200000</v>
      </c>
      <c r="AE406" s="3070">
        <v>0</v>
      </c>
      <c r="AI406" s="3070" t="s">
        <v>3227</v>
      </c>
      <c r="AJ406" s="3070">
        <v>0</v>
      </c>
      <c r="AK406" s="3070">
        <v>0</v>
      </c>
      <c r="AL406" s="3070">
        <v>0</v>
      </c>
      <c r="AM406" s="3070">
        <v>13223.84</v>
      </c>
      <c r="AN406" s="3070">
        <v>1758638</v>
      </c>
      <c r="AP406" s="3070">
        <v>1758638</v>
      </c>
      <c r="AQ406" s="3072">
        <v>45230</v>
      </c>
      <c r="AT406" s="3073">
        <v>45770</v>
      </c>
      <c r="AV406" s="3070" t="s">
        <v>6596</v>
      </c>
      <c r="AW406" s="3070" t="s">
        <v>6597</v>
      </c>
      <c r="AX406" s="3070" t="s">
        <v>6598</v>
      </c>
      <c r="AY406" s="3070" t="s">
        <v>4019</v>
      </c>
      <c r="BC406" s="3070" t="s">
        <v>5841</v>
      </c>
      <c r="BD406" s="3070" t="s">
        <v>3075</v>
      </c>
      <c r="BI406" s="3070" t="s">
        <v>3235</v>
      </c>
      <c r="BJ406" s="3070" t="s">
        <v>3236</v>
      </c>
      <c r="BL406" s="3070" t="s">
        <v>6599</v>
      </c>
      <c r="BM406" s="3075">
        <v>44287</v>
      </c>
      <c r="BN406" s="3070">
        <v>-20</v>
      </c>
      <c r="BO406" s="3070" t="s">
        <v>3253</v>
      </c>
      <c r="BR406" s="3070">
        <v>0</v>
      </c>
      <c r="BS406" s="3070" t="s">
        <v>3238</v>
      </c>
      <c r="BV406" s="3070" t="s">
        <v>6600</v>
      </c>
      <c r="BW406" s="3070" t="s">
        <v>6601</v>
      </c>
      <c r="BX406" s="3070" t="s">
        <v>6602</v>
      </c>
      <c r="BZ406" s="3073">
        <v>44259.668749999997</v>
      </c>
      <c r="CA406" s="3070">
        <v>4</v>
      </c>
      <c r="CD406" s="3070" t="s">
        <v>3239</v>
      </c>
      <c r="CF406" s="3070" t="s">
        <v>3091</v>
      </c>
      <c r="CH406" s="3070" t="s">
        <v>3240</v>
      </c>
      <c r="CI406" s="3070">
        <v>0</v>
      </c>
      <c r="CK406" s="3070" t="s">
        <v>4138</v>
      </c>
      <c r="CL406" s="3070" t="s">
        <v>4019</v>
      </c>
      <c r="CM406" s="3070">
        <v>1613429.35</v>
      </c>
      <c r="CV406" s="3070" t="s">
        <v>3246</v>
      </c>
      <c r="CW406" s="3070" t="s">
        <v>6603</v>
      </c>
      <c r="CX406" s="3070" t="s">
        <v>3311</v>
      </c>
      <c r="CZ406" s="3070">
        <v>213894.57</v>
      </c>
      <c r="DA406" s="3070">
        <v>159426.93</v>
      </c>
      <c r="DB406" s="3070">
        <v>0</v>
      </c>
      <c r="DC406" s="3070">
        <v>0</v>
      </c>
      <c r="DD406" s="3070">
        <v>3290547602</v>
      </c>
      <c r="DE406" s="3070">
        <v>2764253109</v>
      </c>
      <c r="DF406" s="3070">
        <v>1464966739</v>
      </c>
      <c r="DG406" s="3070">
        <v>14938370</v>
      </c>
      <c r="DH406" s="3070">
        <v>1284348000</v>
      </c>
      <c r="DI406" s="3070">
        <v>1278128000</v>
      </c>
      <c r="DJ406" s="3070">
        <v>6220000</v>
      </c>
      <c r="DK406" s="3070">
        <v>0</v>
      </c>
      <c r="DL406" s="3070">
        <v>0</v>
      </c>
      <c r="DM406" s="3070">
        <v>25491817.620000001</v>
      </c>
      <c r="DN406" s="3070">
        <v>2764253109</v>
      </c>
      <c r="DP406" s="3070">
        <v>2764253109</v>
      </c>
    </row>
    <row r="407" spans="1:120">
      <c r="A407" s="3070">
        <v>406</v>
      </c>
      <c r="B407" s="3070" t="s">
        <v>3224</v>
      </c>
      <c r="C407" s="3070">
        <v>4</v>
      </c>
      <c r="D407" s="3070">
        <v>2</v>
      </c>
      <c r="E407" s="3070">
        <v>204</v>
      </c>
      <c r="F407" s="3070" t="s">
        <v>6604</v>
      </c>
      <c r="G407" s="3070" t="s">
        <v>6605</v>
      </c>
      <c r="H407" s="3070">
        <v>1449470</v>
      </c>
      <c r="I407" s="3070">
        <v>1449470</v>
      </c>
      <c r="J407" s="3070">
        <v>132.99</v>
      </c>
      <c r="K407" s="3070">
        <v>100.87</v>
      </c>
      <c r="L407" s="3070">
        <v>0</v>
      </c>
      <c r="M407" s="3070">
        <v>0</v>
      </c>
      <c r="N407" s="3070">
        <v>15194.44</v>
      </c>
      <c r="O407" s="3070">
        <v>2020709</v>
      </c>
      <c r="P407" s="3070">
        <v>10899.09</v>
      </c>
      <c r="Q407" s="3070">
        <v>1449470</v>
      </c>
      <c r="R407" s="3070" t="s">
        <v>3227</v>
      </c>
      <c r="S407" s="3070" t="s">
        <v>6606</v>
      </c>
      <c r="T407" s="3070" t="s">
        <v>4158</v>
      </c>
      <c r="V407" s="3070" t="s">
        <v>3230</v>
      </c>
      <c r="Y407" s="3070">
        <v>724735</v>
      </c>
      <c r="Z407" s="3070">
        <v>724735</v>
      </c>
      <c r="AA407" s="3070">
        <v>1449470</v>
      </c>
      <c r="AB407" s="3070">
        <v>0</v>
      </c>
      <c r="AC407" s="3070">
        <v>0</v>
      </c>
      <c r="AD407" s="3070">
        <v>0</v>
      </c>
      <c r="AE407" s="3070">
        <v>0</v>
      </c>
      <c r="AI407" s="3070" t="s">
        <v>3227</v>
      </c>
      <c r="AJ407" s="3070">
        <v>0</v>
      </c>
      <c r="AK407" s="3070">
        <v>0</v>
      </c>
      <c r="AL407" s="3070">
        <v>0</v>
      </c>
      <c r="AM407" s="3070">
        <v>10899.09</v>
      </c>
      <c r="AN407" s="3070">
        <v>1449470</v>
      </c>
      <c r="AP407" s="3070">
        <v>1449470</v>
      </c>
      <c r="AQ407" s="3072">
        <v>45230</v>
      </c>
      <c r="AT407" s="3073">
        <v>45770</v>
      </c>
      <c r="AV407" s="3074">
        <v>3.21E+17</v>
      </c>
      <c r="AW407" s="3070" t="s">
        <v>6607</v>
      </c>
      <c r="AX407" s="3070" t="s">
        <v>6608</v>
      </c>
      <c r="AY407" s="3070" t="s">
        <v>4265</v>
      </c>
      <c r="BC407" s="3070" t="s">
        <v>6609</v>
      </c>
      <c r="BD407" s="3070" t="s">
        <v>3075</v>
      </c>
      <c r="BI407" s="3070" t="s">
        <v>3235</v>
      </c>
      <c r="BJ407" s="3070" t="s">
        <v>6610</v>
      </c>
      <c r="BL407" s="3070" t="s">
        <v>6611</v>
      </c>
      <c r="BM407" s="3075">
        <v>44288</v>
      </c>
      <c r="BN407" s="3070">
        <v>-20</v>
      </c>
      <c r="BR407" s="3070">
        <v>0</v>
      </c>
      <c r="BS407" s="3070" t="s">
        <v>3238</v>
      </c>
      <c r="BV407" s="3070" t="s">
        <v>6612</v>
      </c>
      <c r="BW407" s="3070" t="s">
        <v>6613</v>
      </c>
      <c r="BX407" s="3070" t="s">
        <v>6614</v>
      </c>
      <c r="BZ407" s="3073">
        <v>44273.761111111111</v>
      </c>
      <c r="CA407" s="3070">
        <v>4</v>
      </c>
      <c r="CD407" s="3070" t="s">
        <v>3239</v>
      </c>
      <c r="CF407" s="3070" t="s">
        <v>3091</v>
      </c>
      <c r="CH407" s="3070" t="s">
        <v>3240</v>
      </c>
      <c r="CI407" s="3070">
        <v>0</v>
      </c>
      <c r="CK407" s="3070" t="s">
        <v>4265</v>
      </c>
      <c r="CL407" s="3070" t="s">
        <v>4265</v>
      </c>
      <c r="CM407" s="3070">
        <v>1329788.99</v>
      </c>
      <c r="CV407" s="3070" t="s">
        <v>3494</v>
      </c>
      <c r="CW407" s="3070" t="s">
        <v>6615</v>
      </c>
      <c r="CX407" s="3070" t="s">
        <v>3242</v>
      </c>
      <c r="CZ407" s="3070">
        <v>213894.57</v>
      </c>
      <c r="DA407" s="3070">
        <v>159426.93</v>
      </c>
      <c r="DB407" s="3070">
        <v>0</v>
      </c>
      <c r="DC407" s="3070">
        <v>0</v>
      </c>
      <c r="DD407" s="3070">
        <v>3290547602</v>
      </c>
      <c r="DE407" s="3070">
        <v>2764253109</v>
      </c>
      <c r="DF407" s="3070">
        <v>1464966739</v>
      </c>
      <c r="DG407" s="3070">
        <v>14938370</v>
      </c>
      <c r="DH407" s="3070">
        <v>1284348000</v>
      </c>
      <c r="DI407" s="3070">
        <v>1278128000</v>
      </c>
      <c r="DJ407" s="3070">
        <v>6220000</v>
      </c>
      <c r="DK407" s="3070">
        <v>0</v>
      </c>
      <c r="DL407" s="3070">
        <v>0</v>
      </c>
      <c r="DM407" s="3070">
        <v>25491817.620000001</v>
      </c>
      <c r="DN407" s="3070">
        <v>2764253109</v>
      </c>
      <c r="DP407" s="3070">
        <v>2764253109</v>
      </c>
    </row>
    <row r="408" spans="1:120">
      <c r="A408" s="3070">
        <v>407</v>
      </c>
      <c r="B408" s="3070" t="s">
        <v>3224</v>
      </c>
      <c r="C408" s="3070">
        <v>4</v>
      </c>
      <c r="D408" s="3070">
        <v>2</v>
      </c>
      <c r="E408" s="3070">
        <v>205</v>
      </c>
      <c r="F408" s="3070" t="s">
        <v>6616</v>
      </c>
      <c r="G408" s="3070" t="s">
        <v>6617</v>
      </c>
      <c r="H408" s="3070">
        <v>1369236</v>
      </c>
      <c r="I408" s="3070">
        <v>1369236</v>
      </c>
      <c r="J408" s="3070">
        <v>105.02</v>
      </c>
      <c r="K408" s="3070">
        <v>79.66</v>
      </c>
      <c r="L408" s="3070">
        <v>0</v>
      </c>
      <c r="M408" s="3070">
        <v>0</v>
      </c>
      <c r="N408" s="3070">
        <v>15494.44</v>
      </c>
      <c r="O408" s="3070">
        <v>1627226</v>
      </c>
      <c r="P408" s="3070">
        <v>13037.86</v>
      </c>
      <c r="Q408" s="3070">
        <v>1369236</v>
      </c>
      <c r="R408" s="3070" t="s">
        <v>3227</v>
      </c>
      <c r="S408" s="3070" t="s">
        <v>6618</v>
      </c>
      <c r="T408" s="3070" t="s">
        <v>3258</v>
      </c>
      <c r="U408" s="3070" t="s">
        <v>3259</v>
      </c>
      <c r="V408" s="3070" t="s">
        <v>3230</v>
      </c>
      <c r="Y408" s="3070">
        <v>419236</v>
      </c>
      <c r="Z408" s="3070">
        <v>419236</v>
      </c>
      <c r="AA408" s="3070">
        <v>419236</v>
      </c>
      <c r="AB408" s="3070">
        <v>0</v>
      </c>
      <c r="AC408" s="3070">
        <v>950000</v>
      </c>
      <c r="AD408" s="3070">
        <v>950000</v>
      </c>
      <c r="AE408" s="3070">
        <v>0</v>
      </c>
      <c r="AI408" s="3070" t="s">
        <v>3227</v>
      </c>
      <c r="AJ408" s="3070">
        <v>0</v>
      </c>
      <c r="AK408" s="3070">
        <v>0</v>
      </c>
      <c r="AL408" s="3070">
        <v>0</v>
      </c>
      <c r="AM408" s="3070">
        <v>13037.86</v>
      </c>
      <c r="AN408" s="3070">
        <v>1369236</v>
      </c>
      <c r="AP408" s="3070">
        <v>1369236</v>
      </c>
      <c r="AQ408" s="3072">
        <v>45230</v>
      </c>
      <c r="AT408" s="3073">
        <v>45770</v>
      </c>
      <c r="AV408" s="3070" t="s">
        <v>6619</v>
      </c>
      <c r="AW408" s="3070" t="s">
        <v>6620</v>
      </c>
      <c r="AX408" s="3070" t="s">
        <v>6621</v>
      </c>
      <c r="AY408" s="3070" t="s">
        <v>3892</v>
      </c>
      <c r="BA408" s="3070" t="s">
        <v>4056</v>
      </c>
      <c r="BC408" s="3070" t="s">
        <v>6622</v>
      </c>
      <c r="BD408" s="3070" t="s">
        <v>3077</v>
      </c>
      <c r="BI408" s="3070" t="s">
        <v>3235</v>
      </c>
      <c r="BL408" s="3070" t="s">
        <v>6623</v>
      </c>
      <c r="BM408" s="3075">
        <v>44288</v>
      </c>
      <c r="BN408" s="3070">
        <v>-20</v>
      </c>
      <c r="BO408" s="3070" t="s">
        <v>3253</v>
      </c>
      <c r="BP408" s="3070" t="s">
        <v>3253</v>
      </c>
      <c r="BR408" s="3070">
        <v>20</v>
      </c>
      <c r="BS408" s="3070" t="s">
        <v>3238</v>
      </c>
      <c r="BU408" s="3070" t="s">
        <v>4056</v>
      </c>
      <c r="BZ408" s="3073">
        <v>44213.599305555559</v>
      </c>
      <c r="CA408" s="3070">
        <v>4</v>
      </c>
      <c r="CD408" s="3070" t="s">
        <v>3239</v>
      </c>
      <c r="CF408" s="3070" t="s">
        <v>3091</v>
      </c>
      <c r="CH408" s="3070" t="s">
        <v>3240</v>
      </c>
      <c r="CI408" s="3070">
        <v>0</v>
      </c>
      <c r="CJ408" s="3070" t="s">
        <v>3259</v>
      </c>
      <c r="CK408" s="3070" t="s">
        <v>4056</v>
      </c>
      <c r="CL408" s="3070" t="s">
        <v>4056</v>
      </c>
      <c r="CM408" s="3070">
        <v>1256179.82</v>
      </c>
      <c r="CV408" s="3070" t="s">
        <v>3258</v>
      </c>
      <c r="CW408" s="3070" t="s">
        <v>6624</v>
      </c>
      <c r="CZ408" s="3070">
        <v>213894.57</v>
      </c>
      <c r="DA408" s="3070">
        <v>159426.93</v>
      </c>
      <c r="DB408" s="3070">
        <v>0</v>
      </c>
      <c r="DC408" s="3070">
        <v>0</v>
      </c>
      <c r="DD408" s="3070">
        <v>3290547602</v>
      </c>
      <c r="DE408" s="3070">
        <v>2764253109</v>
      </c>
      <c r="DF408" s="3070">
        <v>1464966739</v>
      </c>
      <c r="DG408" s="3070">
        <v>14938370</v>
      </c>
      <c r="DH408" s="3070">
        <v>1284348000</v>
      </c>
      <c r="DI408" s="3070">
        <v>1278128000</v>
      </c>
      <c r="DJ408" s="3070">
        <v>6220000</v>
      </c>
      <c r="DK408" s="3070">
        <v>0</v>
      </c>
      <c r="DL408" s="3070">
        <v>0</v>
      </c>
      <c r="DM408" s="3070">
        <v>25491817.620000001</v>
      </c>
      <c r="DN408" s="3070">
        <v>2764253109</v>
      </c>
      <c r="DP408" s="3070">
        <v>2764253109</v>
      </c>
    </row>
    <row r="409" spans="1:120">
      <c r="A409" s="3070">
        <v>408</v>
      </c>
      <c r="B409" s="3070" t="s">
        <v>3224</v>
      </c>
      <c r="C409" s="3070">
        <v>4</v>
      </c>
      <c r="D409" s="3070">
        <v>2</v>
      </c>
      <c r="E409" s="3070">
        <v>206</v>
      </c>
      <c r="F409" s="3070" t="s">
        <v>6625</v>
      </c>
      <c r="G409" s="3070" t="s">
        <v>6626</v>
      </c>
      <c r="H409" s="3070">
        <v>1777450</v>
      </c>
      <c r="I409" s="3070">
        <v>1777450</v>
      </c>
      <c r="J409" s="3070">
        <v>132.62</v>
      </c>
      <c r="K409" s="3070">
        <v>100.59</v>
      </c>
      <c r="L409" s="3070">
        <v>0</v>
      </c>
      <c r="M409" s="3070">
        <v>0</v>
      </c>
      <c r="N409" s="3070">
        <v>15394.44</v>
      </c>
      <c r="O409" s="3070">
        <v>2041611</v>
      </c>
      <c r="P409" s="3070">
        <v>13402.58</v>
      </c>
      <c r="Q409" s="3070">
        <v>1777450</v>
      </c>
      <c r="R409" s="3070" t="s">
        <v>3227</v>
      </c>
      <c r="S409" s="3070" t="s">
        <v>6627</v>
      </c>
      <c r="T409" s="3070" t="s">
        <v>4061</v>
      </c>
      <c r="V409" s="3070" t="s">
        <v>3230</v>
      </c>
      <c r="Y409" s="3070">
        <v>177745</v>
      </c>
      <c r="Z409" s="3070">
        <v>177745</v>
      </c>
      <c r="AA409" s="3070">
        <v>1777450</v>
      </c>
      <c r="AB409" s="3070">
        <v>0</v>
      </c>
      <c r="AC409" s="3070">
        <v>0</v>
      </c>
      <c r="AD409" s="3070">
        <v>0</v>
      </c>
      <c r="AE409" s="3070">
        <v>0</v>
      </c>
      <c r="AI409" s="3070" t="s">
        <v>3227</v>
      </c>
      <c r="AJ409" s="3070">
        <v>0</v>
      </c>
      <c r="AK409" s="3070">
        <v>0</v>
      </c>
      <c r="AL409" s="3070">
        <v>0</v>
      </c>
      <c r="AM409" s="3070">
        <v>13402.58</v>
      </c>
      <c r="AN409" s="3070">
        <v>1777450</v>
      </c>
      <c r="AP409" s="3070">
        <v>1777450</v>
      </c>
      <c r="AQ409" s="3072">
        <v>45230</v>
      </c>
      <c r="AT409" s="3073">
        <v>45770</v>
      </c>
      <c r="AV409" s="3074">
        <v>3.21E+17</v>
      </c>
      <c r="AW409" s="3070" t="s">
        <v>6628</v>
      </c>
      <c r="AX409" s="3070" t="s">
        <v>6629</v>
      </c>
      <c r="AY409" s="3070" t="s">
        <v>4065</v>
      </c>
      <c r="BC409" s="3070" t="s">
        <v>6630</v>
      </c>
      <c r="BD409" s="3070" t="s">
        <v>3075</v>
      </c>
      <c r="BI409" s="3070" t="s">
        <v>3235</v>
      </c>
      <c r="BL409" s="3070" t="s">
        <v>6631</v>
      </c>
      <c r="BM409" s="3075">
        <v>44288</v>
      </c>
      <c r="BN409" s="3070">
        <v>-20</v>
      </c>
      <c r="BR409" s="3070">
        <v>0</v>
      </c>
      <c r="BS409" s="3070" t="s">
        <v>3238</v>
      </c>
      <c r="BV409" s="3070" t="s">
        <v>6632</v>
      </c>
      <c r="BZ409" s="3073">
        <v>44260.73333333333</v>
      </c>
      <c r="CA409" s="3070">
        <v>4</v>
      </c>
      <c r="CD409" s="3070" t="s">
        <v>3239</v>
      </c>
      <c r="CF409" s="3070" t="s">
        <v>3091</v>
      </c>
      <c r="CH409" s="3070" t="s">
        <v>3240</v>
      </c>
      <c r="CI409" s="3070">
        <v>0</v>
      </c>
      <c r="CK409" s="3070" t="s">
        <v>4068</v>
      </c>
      <c r="CL409" s="3070" t="s">
        <v>4065</v>
      </c>
      <c r="CM409" s="3070">
        <v>1630688.07</v>
      </c>
      <c r="CV409" s="3070" t="s">
        <v>3494</v>
      </c>
      <c r="CW409" s="3070" t="s">
        <v>6633</v>
      </c>
      <c r="CX409" s="3070" t="s">
        <v>3311</v>
      </c>
      <c r="CZ409" s="3070">
        <v>213894.57</v>
      </c>
      <c r="DA409" s="3070">
        <v>159426.93</v>
      </c>
      <c r="DB409" s="3070">
        <v>0</v>
      </c>
      <c r="DC409" s="3070">
        <v>0</v>
      </c>
      <c r="DD409" s="3070">
        <v>3290547602</v>
      </c>
      <c r="DE409" s="3070">
        <v>2764253109</v>
      </c>
      <c r="DF409" s="3070">
        <v>1464966739</v>
      </c>
      <c r="DG409" s="3070">
        <v>14938370</v>
      </c>
      <c r="DH409" s="3070">
        <v>1284348000</v>
      </c>
      <c r="DI409" s="3070">
        <v>1278128000</v>
      </c>
      <c r="DJ409" s="3070">
        <v>6220000</v>
      </c>
      <c r="DK409" s="3070">
        <v>0</v>
      </c>
      <c r="DL409" s="3070">
        <v>0</v>
      </c>
      <c r="DM409" s="3070">
        <v>25491817.620000001</v>
      </c>
      <c r="DN409" s="3070">
        <v>2764253109</v>
      </c>
      <c r="DP409" s="3070">
        <v>2764253109</v>
      </c>
    </row>
    <row r="410" spans="1:120">
      <c r="A410" s="3070">
        <v>409</v>
      </c>
      <c r="B410" s="3070" t="s">
        <v>3224</v>
      </c>
      <c r="C410" s="3070">
        <v>4</v>
      </c>
      <c r="D410" s="3070">
        <v>1</v>
      </c>
      <c r="E410" s="3070">
        <v>301</v>
      </c>
      <c r="F410" s="3070" t="s">
        <v>6634</v>
      </c>
      <c r="G410" s="3070" t="s">
        <v>6635</v>
      </c>
      <c r="H410" s="3070">
        <v>1659441</v>
      </c>
      <c r="I410" s="3070">
        <v>1659441</v>
      </c>
      <c r="J410" s="3070">
        <v>132.62</v>
      </c>
      <c r="K410" s="3070">
        <v>100.59</v>
      </c>
      <c r="L410" s="3070">
        <v>0</v>
      </c>
      <c r="M410" s="3070">
        <v>0</v>
      </c>
      <c r="N410" s="3070">
        <v>15444.44</v>
      </c>
      <c r="O410" s="3070">
        <v>2048242</v>
      </c>
      <c r="P410" s="3070">
        <v>12512.75</v>
      </c>
      <c r="Q410" s="3070">
        <v>1659441</v>
      </c>
      <c r="R410" s="3070" t="s">
        <v>3227</v>
      </c>
      <c r="S410" s="3070" t="s">
        <v>6636</v>
      </c>
      <c r="T410" s="3070" t="s">
        <v>3246</v>
      </c>
      <c r="U410" s="3070" t="s">
        <v>3279</v>
      </c>
      <c r="V410" s="3070" t="s">
        <v>3230</v>
      </c>
      <c r="Y410" s="3070">
        <v>669441</v>
      </c>
      <c r="Z410" s="3070">
        <v>669441</v>
      </c>
      <c r="AA410" s="3070">
        <v>669441</v>
      </c>
      <c r="AB410" s="3070">
        <v>0</v>
      </c>
      <c r="AC410" s="3070">
        <v>990000</v>
      </c>
      <c r="AD410" s="3070">
        <v>990000</v>
      </c>
      <c r="AE410" s="3070">
        <v>0</v>
      </c>
      <c r="AI410" s="3070" t="s">
        <v>3227</v>
      </c>
      <c r="AJ410" s="3070">
        <v>0</v>
      </c>
      <c r="AK410" s="3070">
        <v>0</v>
      </c>
      <c r="AL410" s="3070">
        <v>0</v>
      </c>
      <c r="AM410" s="3070">
        <v>12512.75</v>
      </c>
      <c r="AN410" s="3070">
        <v>1659441</v>
      </c>
      <c r="AP410" s="3070">
        <v>1659441</v>
      </c>
      <c r="AQ410" s="3072">
        <v>45230</v>
      </c>
      <c r="AT410" s="3073">
        <v>45770</v>
      </c>
      <c r="AV410" s="3074">
        <v>3.21E+17</v>
      </c>
      <c r="AW410" s="3070" t="s">
        <v>6637</v>
      </c>
      <c r="AX410" s="3070" t="s">
        <v>6638</v>
      </c>
      <c r="AY410" s="3070" t="s">
        <v>3375</v>
      </c>
      <c r="BC410" s="3070" t="s">
        <v>3284</v>
      </c>
      <c r="BD410" s="3070" t="s">
        <v>3075</v>
      </c>
      <c r="BI410" s="3070" t="s">
        <v>3235</v>
      </c>
      <c r="BJ410" s="3070" t="s">
        <v>3338</v>
      </c>
      <c r="BL410" s="3070" t="s">
        <v>6639</v>
      </c>
      <c r="BM410" s="3075">
        <v>44287</v>
      </c>
      <c r="BN410" s="3070">
        <v>-30</v>
      </c>
      <c r="BO410" s="3070" t="s">
        <v>3253</v>
      </c>
      <c r="BR410" s="3070">
        <v>0</v>
      </c>
      <c r="BS410" s="3070" t="s">
        <v>3238</v>
      </c>
      <c r="BZ410" s="3073">
        <v>44153.883333333331</v>
      </c>
      <c r="CA410" s="3070">
        <v>4</v>
      </c>
      <c r="CD410" s="3070" t="s">
        <v>3239</v>
      </c>
      <c r="CF410" s="3070" t="s">
        <v>3091</v>
      </c>
      <c r="CH410" s="3070" t="s">
        <v>3240</v>
      </c>
      <c r="CI410" s="3070">
        <v>0</v>
      </c>
      <c r="CK410" s="3070" t="s">
        <v>3375</v>
      </c>
      <c r="CL410" s="3070" t="s">
        <v>3375</v>
      </c>
      <c r="CM410" s="3070">
        <v>1522422.94</v>
      </c>
      <c r="CV410" s="3070" t="s">
        <v>3246</v>
      </c>
      <c r="CW410" s="3070" t="s">
        <v>6640</v>
      </c>
      <c r="CZ410" s="3070">
        <v>213894.57</v>
      </c>
      <c r="DA410" s="3070">
        <v>159426.93</v>
      </c>
      <c r="DB410" s="3070">
        <v>0</v>
      </c>
      <c r="DC410" s="3070">
        <v>0</v>
      </c>
      <c r="DD410" s="3070">
        <v>3290547602</v>
      </c>
      <c r="DE410" s="3070">
        <v>2764253109</v>
      </c>
      <c r="DF410" s="3070">
        <v>1464966739</v>
      </c>
      <c r="DG410" s="3070">
        <v>14938370</v>
      </c>
      <c r="DH410" s="3070">
        <v>1284348000</v>
      </c>
      <c r="DI410" s="3070">
        <v>1278128000</v>
      </c>
      <c r="DJ410" s="3070">
        <v>6220000</v>
      </c>
      <c r="DK410" s="3070">
        <v>0</v>
      </c>
      <c r="DL410" s="3070">
        <v>0</v>
      </c>
      <c r="DM410" s="3070">
        <v>25491817.620000001</v>
      </c>
      <c r="DN410" s="3070">
        <v>2764253109</v>
      </c>
      <c r="DP410" s="3070">
        <v>2764253109</v>
      </c>
    </row>
    <row r="411" spans="1:120">
      <c r="A411" s="3070">
        <v>410</v>
      </c>
      <c r="B411" s="3070" t="s">
        <v>3224</v>
      </c>
      <c r="C411" s="3070">
        <v>4</v>
      </c>
      <c r="D411" s="3070">
        <v>1</v>
      </c>
      <c r="E411" s="3070">
        <v>302</v>
      </c>
      <c r="F411" s="3070" t="s">
        <v>6641</v>
      </c>
      <c r="G411" s="3070" t="s">
        <v>6642</v>
      </c>
      <c r="H411" s="3070">
        <v>1307218</v>
      </c>
      <c r="I411" s="3070">
        <v>1307218</v>
      </c>
      <c r="J411" s="3070">
        <v>105.02</v>
      </c>
      <c r="K411" s="3070">
        <v>79.66</v>
      </c>
      <c r="L411" s="3070">
        <v>0</v>
      </c>
      <c r="M411" s="3070">
        <v>0</v>
      </c>
      <c r="N411" s="3070">
        <v>15594.44</v>
      </c>
      <c r="O411" s="3070">
        <v>1637728</v>
      </c>
      <c r="P411" s="3070">
        <v>12447.32</v>
      </c>
      <c r="Q411" s="3070">
        <v>1307218</v>
      </c>
      <c r="R411" s="3070" t="s">
        <v>3227</v>
      </c>
      <c r="S411" s="3070" t="s">
        <v>6643</v>
      </c>
      <c r="T411" s="3070" t="s">
        <v>3246</v>
      </c>
      <c r="U411" s="3070" t="s">
        <v>3259</v>
      </c>
      <c r="V411" s="3070" t="s">
        <v>3230</v>
      </c>
      <c r="Y411" s="3070">
        <v>457218</v>
      </c>
      <c r="Z411" s="3070">
        <v>457218</v>
      </c>
      <c r="AA411" s="3070">
        <v>457218</v>
      </c>
      <c r="AB411" s="3070">
        <v>0</v>
      </c>
      <c r="AC411" s="3070">
        <v>850000</v>
      </c>
      <c r="AD411" s="3070">
        <v>850000</v>
      </c>
      <c r="AE411" s="3070">
        <v>0</v>
      </c>
      <c r="AI411" s="3070" t="s">
        <v>3227</v>
      </c>
      <c r="AJ411" s="3070">
        <v>0</v>
      </c>
      <c r="AK411" s="3070">
        <v>0</v>
      </c>
      <c r="AL411" s="3070">
        <v>0</v>
      </c>
      <c r="AM411" s="3070">
        <v>12447.32</v>
      </c>
      <c r="AN411" s="3070">
        <v>1307218</v>
      </c>
      <c r="AP411" s="3070">
        <v>1307218</v>
      </c>
      <c r="AQ411" s="3072">
        <v>45230</v>
      </c>
      <c r="AT411" s="3073">
        <v>45770</v>
      </c>
      <c r="AV411" s="3074">
        <v>3.21E+17</v>
      </c>
      <c r="AW411" s="3070" t="s">
        <v>6644</v>
      </c>
      <c r="AX411" s="3070" t="s">
        <v>6645</v>
      </c>
      <c r="AY411" s="3070" t="s">
        <v>3892</v>
      </c>
      <c r="BA411" s="3070" t="s">
        <v>3892</v>
      </c>
      <c r="BC411" s="3070" t="s">
        <v>6646</v>
      </c>
      <c r="BD411" s="3070" t="s">
        <v>3077</v>
      </c>
      <c r="BI411" s="3070" t="s">
        <v>3235</v>
      </c>
      <c r="BL411" s="3070" t="s">
        <v>6647</v>
      </c>
      <c r="BM411" s="3075">
        <v>44287</v>
      </c>
      <c r="BN411" s="3070">
        <v>-30</v>
      </c>
      <c r="BO411" s="3070" t="s">
        <v>3253</v>
      </c>
      <c r="BR411" s="3070">
        <v>16</v>
      </c>
      <c r="BS411" s="3070" t="s">
        <v>3238</v>
      </c>
      <c r="BU411" s="3070" t="s">
        <v>3892</v>
      </c>
      <c r="BZ411" s="3073">
        <v>44199.533333333333</v>
      </c>
      <c r="CA411" s="3070">
        <v>4</v>
      </c>
      <c r="CD411" s="3070" t="s">
        <v>3239</v>
      </c>
      <c r="CF411" s="3070" t="s">
        <v>3091</v>
      </c>
      <c r="CH411" s="3070" t="s">
        <v>3240</v>
      </c>
      <c r="CI411" s="3070">
        <v>0</v>
      </c>
      <c r="CK411" s="3070" t="s">
        <v>4056</v>
      </c>
      <c r="CL411" s="3070" t="s">
        <v>4056</v>
      </c>
      <c r="CM411" s="3070">
        <v>1199282.57</v>
      </c>
      <c r="CV411" s="3070" t="s">
        <v>3246</v>
      </c>
      <c r="CW411" s="3070" t="s">
        <v>6648</v>
      </c>
      <c r="CX411" s="3070" t="s">
        <v>3510</v>
      </c>
      <c r="CZ411" s="3070">
        <v>213894.57</v>
      </c>
      <c r="DA411" s="3070">
        <v>159426.93</v>
      </c>
      <c r="DB411" s="3070">
        <v>0</v>
      </c>
      <c r="DC411" s="3070">
        <v>0</v>
      </c>
      <c r="DD411" s="3070">
        <v>3290547602</v>
      </c>
      <c r="DE411" s="3070">
        <v>2764253109</v>
      </c>
      <c r="DF411" s="3070">
        <v>1464966739</v>
      </c>
      <c r="DG411" s="3070">
        <v>14938370</v>
      </c>
      <c r="DH411" s="3070">
        <v>1284348000</v>
      </c>
      <c r="DI411" s="3070">
        <v>1278128000</v>
      </c>
      <c r="DJ411" s="3070">
        <v>6220000</v>
      </c>
      <c r="DK411" s="3070">
        <v>0</v>
      </c>
      <c r="DL411" s="3070">
        <v>0</v>
      </c>
      <c r="DM411" s="3070">
        <v>25491817.620000001</v>
      </c>
      <c r="DN411" s="3070">
        <v>2764253109</v>
      </c>
      <c r="DP411" s="3070">
        <v>2764253109</v>
      </c>
    </row>
    <row r="412" spans="1:120">
      <c r="A412" s="3070">
        <v>411</v>
      </c>
      <c r="B412" s="3070" t="s">
        <v>3224</v>
      </c>
      <c r="C412" s="3070">
        <v>4</v>
      </c>
      <c r="D412" s="3070">
        <v>1</v>
      </c>
      <c r="E412" s="3070">
        <v>303</v>
      </c>
      <c r="F412" s="3070" t="s">
        <v>6649</v>
      </c>
      <c r="G412" s="3070" t="s">
        <v>6650</v>
      </c>
      <c r="H412" s="3070">
        <v>1733096</v>
      </c>
      <c r="I412" s="3070">
        <v>1733096</v>
      </c>
      <c r="J412" s="3070">
        <v>132.99</v>
      </c>
      <c r="K412" s="3070">
        <v>100.87</v>
      </c>
      <c r="L412" s="3070">
        <v>0</v>
      </c>
      <c r="M412" s="3070">
        <v>0</v>
      </c>
      <c r="N412" s="3070">
        <v>15294.44</v>
      </c>
      <c r="O412" s="3070">
        <v>2034008</v>
      </c>
      <c r="P412" s="3070">
        <v>13031.78</v>
      </c>
      <c r="Q412" s="3070">
        <v>1733096</v>
      </c>
      <c r="R412" s="3070" t="s">
        <v>3227</v>
      </c>
      <c r="S412" s="3070" t="s">
        <v>6651</v>
      </c>
      <c r="T412" s="3070" t="s">
        <v>3494</v>
      </c>
      <c r="V412" s="3070" t="s">
        <v>3230</v>
      </c>
      <c r="Y412" s="3070">
        <v>173310</v>
      </c>
      <c r="Z412" s="3070">
        <v>173310</v>
      </c>
      <c r="AA412" s="3070">
        <v>1733096</v>
      </c>
      <c r="AB412" s="3070">
        <v>0</v>
      </c>
      <c r="AC412" s="3070">
        <v>0</v>
      </c>
      <c r="AD412" s="3070">
        <v>0</v>
      </c>
      <c r="AE412" s="3070">
        <v>0</v>
      </c>
      <c r="AI412" s="3070" t="s">
        <v>3227</v>
      </c>
      <c r="AJ412" s="3070">
        <v>0</v>
      </c>
      <c r="AK412" s="3070">
        <v>0</v>
      </c>
      <c r="AL412" s="3070">
        <v>0</v>
      </c>
      <c r="AM412" s="3070">
        <v>13031.78</v>
      </c>
      <c r="AN412" s="3070">
        <v>1733096</v>
      </c>
      <c r="AP412" s="3070">
        <v>1733096</v>
      </c>
      <c r="AQ412" s="3072">
        <v>45230</v>
      </c>
      <c r="AT412" s="3073">
        <v>45770</v>
      </c>
      <c r="AV412" s="3074">
        <v>3.21E+17</v>
      </c>
      <c r="AW412" s="3070" t="s">
        <v>6652</v>
      </c>
      <c r="AX412" s="3070" t="s">
        <v>6653</v>
      </c>
      <c r="AY412" s="3070" t="s">
        <v>3981</v>
      </c>
      <c r="BA412" s="3070" t="s">
        <v>3981</v>
      </c>
      <c r="BC412" s="3070" t="s">
        <v>6654</v>
      </c>
      <c r="BD412" s="3070" t="s">
        <v>3075</v>
      </c>
      <c r="BI412" s="3070" t="s">
        <v>3235</v>
      </c>
      <c r="BL412" s="3070" t="s">
        <v>6655</v>
      </c>
      <c r="BM412" s="3075">
        <v>44287</v>
      </c>
      <c r="BN412" s="3070">
        <v>-30</v>
      </c>
      <c r="BR412" s="3070">
        <v>16</v>
      </c>
      <c r="BS412" s="3070" t="s">
        <v>3238</v>
      </c>
      <c r="BU412" s="3070" t="s">
        <v>3981</v>
      </c>
      <c r="BZ412" s="3073">
        <v>44220.623611111114</v>
      </c>
      <c r="CA412" s="3070">
        <v>4</v>
      </c>
      <c r="CD412" s="3070" t="s">
        <v>3239</v>
      </c>
      <c r="CF412" s="3070" t="s">
        <v>3091</v>
      </c>
      <c r="CH412" s="3070" t="s">
        <v>3240</v>
      </c>
      <c r="CI412" s="3070">
        <v>0</v>
      </c>
      <c r="CK412" s="3070" t="s">
        <v>3981</v>
      </c>
      <c r="CL412" s="3070" t="s">
        <v>3986</v>
      </c>
      <c r="CM412" s="3070">
        <v>1589996.33</v>
      </c>
      <c r="CV412" s="3070" t="s">
        <v>3494</v>
      </c>
      <c r="CW412" s="3070" t="s">
        <v>6656</v>
      </c>
      <c r="CZ412" s="3070">
        <v>213894.57</v>
      </c>
      <c r="DA412" s="3070">
        <v>159426.93</v>
      </c>
      <c r="DB412" s="3070">
        <v>0</v>
      </c>
      <c r="DC412" s="3070">
        <v>0</v>
      </c>
      <c r="DD412" s="3070">
        <v>3290547602</v>
      </c>
      <c r="DE412" s="3070">
        <v>2764253109</v>
      </c>
      <c r="DF412" s="3070">
        <v>1464966739</v>
      </c>
      <c r="DG412" s="3070">
        <v>14938370</v>
      </c>
      <c r="DH412" s="3070">
        <v>1284348000</v>
      </c>
      <c r="DI412" s="3070">
        <v>1278128000</v>
      </c>
      <c r="DJ412" s="3070">
        <v>6220000</v>
      </c>
      <c r="DK412" s="3070">
        <v>0</v>
      </c>
      <c r="DL412" s="3070">
        <v>0</v>
      </c>
      <c r="DM412" s="3070">
        <v>25491817.620000001</v>
      </c>
      <c r="DN412" s="3070">
        <v>2764253109</v>
      </c>
      <c r="DP412" s="3070">
        <v>2764253109</v>
      </c>
    </row>
    <row r="413" spans="1:120">
      <c r="A413" s="3070">
        <v>412</v>
      </c>
      <c r="B413" s="3070" t="s">
        <v>3224</v>
      </c>
      <c r="C413" s="3070">
        <v>4</v>
      </c>
      <c r="D413" s="3070">
        <v>2</v>
      </c>
      <c r="E413" s="3070">
        <v>304</v>
      </c>
      <c r="F413" s="3070" t="s">
        <v>6657</v>
      </c>
      <c r="G413" s="3070" t="s">
        <v>6658</v>
      </c>
      <c r="H413" s="3070">
        <v>487728</v>
      </c>
      <c r="I413" s="3070">
        <v>1625764</v>
      </c>
      <c r="J413" s="3070">
        <v>132.99</v>
      </c>
      <c r="K413" s="3070">
        <v>100.87</v>
      </c>
      <c r="L413" s="3070">
        <v>0</v>
      </c>
      <c r="M413" s="3070">
        <v>0</v>
      </c>
      <c r="N413" s="3070">
        <v>15294.44</v>
      </c>
      <c r="O413" s="3070">
        <v>2034008</v>
      </c>
      <c r="P413" s="3070">
        <v>12224.71</v>
      </c>
      <c r="Q413" s="3070">
        <v>1625764</v>
      </c>
      <c r="R413" s="3070" t="s">
        <v>3227</v>
      </c>
      <c r="S413" s="3070" t="s">
        <v>3353</v>
      </c>
      <c r="T413" s="3070" t="s">
        <v>3494</v>
      </c>
      <c r="V413" s="3070" t="s">
        <v>3230</v>
      </c>
      <c r="Y413" s="3070">
        <v>162576</v>
      </c>
      <c r="Z413" s="3070">
        <v>162576</v>
      </c>
      <c r="AA413" s="3070">
        <v>487728</v>
      </c>
      <c r="AB413" s="3070">
        <v>1138036</v>
      </c>
      <c r="AC413" s="3070">
        <v>0</v>
      </c>
      <c r="AD413" s="3070">
        <v>0</v>
      </c>
      <c r="AE413" s="3070">
        <v>0</v>
      </c>
      <c r="AI413" s="3070" t="s">
        <v>3227</v>
      </c>
      <c r="AJ413" s="3070">
        <v>0</v>
      </c>
      <c r="AK413" s="3070">
        <v>0</v>
      </c>
      <c r="AL413" s="3070">
        <v>0</v>
      </c>
      <c r="AM413" s="3070">
        <v>12224.71</v>
      </c>
      <c r="AN413" s="3070">
        <v>1625764</v>
      </c>
      <c r="AP413" s="3070">
        <v>1625764</v>
      </c>
      <c r="AQ413" s="3072">
        <v>45230</v>
      </c>
      <c r="AT413" s="3073">
        <v>45770</v>
      </c>
      <c r="AV413" s="3074">
        <v>3.21E+17</v>
      </c>
      <c r="AW413" s="3070" t="s">
        <v>6659</v>
      </c>
      <c r="AX413" s="3070" t="s">
        <v>6660</v>
      </c>
      <c r="AY413" s="3070" t="s">
        <v>4065</v>
      </c>
      <c r="BC413" s="3070" t="s">
        <v>6661</v>
      </c>
      <c r="BD413" s="3070" t="s">
        <v>3075</v>
      </c>
      <c r="BI413" s="3070" t="s">
        <v>3295</v>
      </c>
      <c r="BL413" s="3070" t="s">
        <v>6662</v>
      </c>
      <c r="BM413" s="3075">
        <v>44288</v>
      </c>
      <c r="BN413" s="3070">
        <v>-30</v>
      </c>
      <c r="BR413" s="3070">
        <v>21</v>
      </c>
      <c r="BS413" s="3070" t="s">
        <v>3238</v>
      </c>
      <c r="BT413" s="3070" t="s">
        <v>3481</v>
      </c>
      <c r="BZ413" s="3073">
        <v>44205.794444444444</v>
      </c>
      <c r="CA413" s="3070">
        <v>4</v>
      </c>
      <c r="CB413" s="3070" t="s">
        <v>3481</v>
      </c>
      <c r="CD413" s="3070" t="s">
        <v>3239</v>
      </c>
      <c r="CF413" s="3070" t="s">
        <v>3091</v>
      </c>
      <c r="CH413" s="3070" t="s">
        <v>3240</v>
      </c>
      <c r="CI413" s="3070">
        <v>0</v>
      </c>
      <c r="CK413" s="3070" t="s">
        <v>4068</v>
      </c>
      <c r="CL413" s="3070" t="s">
        <v>4242</v>
      </c>
      <c r="CM413" s="3070">
        <v>1491526.61</v>
      </c>
      <c r="CV413" s="3070" t="s">
        <v>3494</v>
      </c>
      <c r="CW413" s="3070" t="s">
        <v>6663</v>
      </c>
      <c r="CZ413" s="3070">
        <v>213894.57</v>
      </c>
      <c r="DA413" s="3070">
        <v>159426.93</v>
      </c>
      <c r="DB413" s="3070">
        <v>0</v>
      </c>
      <c r="DC413" s="3070">
        <v>0</v>
      </c>
      <c r="DD413" s="3070">
        <v>3290547602</v>
      </c>
      <c r="DE413" s="3070">
        <v>2764253109</v>
      </c>
      <c r="DF413" s="3070">
        <v>1464966739</v>
      </c>
      <c r="DG413" s="3070">
        <v>14938370</v>
      </c>
      <c r="DH413" s="3070">
        <v>1284348000</v>
      </c>
      <c r="DI413" s="3070">
        <v>1278128000</v>
      </c>
      <c r="DJ413" s="3070">
        <v>6220000</v>
      </c>
      <c r="DK413" s="3070">
        <v>0</v>
      </c>
      <c r="DL413" s="3070">
        <v>0</v>
      </c>
      <c r="DM413" s="3070">
        <v>25491817.620000001</v>
      </c>
      <c r="DN413" s="3070">
        <v>2764253109</v>
      </c>
      <c r="DP413" s="3070">
        <v>2764253109</v>
      </c>
    </row>
    <row r="414" spans="1:120">
      <c r="A414" s="3070">
        <v>413</v>
      </c>
      <c r="B414" s="3070" t="s">
        <v>3224</v>
      </c>
      <c r="C414" s="3070">
        <v>4</v>
      </c>
      <c r="D414" s="3070">
        <v>2</v>
      </c>
      <c r="E414" s="3070">
        <v>305</v>
      </c>
      <c r="F414" s="3070" t="s">
        <v>6664</v>
      </c>
      <c r="G414" s="3070" t="s">
        <v>6665</v>
      </c>
      <c r="H414" s="3070">
        <v>1397116</v>
      </c>
      <c r="I414" s="3070">
        <v>1397116</v>
      </c>
      <c r="J414" s="3070">
        <v>105.02</v>
      </c>
      <c r="K414" s="3070">
        <v>79.66</v>
      </c>
      <c r="L414" s="3070">
        <v>0</v>
      </c>
      <c r="M414" s="3070">
        <v>0</v>
      </c>
      <c r="N414" s="3070">
        <v>15594.44</v>
      </c>
      <c r="O414" s="3070">
        <v>1637728</v>
      </c>
      <c r="P414" s="3070">
        <v>13303.33</v>
      </c>
      <c r="Q414" s="3070">
        <v>1397116</v>
      </c>
      <c r="R414" s="3070" t="s">
        <v>3227</v>
      </c>
      <c r="S414" s="3070" t="s">
        <v>6666</v>
      </c>
      <c r="T414" s="3070" t="s">
        <v>3258</v>
      </c>
      <c r="U414" s="3070" t="s">
        <v>3279</v>
      </c>
      <c r="V414" s="3070" t="s">
        <v>3230</v>
      </c>
      <c r="Y414" s="3070">
        <v>437116</v>
      </c>
      <c r="Z414" s="3070">
        <v>437116</v>
      </c>
      <c r="AA414" s="3070">
        <v>437116</v>
      </c>
      <c r="AB414" s="3070">
        <v>0</v>
      </c>
      <c r="AC414" s="3070">
        <v>960000</v>
      </c>
      <c r="AD414" s="3070">
        <v>960000</v>
      </c>
      <c r="AE414" s="3070">
        <v>0</v>
      </c>
      <c r="AI414" s="3070" t="s">
        <v>3227</v>
      </c>
      <c r="AJ414" s="3070">
        <v>0</v>
      </c>
      <c r="AK414" s="3070">
        <v>0</v>
      </c>
      <c r="AL414" s="3070">
        <v>0</v>
      </c>
      <c r="AM414" s="3070">
        <v>13303.33</v>
      </c>
      <c r="AN414" s="3070">
        <v>1397116</v>
      </c>
      <c r="AP414" s="3070">
        <v>1397116</v>
      </c>
      <c r="AQ414" s="3072">
        <v>45230</v>
      </c>
      <c r="AT414" s="3073">
        <v>45770</v>
      </c>
      <c r="AV414" s="3070" t="s">
        <v>6667</v>
      </c>
      <c r="AW414" s="3070" t="s">
        <v>6668</v>
      </c>
      <c r="AX414" s="3070" t="s">
        <v>6669</v>
      </c>
      <c r="AY414" s="3070" t="s">
        <v>3892</v>
      </c>
      <c r="BA414" s="3070" t="s">
        <v>4527</v>
      </c>
      <c r="BC414" s="3070" t="s">
        <v>3553</v>
      </c>
      <c r="BD414" s="3070" t="s">
        <v>3077</v>
      </c>
      <c r="BI414" s="3070" t="s">
        <v>3235</v>
      </c>
      <c r="BL414" s="3070" t="s">
        <v>6670</v>
      </c>
      <c r="BM414" s="3075">
        <v>44288</v>
      </c>
      <c r="BN414" s="3070">
        <v>-30</v>
      </c>
      <c r="BO414" s="3070" t="s">
        <v>3253</v>
      </c>
      <c r="BP414" s="3070" t="s">
        <v>3253</v>
      </c>
      <c r="BR414" s="3070">
        <v>22</v>
      </c>
      <c r="BS414" s="3070" t="s">
        <v>3238</v>
      </c>
      <c r="BU414" s="3070" t="s">
        <v>4527</v>
      </c>
      <c r="BV414" s="3070" t="s">
        <v>6671</v>
      </c>
      <c r="BZ414" s="3073">
        <v>44194.600694444445</v>
      </c>
      <c r="CA414" s="3070">
        <v>4</v>
      </c>
      <c r="CD414" s="3070" t="s">
        <v>3239</v>
      </c>
      <c r="CF414" s="3070" t="s">
        <v>3091</v>
      </c>
      <c r="CH414" s="3070" t="s">
        <v>3240</v>
      </c>
      <c r="CI414" s="3070">
        <v>0</v>
      </c>
      <c r="CJ414" s="3070" t="s">
        <v>3279</v>
      </c>
      <c r="CK414" s="3070" t="s">
        <v>4056</v>
      </c>
      <c r="CL414" s="3070" t="s">
        <v>4056</v>
      </c>
      <c r="CM414" s="3070">
        <v>1281757.8</v>
      </c>
      <c r="CV414" s="3070" t="s">
        <v>3258</v>
      </c>
      <c r="CW414" s="3070" t="s">
        <v>6672</v>
      </c>
      <c r="CZ414" s="3070">
        <v>213894.57</v>
      </c>
      <c r="DA414" s="3070">
        <v>159426.93</v>
      </c>
      <c r="DB414" s="3070">
        <v>0</v>
      </c>
      <c r="DC414" s="3070">
        <v>0</v>
      </c>
      <c r="DD414" s="3070">
        <v>3290547602</v>
      </c>
      <c r="DE414" s="3070">
        <v>2764253109</v>
      </c>
      <c r="DF414" s="3070">
        <v>1464966739</v>
      </c>
      <c r="DG414" s="3070">
        <v>14938370</v>
      </c>
      <c r="DH414" s="3070">
        <v>1284348000</v>
      </c>
      <c r="DI414" s="3070">
        <v>1278128000</v>
      </c>
      <c r="DJ414" s="3070">
        <v>6220000</v>
      </c>
      <c r="DK414" s="3070">
        <v>0</v>
      </c>
      <c r="DL414" s="3070">
        <v>0</v>
      </c>
      <c r="DM414" s="3070">
        <v>25491817.620000001</v>
      </c>
      <c r="DN414" s="3070">
        <v>2764253109</v>
      </c>
      <c r="DP414" s="3070">
        <v>2764253109</v>
      </c>
    </row>
    <row r="415" spans="1:120">
      <c r="A415" s="3070">
        <v>414</v>
      </c>
      <c r="B415" s="3070" t="s">
        <v>3224</v>
      </c>
      <c r="C415" s="3070">
        <v>4</v>
      </c>
      <c r="D415" s="3070">
        <v>2</v>
      </c>
      <c r="E415" s="3070">
        <v>306</v>
      </c>
      <c r="F415" s="3070" t="s">
        <v>6673</v>
      </c>
      <c r="G415" s="3070" t="s">
        <v>6674</v>
      </c>
      <c r="H415" s="3070">
        <v>1659756</v>
      </c>
      <c r="I415" s="3070">
        <v>1659756</v>
      </c>
      <c r="J415" s="3070">
        <v>132.62</v>
      </c>
      <c r="K415" s="3070">
        <v>100.59</v>
      </c>
      <c r="L415" s="3070">
        <v>0</v>
      </c>
      <c r="M415" s="3070">
        <v>0</v>
      </c>
      <c r="N415" s="3070">
        <v>15494.44</v>
      </c>
      <c r="O415" s="3070">
        <v>2054873</v>
      </c>
      <c r="P415" s="3070">
        <v>12515.13</v>
      </c>
      <c r="Q415" s="3070">
        <v>1659756</v>
      </c>
      <c r="R415" s="3070" t="s">
        <v>3227</v>
      </c>
      <c r="S415" s="3070" t="s">
        <v>3353</v>
      </c>
      <c r="T415" s="3070" t="s">
        <v>3494</v>
      </c>
      <c r="V415" s="3070" t="s">
        <v>3230</v>
      </c>
      <c r="Y415" s="3070">
        <v>165976</v>
      </c>
      <c r="Z415" s="3070">
        <v>165976</v>
      </c>
      <c r="AA415" s="3070">
        <v>1659756</v>
      </c>
      <c r="AB415" s="3070">
        <v>0</v>
      </c>
      <c r="AC415" s="3070">
        <v>0</v>
      </c>
      <c r="AD415" s="3070">
        <v>0</v>
      </c>
      <c r="AE415" s="3070">
        <v>0</v>
      </c>
      <c r="AI415" s="3070" t="s">
        <v>3227</v>
      </c>
      <c r="AJ415" s="3070">
        <v>0</v>
      </c>
      <c r="AK415" s="3070">
        <v>0</v>
      </c>
      <c r="AL415" s="3070">
        <v>0</v>
      </c>
      <c r="AM415" s="3070">
        <v>12515.13</v>
      </c>
      <c r="AN415" s="3070">
        <v>1659756</v>
      </c>
      <c r="AP415" s="3070">
        <v>1659756</v>
      </c>
      <c r="AQ415" s="3072">
        <v>45230</v>
      </c>
      <c r="AT415" s="3073">
        <v>45770</v>
      </c>
      <c r="AV415" s="3074">
        <v>2.3E+17</v>
      </c>
      <c r="AW415" s="3070" t="s">
        <v>6675</v>
      </c>
      <c r="AX415" s="3070" t="s">
        <v>6676</v>
      </c>
      <c r="AY415" s="3070" t="s">
        <v>3883</v>
      </c>
      <c r="BA415" s="3070" t="s">
        <v>3883</v>
      </c>
      <c r="BC415" s="3070" t="s">
        <v>4869</v>
      </c>
      <c r="BD415" s="3070" t="s">
        <v>3075</v>
      </c>
      <c r="BI415" s="3070" t="s">
        <v>3295</v>
      </c>
      <c r="BL415" s="3070" t="s">
        <v>6677</v>
      </c>
      <c r="BM415" s="3075">
        <v>44288</v>
      </c>
      <c r="BN415" s="3070">
        <v>-30</v>
      </c>
      <c r="BR415" s="3070">
        <v>21</v>
      </c>
      <c r="BS415" s="3070" t="s">
        <v>3238</v>
      </c>
      <c r="BU415" s="3070" t="s">
        <v>3883</v>
      </c>
      <c r="BZ415" s="3073">
        <v>44217.602083333331</v>
      </c>
      <c r="CA415" s="3070">
        <v>4</v>
      </c>
      <c r="CD415" s="3070" t="s">
        <v>3239</v>
      </c>
      <c r="CF415" s="3070" t="s">
        <v>3091</v>
      </c>
      <c r="CH415" s="3070" t="s">
        <v>3240</v>
      </c>
      <c r="CI415" s="3070">
        <v>0</v>
      </c>
      <c r="CK415" s="3070" t="s">
        <v>3883</v>
      </c>
      <c r="CL415" s="3070" t="s">
        <v>4303</v>
      </c>
      <c r="CM415" s="3070">
        <v>1522711.93</v>
      </c>
      <c r="CV415" s="3070" t="s">
        <v>3494</v>
      </c>
      <c r="CW415" s="3070" t="s">
        <v>6678</v>
      </c>
      <c r="CZ415" s="3070">
        <v>213894.57</v>
      </c>
      <c r="DA415" s="3070">
        <v>159426.93</v>
      </c>
      <c r="DB415" s="3070">
        <v>0</v>
      </c>
      <c r="DC415" s="3070">
        <v>0</v>
      </c>
      <c r="DD415" s="3070">
        <v>3290547602</v>
      </c>
      <c r="DE415" s="3070">
        <v>2764253109</v>
      </c>
      <c r="DF415" s="3070">
        <v>1464966739</v>
      </c>
      <c r="DG415" s="3070">
        <v>14938370</v>
      </c>
      <c r="DH415" s="3070">
        <v>1284348000</v>
      </c>
      <c r="DI415" s="3070">
        <v>1278128000</v>
      </c>
      <c r="DJ415" s="3070">
        <v>6220000</v>
      </c>
      <c r="DK415" s="3070">
        <v>0</v>
      </c>
      <c r="DL415" s="3070">
        <v>0</v>
      </c>
      <c r="DM415" s="3070">
        <v>25491817.620000001</v>
      </c>
      <c r="DN415" s="3070">
        <v>2764253109</v>
      </c>
      <c r="DP415" s="3070">
        <v>2764253109</v>
      </c>
    </row>
    <row r="416" spans="1:120">
      <c r="A416" s="3070">
        <v>415</v>
      </c>
      <c r="B416" s="3070" t="s">
        <v>3224</v>
      </c>
      <c r="C416" s="3070">
        <v>4</v>
      </c>
      <c r="D416" s="3070">
        <v>1</v>
      </c>
      <c r="E416" s="3070">
        <v>401</v>
      </c>
      <c r="F416" s="3070" t="s">
        <v>6679</v>
      </c>
      <c r="G416" s="3070" t="s">
        <v>6680</v>
      </c>
      <c r="H416" s="3070">
        <v>1591064</v>
      </c>
      <c r="I416" s="3070">
        <v>1591064</v>
      </c>
      <c r="J416" s="3070">
        <v>132.62</v>
      </c>
      <c r="K416" s="3070">
        <v>100.59</v>
      </c>
      <c r="L416" s="3070">
        <v>0</v>
      </c>
      <c r="M416" s="3070">
        <v>0</v>
      </c>
      <c r="N416" s="3070">
        <v>15344.44</v>
      </c>
      <c r="O416" s="3070">
        <v>2034980</v>
      </c>
      <c r="P416" s="3070">
        <v>11997.16</v>
      </c>
      <c r="Q416" s="3070">
        <v>1591064</v>
      </c>
      <c r="R416" s="3070" t="s">
        <v>3227</v>
      </c>
      <c r="S416" s="3070" t="s">
        <v>6681</v>
      </c>
      <c r="T416" s="3070" t="s">
        <v>3494</v>
      </c>
      <c r="V416" s="3070" t="s">
        <v>3230</v>
      </c>
      <c r="Y416" s="3070">
        <v>159106</v>
      </c>
      <c r="Z416" s="3070">
        <v>159106</v>
      </c>
      <c r="AA416" s="3070">
        <v>1591064</v>
      </c>
      <c r="AB416" s="3070">
        <v>0</v>
      </c>
      <c r="AC416" s="3070">
        <v>0</v>
      </c>
      <c r="AD416" s="3070">
        <v>0</v>
      </c>
      <c r="AE416" s="3070">
        <v>0</v>
      </c>
      <c r="AI416" s="3070" t="s">
        <v>3227</v>
      </c>
      <c r="AJ416" s="3070">
        <v>0</v>
      </c>
      <c r="AK416" s="3070">
        <v>0</v>
      </c>
      <c r="AL416" s="3070">
        <v>0</v>
      </c>
      <c r="AM416" s="3070">
        <v>11997.16</v>
      </c>
      <c r="AN416" s="3070">
        <v>1591064</v>
      </c>
      <c r="AP416" s="3070">
        <v>1591064</v>
      </c>
      <c r="AQ416" s="3072">
        <v>45230</v>
      </c>
      <c r="AT416" s="3073">
        <v>45770</v>
      </c>
      <c r="AV416" s="3074">
        <v>3.21E+17</v>
      </c>
      <c r="AW416" s="3070" t="s">
        <v>6682</v>
      </c>
      <c r="AX416" s="3070" t="s">
        <v>6683</v>
      </c>
      <c r="AY416" s="3070" t="s">
        <v>3587</v>
      </c>
      <c r="BA416" s="3070" t="s">
        <v>3587</v>
      </c>
      <c r="BC416" s="3070" t="s">
        <v>4460</v>
      </c>
      <c r="BD416" s="3070" t="s">
        <v>3075</v>
      </c>
      <c r="BI416" s="3070" t="s">
        <v>3235</v>
      </c>
      <c r="BL416" s="3070" t="s">
        <v>6684</v>
      </c>
      <c r="BM416" s="3075">
        <v>44287</v>
      </c>
      <c r="BN416" s="3070">
        <v>-40</v>
      </c>
      <c r="BR416" s="3070">
        <v>16</v>
      </c>
      <c r="BS416" s="3070" t="s">
        <v>3238</v>
      </c>
      <c r="BU416" s="3070" t="s">
        <v>3587</v>
      </c>
      <c r="BZ416" s="3073">
        <v>44227.955555555556</v>
      </c>
      <c r="CA416" s="3070">
        <v>4</v>
      </c>
      <c r="CD416" s="3070" t="s">
        <v>3239</v>
      </c>
      <c r="CF416" s="3070" t="s">
        <v>3091</v>
      </c>
      <c r="CH416" s="3070" t="s">
        <v>3240</v>
      </c>
      <c r="CI416" s="3070">
        <v>0</v>
      </c>
      <c r="CK416" s="3070" t="s">
        <v>4736</v>
      </c>
      <c r="CL416" s="3070" t="s">
        <v>3587</v>
      </c>
      <c r="CM416" s="3070">
        <v>1459691.74</v>
      </c>
      <c r="CV416" s="3070" t="s">
        <v>3494</v>
      </c>
      <c r="CW416" s="3070" t="s">
        <v>6685</v>
      </c>
      <c r="CX416" s="3070" t="s">
        <v>3242</v>
      </c>
      <c r="CZ416" s="3070">
        <v>213894.57</v>
      </c>
      <c r="DA416" s="3070">
        <v>159426.93</v>
      </c>
      <c r="DB416" s="3070">
        <v>0</v>
      </c>
      <c r="DC416" s="3070">
        <v>0</v>
      </c>
      <c r="DD416" s="3070">
        <v>3290547602</v>
      </c>
      <c r="DE416" s="3070">
        <v>2764253109</v>
      </c>
      <c r="DF416" s="3070">
        <v>1464966739</v>
      </c>
      <c r="DG416" s="3070">
        <v>14938370</v>
      </c>
      <c r="DH416" s="3070">
        <v>1284348000</v>
      </c>
      <c r="DI416" s="3070">
        <v>1278128000</v>
      </c>
      <c r="DJ416" s="3070">
        <v>6220000</v>
      </c>
      <c r="DK416" s="3070">
        <v>0</v>
      </c>
      <c r="DL416" s="3070">
        <v>0</v>
      </c>
      <c r="DM416" s="3070">
        <v>25491817.620000001</v>
      </c>
      <c r="DN416" s="3070">
        <v>2764253109</v>
      </c>
      <c r="DP416" s="3070">
        <v>2764253109</v>
      </c>
    </row>
    <row r="417" spans="1:120">
      <c r="A417" s="3070">
        <v>416</v>
      </c>
      <c r="B417" s="3070" t="s">
        <v>3224</v>
      </c>
      <c r="C417" s="3070">
        <v>4</v>
      </c>
      <c r="D417" s="3070">
        <v>1</v>
      </c>
      <c r="E417" s="3070">
        <v>402</v>
      </c>
      <c r="F417" s="3070" t="s">
        <v>6686</v>
      </c>
      <c r="G417" s="3070" t="s">
        <v>6687</v>
      </c>
      <c r="H417" s="3070">
        <v>1387437</v>
      </c>
      <c r="I417" s="3070">
        <v>1387437</v>
      </c>
      <c r="J417" s="3070">
        <v>105.02</v>
      </c>
      <c r="K417" s="3070">
        <v>79.66</v>
      </c>
      <c r="L417" s="3070">
        <v>0</v>
      </c>
      <c r="M417" s="3070">
        <v>0</v>
      </c>
      <c r="N417" s="3070">
        <v>15494.44</v>
      </c>
      <c r="O417" s="3070">
        <v>1627226</v>
      </c>
      <c r="P417" s="3070">
        <v>13211.17</v>
      </c>
      <c r="Q417" s="3070">
        <v>1387437</v>
      </c>
      <c r="R417" s="3070" t="s">
        <v>3227</v>
      </c>
      <c r="S417" s="3070" t="s">
        <v>6688</v>
      </c>
      <c r="T417" s="3070" t="s">
        <v>3494</v>
      </c>
      <c r="V417" s="3070" t="s">
        <v>3230</v>
      </c>
      <c r="Y417" s="3070">
        <v>138744</v>
      </c>
      <c r="Z417" s="3070">
        <v>138744</v>
      </c>
      <c r="AA417" s="3070">
        <v>1387437</v>
      </c>
      <c r="AB417" s="3070">
        <v>0</v>
      </c>
      <c r="AC417" s="3070">
        <v>0</v>
      </c>
      <c r="AD417" s="3070">
        <v>0</v>
      </c>
      <c r="AE417" s="3070">
        <v>0</v>
      </c>
      <c r="AI417" s="3070" t="s">
        <v>3227</v>
      </c>
      <c r="AJ417" s="3070">
        <v>0</v>
      </c>
      <c r="AK417" s="3070">
        <v>0</v>
      </c>
      <c r="AL417" s="3070">
        <v>0</v>
      </c>
      <c r="AM417" s="3070">
        <v>13211.17</v>
      </c>
      <c r="AN417" s="3070">
        <v>1387437</v>
      </c>
      <c r="AP417" s="3070">
        <v>1387437</v>
      </c>
      <c r="AQ417" s="3072">
        <v>45230</v>
      </c>
      <c r="AT417" s="3073">
        <v>45770</v>
      </c>
      <c r="AV417" s="3074">
        <v>3.41E+17</v>
      </c>
      <c r="AW417" s="3070" t="s">
        <v>6689</v>
      </c>
      <c r="AX417" s="3070" t="s">
        <v>6690</v>
      </c>
      <c r="AY417" s="3070" t="s">
        <v>3587</v>
      </c>
      <c r="BA417" s="3070" t="s">
        <v>3590</v>
      </c>
      <c r="BC417" s="3070" t="s">
        <v>6691</v>
      </c>
      <c r="BD417" s="3070" t="s">
        <v>3077</v>
      </c>
      <c r="BI417" s="3070" t="s">
        <v>3295</v>
      </c>
      <c r="BL417" s="3070" t="s">
        <v>6692</v>
      </c>
      <c r="BM417" s="3075">
        <v>44287</v>
      </c>
      <c r="BN417" s="3070">
        <v>-40</v>
      </c>
      <c r="BR417" s="3070">
        <v>25</v>
      </c>
      <c r="BS417" s="3070" t="s">
        <v>3238</v>
      </c>
      <c r="BU417" s="3070" t="s">
        <v>3590</v>
      </c>
      <c r="BZ417" s="3073">
        <v>44191.618055555555</v>
      </c>
      <c r="CA417" s="3070">
        <v>4</v>
      </c>
      <c r="CD417" s="3070" t="s">
        <v>3239</v>
      </c>
      <c r="CF417" s="3070" t="s">
        <v>3091</v>
      </c>
      <c r="CH417" s="3070" t="s">
        <v>3240</v>
      </c>
      <c r="CI417" s="3070">
        <v>0</v>
      </c>
      <c r="CK417" s="3070" t="s">
        <v>3590</v>
      </c>
      <c r="CL417" s="3070" t="s">
        <v>3590</v>
      </c>
      <c r="CM417" s="3070">
        <v>1272877.98</v>
      </c>
      <c r="CV417" s="3070" t="s">
        <v>3494</v>
      </c>
      <c r="CW417" s="3070" t="s">
        <v>6693</v>
      </c>
      <c r="CZ417" s="3070">
        <v>213894.57</v>
      </c>
      <c r="DA417" s="3070">
        <v>159426.93</v>
      </c>
      <c r="DB417" s="3070">
        <v>0</v>
      </c>
      <c r="DC417" s="3070">
        <v>0</v>
      </c>
      <c r="DD417" s="3070">
        <v>3290547602</v>
      </c>
      <c r="DE417" s="3070">
        <v>2764253109</v>
      </c>
      <c r="DF417" s="3070">
        <v>1464966739</v>
      </c>
      <c r="DG417" s="3070">
        <v>14938370</v>
      </c>
      <c r="DH417" s="3070">
        <v>1284348000</v>
      </c>
      <c r="DI417" s="3070">
        <v>1278128000</v>
      </c>
      <c r="DJ417" s="3070">
        <v>6220000</v>
      </c>
      <c r="DK417" s="3070">
        <v>0</v>
      </c>
      <c r="DL417" s="3070">
        <v>0</v>
      </c>
      <c r="DM417" s="3070">
        <v>25491817.620000001</v>
      </c>
      <c r="DN417" s="3070">
        <v>2764253109</v>
      </c>
      <c r="DP417" s="3070">
        <v>2764253109</v>
      </c>
    </row>
    <row r="418" spans="1:120">
      <c r="A418" s="3070">
        <v>417</v>
      </c>
      <c r="B418" s="3070" t="s">
        <v>3224</v>
      </c>
      <c r="C418" s="3070">
        <v>4</v>
      </c>
      <c r="D418" s="3070">
        <v>1</v>
      </c>
      <c r="E418" s="3070">
        <v>403</v>
      </c>
      <c r="F418" s="3070" t="s">
        <v>6694</v>
      </c>
      <c r="G418" s="3070" t="s">
        <v>6695</v>
      </c>
      <c r="H418" s="3070">
        <v>1758638</v>
      </c>
      <c r="I418" s="3070">
        <v>1758638</v>
      </c>
      <c r="J418" s="3070">
        <v>132.99</v>
      </c>
      <c r="K418" s="3070">
        <v>100.87</v>
      </c>
      <c r="L418" s="3070">
        <v>0</v>
      </c>
      <c r="M418" s="3070">
        <v>0</v>
      </c>
      <c r="N418" s="3070">
        <v>15194.44</v>
      </c>
      <c r="O418" s="3070">
        <v>2020709</v>
      </c>
      <c r="P418" s="3070">
        <v>13223.84</v>
      </c>
      <c r="Q418" s="3070">
        <v>1758638</v>
      </c>
      <c r="R418" s="3070" t="s">
        <v>3227</v>
      </c>
      <c r="S418" s="3070" t="s">
        <v>6696</v>
      </c>
      <c r="T418" s="3070" t="s">
        <v>4061</v>
      </c>
      <c r="V418" s="3070" t="s">
        <v>3230</v>
      </c>
      <c r="Y418" s="3070">
        <v>175864</v>
      </c>
      <c r="Z418" s="3070">
        <v>175864</v>
      </c>
      <c r="AA418" s="3070">
        <v>1758638</v>
      </c>
      <c r="AB418" s="3070">
        <v>0</v>
      </c>
      <c r="AC418" s="3070">
        <v>0</v>
      </c>
      <c r="AD418" s="3070">
        <v>0</v>
      </c>
      <c r="AE418" s="3070">
        <v>0</v>
      </c>
      <c r="AI418" s="3070" t="s">
        <v>3227</v>
      </c>
      <c r="AJ418" s="3070">
        <v>0</v>
      </c>
      <c r="AK418" s="3070">
        <v>0</v>
      </c>
      <c r="AL418" s="3070">
        <v>0</v>
      </c>
      <c r="AM418" s="3070">
        <v>13223.84</v>
      </c>
      <c r="AN418" s="3070">
        <v>1758638</v>
      </c>
      <c r="AP418" s="3070">
        <v>1758638</v>
      </c>
      <c r="AQ418" s="3072">
        <v>45230</v>
      </c>
      <c r="AT418" s="3073">
        <v>45770</v>
      </c>
      <c r="AV418" s="3074">
        <v>3.21E+17</v>
      </c>
      <c r="AW418" s="3070" t="s">
        <v>6697</v>
      </c>
      <c r="AX418" s="3070" t="s">
        <v>6698</v>
      </c>
      <c r="AY418" s="3070" t="s">
        <v>4065</v>
      </c>
      <c r="BC418" s="3070" t="s">
        <v>6630</v>
      </c>
      <c r="BD418" s="3070" t="s">
        <v>3075</v>
      </c>
      <c r="BI418" s="3070" t="s">
        <v>3235</v>
      </c>
      <c r="BJ418" s="3070" t="s">
        <v>3296</v>
      </c>
      <c r="BL418" s="3070" t="s">
        <v>6699</v>
      </c>
      <c r="BM418" s="3075">
        <v>44287</v>
      </c>
      <c r="BN418" s="3070">
        <v>-40</v>
      </c>
      <c r="BR418" s="3070">
        <v>0</v>
      </c>
      <c r="BS418" s="3070" t="s">
        <v>3238</v>
      </c>
      <c r="BV418" s="3070" t="s">
        <v>6700</v>
      </c>
      <c r="BZ418" s="3073">
        <v>44261.657638888886</v>
      </c>
      <c r="CA418" s="3070">
        <v>4</v>
      </c>
      <c r="CD418" s="3070" t="s">
        <v>3239</v>
      </c>
      <c r="CF418" s="3070" t="s">
        <v>3091</v>
      </c>
      <c r="CH418" s="3070" t="s">
        <v>3240</v>
      </c>
      <c r="CI418" s="3070">
        <v>0</v>
      </c>
      <c r="CK418" s="3070" t="s">
        <v>4068</v>
      </c>
      <c r="CL418" s="3070" t="s">
        <v>4065</v>
      </c>
      <c r="CM418" s="3070">
        <v>1613429.36</v>
      </c>
      <c r="CV418" s="3070" t="s">
        <v>3494</v>
      </c>
      <c r="CW418" s="3070" t="s">
        <v>6701</v>
      </c>
      <c r="CX418" s="3070" t="s">
        <v>3311</v>
      </c>
      <c r="CZ418" s="3070">
        <v>213894.57</v>
      </c>
      <c r="DA418" s="3070">
        <v>159426.93</v>
      </c>
      <c r="DB418" s="3070">
        <v>0</v>
      </c>
      <c r="DC418" s="3070">
        <v>0</v>
      </c>
      <c r="DD418" s="3070">
        <v>3290547602</v>
      </c>
      <c r="DE418" s="3070">
        <v>2764253109</v>
      </c>
      <c r="DF418" s="3070">
        <v>1464966739</v>
      </c>
      <c r="DG418" s="3070">
        <v>14938370</v>
      </c>
      <c r="DH418" s="3070">
        <v>1284348000</v>
      </c>
      <c r="DI418" s="3070">
        <v>1278128000</v>
      </c>
      <c r="DJ418" s="3070">
        <v>6220000</v>
      </c>
      <c r="DK418" s="3070">
        <v>0</v>
      </c>
      <c r="DL418" s="3070">
        <v>0</v>
      </c>
      <c r="DM418" s="3070">
        <v>25491817.620000001</v>
      </c>
      <c r="DN418" s="3070">
        <v>2764253109</v>
      </c>
      <c r="DP418" s="3070">
        <v>2764253109</v>
      </c>
    </row>
    <row r="419" spans="1:120">
      <c r="A419" s="3070">
        <v>418</v>
      </c>
      <c r="B419" s="3070" t="s">
        <v>3224</v>
      </c>
      <c r="C419" s="3070">
        <v>4</v>
      </c>
      <c r="D419" s="3070">
        <v>2</v>
      </c>
      <c r="E419" s="3070">
        <v>404</v>
      </c>
      <c r="F419" s="3070" t="s">
        <v>6702</v>
      </c>
      <c r="G419" s="3070" t="s">
        <v>6703</v>
      </c>
      <c r="H419" s="3070">
        <v>1788638</v>
      </c>
      <c r="I419" s="3070">
        <v>1788638</v>
      </c>
      <c r="J419" s="3070">
        <v>132.99</v>
      </c>
      <c r="K419" s="3070">
        <v>100.87</v>
      </c>
      <c r="L419" s="3070">
        <v>0</v>
      </c>
      <c r="M419" s="3070">
        <v>0</v>
      </c>
      <c r="N419" s="3070">
        <v>15194.44</v>
      </c>
      <c r="O419" s="3070">
        <v>2020709</v>
      </c>
      <c r="P419" s="3070">
        <v>13449.42</v>
      </c>
      <c r="Q419" s="3070">
        <v>1788638</v>
      </c>
      <c r="R419" s="3070" t="s">
        <v>3227</v>
      </c>
      <c r="S419" s="3070" t="s">
        <v>6704</v>
      </c>
      <c r="T419" s="3070" t="s">
        <v>6705</v>
      </c>
      <c r="U419" s="3070" t="s">
        <v>3279</v>
      </c>
      <c r="V419" s="3070" t="s">
        <v>3230</v>
      </c>
      <c r="Y419" s="3070">
        <v>53659</v>
      </c>
      <c r="Z419" s="3070">
        <v>53659</v>
      </c>
      <c r="AA419" s="3070">
        <v>1038638</v>
      </c>
      <c r="AB419" s="3070">
        <v>0</v>
      </c>
      <c r="AC419" s="3070">
        <v>750000</v>
      </c>
      <c r="AD419" s="3070">
        <v>750000</v>
      </c>
      <c r="AE419" s="3070">
        <v>0</v>
      </c>
      <c r="AI419" s="3070" t="s">
        <v>3227</v>
      </c>
      <c r="AJ419" s="3070">
        <v>0</v>
      </c>
      <c r="AK419" s="3070">
        <v>0</v>
      </c>
      <c r="AL419" s="3070">
        <v>0</v>
      </c>
      <c r="AM419" s="3070">
        <v>13449.42</v>
      </c>
      <c r="AN419" s="3070">
        <v>1788638</v>
      </c>
      <c r="AP419" s="3070">
        <v>1788638</v>
      </c>
      <c r="AQ419" s="3072">
        <v>45230</v>
      </c>
      <c r="AT419" s="3073">
        <v>45770</v>
      </c>
      <c r="AV419" s="3070" t="s">
        <v>6706</v>
      </c>
      <c r="AW419" s="3070" t="s">
        <v>6707</v>
      </c>
      <c r="AX419" s="3070" t="s">
        <v>6708</v>
      </c>
      <c r="AY419" s="3070" t="s">
        <v>3587</v>
      </c>
      <c r="BC419" s="3070" t="s">
        <v>6709</v>
      </c>
      <c r="BD419" s="3070" t="s">
        <v>3075</v>
      </c>
      <c r="BI419" s="3070" t="s">
        <v>3295</v>
      </c>
      <c r="BJ419" s="3070" t="s">
        <v>3296</v>
      </c>
      <c r="BL419" s="3070" t="s">
        <v>6710</v>
      </c>
      <c r="BM419" s="3075">
        <v>44288</v>
      </c>
      <c r="BN419" s="3070">
        <v>-40</v>
      </c>
      <c r="BO419" s="3070" t="s">
        <v>3253</v>
      </c>
      <c r="BR419" s="3070">
        <v>0</v>
      </c>
      <c r="BS419" s="3070" t="s">
        <v>3238</v>
      </c>
      <c r="BT419" s="3070" t="s">
        <v>3481</v>
      </c>
      <c r="BZ419" s="3073">
        <v>44255.48333333333</v>
      </c>
      <c r="CA419" s="3070">
        <v>4</v>
      </c>
      <c r="CB419" s="3070" t="s">
        <v>3481</v>
      </c>
      <c r="CD419" s="3070" t="s">
        <v>3239</v>
      </c>
      <c r="CF419" s="3070" t="s">
        <v>3091</v>
      </c>
      <c r="CH419" s="3070" t="s">
        <v>3240</v>
      </c>
      <c r="CI419" s="3070">
        <v>0</v>
      </c>
      <c r="CK419" s="3070" t="s">
        <v>3587</v>
      </c>
      <c r="CL419" s="3070" t="s">
        <v>3587</v>
      </c>
      <c r="CM419" s="3070">
        <v>1640952.29</v>
      </c>
      <c r="CV419" s="3070" t="s">
        <v>3482</v>
      </c>
      <c r="CW419" s="3070" t="s">
        <v>6711</v>
      </c>
      <c r="CZ419" s="3070">
        <v>213894.57</v>
      </c>
      <c r="DA419" s="3070">
        <v>159426.93</v>
      </c>
      <c r="DB419" s="3070">
        <v>0</v>
      </c>
      <c r="DC419" s="3070">
        <v>0</v>
      </c>
      <c r="DD419" s="3070">
        <v>3290547602</v>
      </c>
      <c r="DE419" s="3070">
        <v>2764253109</v>
      </c>
      <c r="DF419" s="3070">
        <v>1464966739</v>
      </c>
      <c r="DG419" s="3070">
        <v>14938370</v>
      </c>
      <c r="DH419" s="3070">
        <v>1284348000</v>
      </c>
      <c r="DI419" s="3070">
        <v>1278128000</v>
      </c>
      <c r="DJ419" s="3070">
        <v>6220000</v>
      </c>
      <c r="DK419" s="3070">
        <v>0</v>
      </c>
      <c r="DL419" s="3070">
        <v>0</v>
      </c>
      <c r="DM419" s="3070">
        <v>25491817.620000001</v>
      </c>
      <c r="DN419" s="3070">
        <v>2764253109</v>
      </c>
      <c r="DP419" s="3070">
        <v>2764253109</v>
      </c>
    </row>
    <row r="420" spans="1:120">
      <c r="A420" s="3070">
        <v>419</v>
      </c>
      <c r="B420" s="3070" t="s">
        <v>3224</v>
      </c>
      <c r="C420" s="3070">
        <v>4</v>
      </c>
      <c r="D420" s="3070">
        <v>2</v>
      </c>
      <c r="E420" s="3070">
        <v>405</v>
      </c>
      <c r="F420" s="3070" t="s">
        <v>6712</v>
      </c>
      <c r="G420" s="3070" t="s">
        <v>6713</v>
      </c>
      <c r="H420" s="3070">
        <v>1319080</v>
      </c>
      <c r="I420" s="3070">
        <v>1319080</v>
      </c>
      <c r="J420" s="3070">
        <v>105.02</v>
      </c>
      <c r="K420" s="3070">
        <v>79.66</v>
      </c>
      <c r="L420" s="3070">
        <v>0</v>
      </c>
      <c r="M420" s="3070">
        <v>0</v>
      </c>
      <c r="N420" s="3070">
        <v>15494.44</v>
      </c>
      <c r="O420" s="3070">
        <v>1627226</v>
      </c>
      <c r="P420" s="3070">
        <v>12560.27</v>
      </c>
      <c r="Q420" s="3070">
        <v>1319080</v>
      </c>
      <c r="R420" s="3070" t="s">
        <v>3227</v>
      </c>
      <c r="S420" s="3070" t="s">
        <v>6714</v>
      </c>
      <c r="T420" s="3070" t="s">
        <v>3246</v>
      </c>
      <c r="U420" s="3070" t="s">
        <v>3371</v>
      </c>
      <c r="V420" s="3070" t="s">
        <v>3230</v>
      </c>
      <c r="Y420" s="3070">
        <v>1019080</v>
      </c>
      <c r="Z420" s="3070">
        <v>1019080</v>
      </c>
      <c r="AA420" s="3070">
        <v>1019080</v>
      </c>
      <c r="AB420" s="3070">
        <v>0</v>
      </c>
      <c r="AC420" s="3070">
        <v>300000</v>
      </c>
      <c r="AD420" s="3070">
        <v>300000</v>
      </c>
      <c r="AE420" s="3070">
        <v>0</v>
      </c>
      <c r="AI420" s="3070" t="s">
        <v>3227</v>
      </c>
      <c r="AJ420" s="3070">
        <v>0</v>
      </c>
      <c r="AK420" s="3070">
        <v>0</v>
      </c>
      <c r="AL420" s="3070">
        <v>0</v>
      </c>
      <c r="AM420" s="3070">
        <v>12560.27</v>
      </c>
      <c r="AN420" s="3070">
        <v>1319080</v>
      </c>
      <c r="AP420" s="3070">
        <v>1319080</v>
      </c>
      <c r="AQ420" s="3072">
        <v>45230</v>
      </c>
      <c r="AT420" s="3073">
        <v>45770</v>
      </c>
      <c r="AV420" s="3070" t="s">
        <v>6715</v>
      </c>
      <c r="AW420" s="3070" t="s">
        <v>6716</v>
      </c>
      <c r="AX420" s="3070" t="s">
        <v>6717</v>
      </c>
      <c r="AY420" s="3070" t="s">
        <v>4618</v>
      </c>
      <c r="BC420" s="3070" t="s">
        <v>3284</v>
      </c>
      <c r="BD420" s="3070" t="s">
        <v>3077</v>
      </c>
      <c r="BI420" s="3070" t="s">
        <v>3295</v>
      </c>
      <c r="BL420" s="3070" t="s">
        <v>6718</v>
      </c>
      <c r="BM420" s="3075">
        <v>44288</v>
      </c>
      <c r="BN420" s="3070">
        <v>-40</v>
      </c>
      <c r="BO420" s="3070" t="s">
        <v>3253</v>
      </c>
      <c r="BR420" s="3070">
        <v>728</v>
      </c>
      <c r="BS420" s="3070" t="s">
        <v>3238</v>
      </c>
      <c r="BZ420" s="3073">
        <v>44143.678472222222</v>
      </c>
      <c r="CA420" s="3070">
        <v>4</v>
      </c>
      <c r="CD420" s="3070" t="s">
        <v>3239</v>
      </c>
      <c r="CF420" s="3070" t="s">
        <v>3091</v>
      </c>
      <c r="CH420" s="3070" t="s">
        <v>3240</v>
      </c>
      <c r="CI420" s="3070">
        <v>0</v>
      </c>
      <c r="CK420" s="3070" t="s">
        <v>4618</v>
      </c>
      <c r="CL420" s="3070" t="s">
        <v>4618</v>
      </c>
      <c r="CM420" s="3070">
        <v>1210165.1399999999</v>
      </c>
      <c r="CV420" s="3070" t="s">
        <v>3246</v>
      </c>
      <c r="CW420" s="3070" t="s">
        <v>6719</v>
      </c>
      <c r="CZ420" s="3070">
        <v>213894.57</v>
      </c>
      <c r="DA420" s="3070">
        <v>159426.93</v>
      </c>
      <c r="DB420" s="3070">
        <v>0</v>
      </c>
      <c r="DC420" s="3070">
        <v>0</v>
      </c>
      <c r="DD420" s="3070">
        <v>3290547602</v>
      </c>
      <c r="DE420" s="3070">
        <v>2764253109</v>
      </c>
      <c r="DF420" s="3070">
        <v>1464966739</v>
      </c>
      <c r="DG420" s="3070">
        <v>14938370</v>
      </c>
      <c r="DH420" s="3070">
        <v>1284348000</v>
      </c>
      <c r="DI420" s="3070">
        <v>1278128000</v>
      </c>
      <c r="DJ420" s="3070">
        <v>6220000</v>
      </c>
      <c r="DK420" s="3070">
        <v>0</v>
      </c>
      <c r="DL420" s="3070">
        <v>0</v>
      </c>
      <c r="DM420" s="3070">
        <v>25491817.620000001</v>
      </c>
      <c r="DN420" s="3070">
        <v>2764253109</v>
      </c>
      <c r="DP420" s="3070">
        <v>2764253109</v>
      </c>
    </row>
    <row r="421" spans="1:120">
      <c r="A421" s="3070">
        <v>420</v>
      </c>
      <c r="B421" s="3070" t="s">
        <v>3224</v>
      </c>
      <c r="C421" s="3070">
        <v>4</v>
      </c>
      <c r="D421" s="3070">
        <v>2</v>
      </c>
      <c r="E421" s="3070">
        <v>406</v>
      </c>
      <c r="F421" s="3070" t="s">
        <v>6720</v>
      </c>
      <c r="G421" s="3070" t="s">
        <v>6721</v>
      </c>
      <c r="H421" s="3070">
        <v>1807450</v>
      </c>
      <c r="I421" s="3070">
        <v>1807450</v>
      </c>
      <c r="J421" s="3070">
        <v>132.62</v>
      </c>
      <c r="K421" s="3070">
        <v>100.59</v>
      </c>
      <c r="L421" s="3070">
        <v>0</v>
      </c>
      <c r="M421" s="3070">
        <v>0</v>
      </c>
      <c r="N421" s="3070">
        <v>15394.44</v>
      </c>
      <c r="O421" s="3070">
        <v>2041611</v>
      </c>
      <c r="P421" s="3070">
        <v>13628.79</v>
      </c>
      <c r="Q421" s="3070">
        <v>1807450</v>
      </c>
      <c r="R421" s="3070" t="s">
        <v>3227</v>
      </c>
      <c r="S421" s="3070" t="s">
        <v>6722</v>
      </c>
      <c r="T421" s="3070" t="s">
        <v>4061</v>
      </c>
      <c r="V421" s="3070" t="s">
        <v>3230</v>
      </c>
      <c r="Y421" s="3070">
        <v>180745</v>
      </c>
      <c r="Z421" s="3070">
        <v>180745</v>
      </c>
      <c r="AA421" s="3070">
        <v>1807450</v>
      </c>
      <c r="AB421" s="3070">
        <v>0</v>
      </c>
      <c r="AC421" s="3070">
        <v>0</v>
      </c>
      <c r="AD421" s="3070">
        <v>0</v>
      </c>
      <c r="AE421" s="3070">
        <v>0</v>
      </c>
      <c r="AI421" s="3070" t="s">
        <v>3227</v>
      </c>
      <c r="AJ421" s="3070">
        <v>0</v>
      </c>
      <c r="AK421" s="3070">
        <v>0</v>
      </c>
      <c r="AL421" s="3070">
        <v>0</v>
      </c>
      <c r="AM421" s="3070">
        <v>13628.79</v>
      </c>
      <c r="AN421" s="3070">
        <v>1807450</v>
      </c>
      <c r="AP421" s="3070">
        <v>1807450</v>
      </c>
      <c r="AQ421" s="3072">
        <v>45230</v>
      </c>
      <c r="AT421" s="3073">
        <v>45770</v>
      </c>
      <c r="AV421" s="3070" t="s">
        <v>6723</v>
      </c>
      <c r="AW421" s="3070" t="s">
        <v>6724</v>
      </c>
      <c r="AX421" s="3070" t="s">
        <v>6725</v>
      </c>
      <c r="AY421" s="3070" t="s">
        <v>4100</v>
      </c>
      <c r="BC421" s="3070" t="s">
        <v>4066</v>
      </c>
      <c r="BD421" s="3070" t="s">
        <v>3075</v>
      </c>
      <c r="BI421" s="3070" t="s">
        <v>3235</v>
      </c>
      <c r="BL421" s="3070" t="s">
        <v>6726</v>
      </c>
      <c r="BM421" s="3075">
        <v>44288</v>
      </c>
      <c r="BN421" s="3070">
        <v>-40</v>
      </c>
      <c r="BR421" s="3070">
        <v>0</v>
      </c>
      <c r="BS421" s="3070" t="s">
        <v>3238</v>
      </c>
      <c r="BZ421" s="3073">
        <v>44247.648611111108</v>
      </c>
      <c r="CA421" s="3070">
        <v>4</v>
      </c>
      <c r="CD421" s="3070" t="s">
        <v>3239</v>
      </c>
      <c r="CF421" s="3070" t="s">
        <v>3091</v>
      </c>
      <c r="CH421" s="3070" t="s">
        <v>3240</v>
      </c>
      <c r="CI421" s="3070">
        <v>0</v>
      </c>
      <c r="CK421" s="3070" t="s">
        <v>4100</v>
      </c>
      <c r="CL421" s="3070" t="s">
        <v>4100</v>
      </c>
      <c r="CM421" s="3070">
        <v>1658211.01</v>
      </c>
      <c r="CV421" s="3070" t="s">
        <v>3494</v>
      </c>
      <c r="CW421" s="3070" t="s">
        <v>6727</v>
      </c>
      <c r="CX421" s="3070" t="s">
        <v>3267</v>
      </c>
      <c r="CZ421" s="3070">
        <v>213894.57</v>
      </c>
      <c r="DA421" s="3070">
        <v>159426.93</v>
      </c>
      <c r="DB421" s="3070">
        <v>0</v>
      </c>
      <c r="DC421" s="3070">
        <v>0</v>
      </c>
      <c r="DD421" s="3070">
        <v>3290547602</v>
      </c>
      <c r="DE421" s="3070">
        <v>2764253109</v>
      </c>
      <c r="DF421" s="3070">
        <v>1464966739</v>
      </c>
      <c r="DG421" s="3070">
        <v>14938370</v>
      </c>
      <c r="DH421" s="3070">
        <v>1284348000</v>
      </c>
      <c r="DI421" s="3070">
        <v>1278128000</v>
      </c>
      <c r="DJ421" s="3070">
        <v>6220000</v>
      </c>
      <c r="DK421" s="3070">
        <v>0</v>
      </c>
      <c r="DL421" s="3070">
        <v>0</v>
      </c>
      <c r="DM421" s="3070">
        <v>25491817.620000001</v>
      </c>
      <c r="DN421" s="3070">
        <v>2764253109</v>
      </c>
      <c r="DP421" s="3070">
        <v>2764253109</v>
      </c>
    </row>
    <row r="422" spans="1:120">
      <c r="A422" s="3070">
        <v>421</v>
      </c>
      <c r="B422" s="3070" t="s">
        <v>3224</v>
      </c>
      <c r="C422" s="3070">
        <v>4</v>
      </c>
      <c r="D422" s="3070">
        <v>1</v>
      </c>
      <c r="E422" s="3070">
        <v>501</v>
      </c>
      <c r="F422" s="3070" t="s">
        <v>6728</v>
      </c>
      <c r="G422" s="3070" t="s">
        <v>6729</v>
      </c>
      <c r="H422" s="3070">
        <v>1678215</v>
      </c>
      <c r="I422" s="3070">
        <v>1678215</v>
      </c>
      <c r="J422" s="3070">
        <v>132.62</v>
      </c>
      <c r="K422" s="3070">
        <v>100.59</v>
      </c>
      <c r="L422" s="3070">
        <v>0</v>
      </c>
      <c r="M422" s="3070">
        <v>0</v>
      </c>
      <c r="N422" s="3070">
        <v>15494.44</v>
      </c>
      <c r="O422" s="3070">
        <v>2054873</v>
      </c>
      <c r="P422" s="3070">
        <v>12654.31</v>
      </c>
      <c r="Q422" s="3070">
        <v>1678215</v>
      </c>
      <c r="R422" s="3070" t="s">
        <v>3227</v>
      </c>
      <c r="S422" s="3070" t="s">
        <v>6730</v>
      </c>
      <c r="T422" s="3070" t="s">
        <v>3494</v>
      </c>
      <c r="V422" s="3070" t="s">
        <v>3230</v>
      </c>
      <c r="Y422" s="3070">
        <v>167822</v>
      </c>
      <c r="Z422" s="3070">
        <v>167822</v>
      </c>
      <c r="AA422" s="3070">
        <v>1678215</v>
      </c>
      <c r="AB422" s="3070">
        <v>0</v>
      </c>
      <c r="AC422" s="3070">
        <v>0</v>
      </c>
      <c r="AD422" s="3070">
        <v>0</v>
      </c>
      <c r="AE422" s="3070">
        <v>0</v>
      </c>
      <c r="AI422" s="3070" t="s">
        <v>3227</v>
      </c>
      <c r="AJ422" s="3070">
        <v>0</v>
      </c>
      <c r="AK422" s="3070">
        <v>0</v>
      </c>
      <c r="AL422" s="3070">
        <v>0</v>
      </c>
      <c r="AM422" s="3070">
        <v>12654.31</v>
      </c>
      <c r="AN422" s="3070">
        <v>1678215</v>
      </c>
      <c r="AP422" s="3070">
        <v>1678215</v>
      </c>
      <c r="AQ422" s="3072">
        <v>45230</v>
      </c>
      <c r="AT422" s="3073">
        <v>45770</v>
      </c>
      <c r="AV422" s="3070" t="s">
        <v>6731</v>
      </c>
      <c r="AW422" s="3070" t="s">
        <v>6732</v>
      </c>
      <c r="AX422" s="3070" t="s">
        <v>6733</v>
      </c>
      <c r="AY422" s="3070" t="s">
        <v>3883</v>
      </c>
      <c r="BA422" s="3070" t="s">
        <v>3883</v>
      </c>
      <c r="BC422" s="3070" t="s">
        <v>6734</v>
      </c>
      <c r="BD422" s="3070" t="s">
        <v>3075</v>
      </c>
      <c r="BI422" s="3070" t="s">
        <v>3295</v>
      </c>
      <c r="BL422" s="3070" t="s">
        <v>6735</v>
      </c>
      <c r="BM422" s="3075">
        <v>44287</v>
      </c>
      <c r="BN422" s="3070">
        <v>-50</v>
      </c>
      <c r="BR422" s="3070">
        <v>23</v>
      </c>
      <c r="BS422" s="3070" t="s">
        <v>3238</v>
      </c>
      <c r="BU422" s="3070" t="s">
        <v>3883</v>
      </c>
      <c r="BZ422" s="3073">
        <v>44215.597222222219</v>
      </c>
      <c r="CA422" s="3070">
        <v>4</v>
      </c>
      <c r="CD422" s="3070" t="s">
        <v>3239</v>
      </c>
      <c r="CF422" s="3070" t="s">
        <v>3091</v>
      </c>
      <c r="CH422" s="3070" t="s">
        <v>3240</v>
      </c>
      <c r="CI422" s="3070">
        <v>0</v>
      </c>
      <c r="CK422" s="3070" t="s">
        <v>3883</v>
      </c>
      <c r="CL422" s="3070" t="s">
        <v>4303</v>
      </c>
      <c r="CM422" s="3070">
        <v>1539646.79</v>
      </c>
      <c r="CV422" s="3070" t="s">
        <v>3494</v>
      </c>
      <c r="CW422" s="3070" t="s">
        <v>6736</v>
      </c>
      <c r="CZ422" s="3070">
        <v>213894.57</v>
      </c>
      <c r="DA422" s="3070">
        <v>159426.93</v>
      </c>
      <c r="DB422" s="3070">
        <v>0</v>
      </c>
      <c r="DC422" s="3070">
        <v>0</v>
      </c>
      <c r="DD422" s="3070">
        <v>3290547602</v>
      </c>
      <c r="DE422" s="3070">
        <v>2764253109</v>
      </c>
      <c r="DF422" s="3070">
        <v>1464966739</v>
      </c>
      <c r="DG422" s="3070">
        <v>14938370</v>
      </c>
      <c r="DH422" s="3070">
        <v>1284348000</v>
      </c>
      <c r="DI422" s="3070">
        <v>1278128000</v>
      </c>
      <c r="DJ422" s="3070">
        <v>6220000</v>
      </c>
      <c r="DK422" s="3070">
        <v>0</v>
      </c>
      <c r="DL422" s="3070">
        <v>0</v>
      </c>
      <c r="DM422" s="3070">
        <v>25491817.620000001</v>
      </c>
      <c r="DN422" s="3070">
        <v>2764253109</v>
      </c>
      <c r="DP422" s="3070">
        <v>2764253109</v>
      </c>
    </row>
    <row r="423" spans="1:120">
      <c r="A423" s="3070">
        <v>422</v>
      </c>
      <c r="B423" s="3070" t="s">
        <v>3224</v>
      </c>
      <c r="C423" s="3070">
        <v>4</v>
      </c>
      <c r="D423" s="3070">
        <v>1</v>
      </c>
      <c r="E423" s="3070">
        <v>502</v>
      </c>
      <c r="F423" s="3070" t="s">
        <v>6737</v>
      </c>
      <c r="G423" s="3070" t="s">
        <v>6738</v>
      </c>
      <c r="H423" s="3070">
        <v>1320714</v>
      </c>
      <c r="I423" s="3070">
        <v>1320714</v>
      </c>
      <c r="J423" s="3070">
        <v>105.02</v>
      </c>
      <c r="K423" s="3070">
        <v>79.66</v>
      </c>
      <c r="L423" s="3070">
        <v>0</v>
      </c>
      <c r="M423" s="3070">
        <v>0</v>
      </c>
      <c r="N423" s="3070">
        <v>15644.44</v>
      </c>
      <c r="O423" s="3070">
        <v>1642979</v>
      </c>
      <c r="P423" s="3070">
        <v>12575.83</v>
      </c>
      <c r="Q423" s="3070">
        <v>1320714</v>
      </c>
      <c r="R423" s="3070" t="s">
        <v>3227</v>
      </c>
      <c r="S423" s="3070" t="s">
        <v>6739</v>
      </c>
      <c r="T423" s="3070" t="s">
        <v>3229</v>
      </c>
      <c r="V423" s="3070" t="s">
        <v>3230</v>
      </c>
      <c r="Y423" s="3070">
        <v>396214</v>
      </c>
      <c r="Z423" s="3070">
        <v>1124055</v>
      </c>
      <c r="AA423" s="3070">
        <v>1320714</v>
      </c>
      <c r="AB423" s="3070">
        <v>0</v>
      </c>
      <c r="AC423" s="3070">
        <v>0</v>
      </c>
      <c r="AD423" s="3070">
        <v>0</v>
      </c>
      <c r="AE423" s="3070">
        <v>0</v>
      </c>
      <c r="AI423" s="3070" t="s">
        <v>3227</v>
      </c>
      <c r="AJ423" s="3070">
        <v>0</v>
      </c>
      <c r="AK423" s="3070">
        <v>0</v>
      </c>
      <c r="AL423" s="3070">
        <v>0</v>
      </c>
      <c r="AM423" s="3070">
        <v>12575.83</v>
      </c>
      <c r="AN423" s="3070">
        <v>1320714</v>
      </c>
      <c r="AP423" s="3070">
        <v>1320714</v>
      </c>
      <c r="AQ423" s="3072">
        <v>45230</v>
      </c>
      <c r="AT423" s="3073">
        <v>45770</v>
      </c>
      <c r="AV423" s="3070" t="s">
        <v>6740</v>
      </c>
      <c r="AW423" s="3070" t="s">
        <v>6741</v>
      </c>
      <c r="AX423" s="3070" t="s">
        <v>6742</v>
      </c>
      <c r="AY423" s="3070" t="s">
        <v>3597</v>
      </c>
      <c r="BC423" s="3070" t="s">
        <v>3347</v>
      </c>
      <c r="BD423" s="3070" t="s">
        <v>3077</v>
      </c>
      <c r="BI423" s="3070" t="s">
        <v>3235</v>
      </c>
      <c r="BJ423" s="3070" t="s">
        <v>3338</v>
      </c>
      <c r="BL423" s="3070" t="s">
        <v>6743</v>
      </c>
      <c r="BM423" s="3075">
        <v>44287</v>
      </c>
      <c r="BN423" s="3070">
        <v>-50</v>
      </c>
      <c r="BR423" s="3070">
        <v>196</v>
      </c>
      <c r="BS423" s="3070" t="s">
        <v>3238</v>
      </c>
      <c r="BZ423" s="3073">
        <v>44147.623611111114</v>
      </c>
      <c r="CA423" s="3070">
        <v>4</v>
      </c>
      <c r="CD423" s="3070" t="s">
        <v>3239</v>
      </c>
      <c r="CF423" s="3070" t="s">
        <v>3091</v>
      </c>
      <c r="CH423" s="3070" t="s">
        <v>3240</v>
      </c>
      <c r="CI423" s="3070">
        <v>0</v>
      </c>
      <c r="CK423" s="3070" t="s">
        <v>3597</v>
      </c>
      <c r="CL423" s="3070" t="s">
        <v>3597</v>
      </c>
      <c r="CM423" s="3070">
        <v>1211664.22</v>
      </c>
      <c r="CV423" s="3070" t="s">
        <v>3229</v>
      </c>
      <c r="CW423" s="3070" t="s">
        <v>6744</v>
      </c>
      <c r="CZ423" s="3070">
        <v>213894.57</v>
      </c>
      <c r="DA423" s="3070">
        <v>159426.93</v>
      </c>
      <c r="DB423" s="3070">
        <v>0</v>
      </c>
      <c r="DC423" s="3070">
        <v>0</v>
      </c>
      <c r="DD423" s="3070">
        <v>3290547602</v>
      </c>
      <c r="DE423" s="3070">
        <v>2764253109</v>
      </c>
      <c r="DF423" s="3070">
        <v>1464966739</v>
      </c>
      <c r="DG423" s="3070">
        <v>14938370</v>
      </c>
      <c r="DH423" s="3070">
        <v>1284348000</v>
      </c>
      <c r="DI423" s="3070">
        <v>1278128000</v>
      </c>
      <c r="DJ423" s="3070">
        <v>6220000</v>
      </c>
      <c r="DK423" s="3070">
        <v>0</v>
      </c>
      <c r="DL423" s="3070">
        <v>0</v>
      </c>
      <c r="DM423" s="3070">
        <v>25491817.620000001</v>
      </c>
      <c r="DN423" s="3070">
        <v>2764253109</v>
      </c>
      <c r="DP423" s="3070">
        <v>2764253109</v>
      </c>
    </row>
    <row r="424" spans="1:120">
      <c r="A424" s="3070">
        <v>423</v>
      </c>
      <c r="B424" s="3070" t="s">
        <v>3224</v>
      </c>
      <c r="C424" s="3070">
        <v>4</v>
      </c>
      <c r="D424" s="3070">
        <v>1</v>
      </c>
      <c r="E424" s="3070">
        <v>503</v>
      </c>
      <c r="F424" s="3070" t="s">
        <v>6745</v>
      </c>
      <c r="G424" s="3070" t="s">
        <v>6746</v>
      </c>
      <c r="H424" s="3070">
        <v>1746559</v>
      </c>
      <c r="I424" s="3070">
        <v>1746559</v>
      </c>
      <c r="J424" s="3070">
        <v>132.99</v>
      </c>
      <c r="K424" s="3070">
        <v>100.87</v>
      </c>
      <c r="L424" s="3070">
        <v>0</v>
      </c>
      <c r="M424" s="3070">
        <v>0</v>
      </c>
      <c r="N424" s="3070">
        <v>15344.44</v>
      </c>
      <c r="O424" s="3070">
        <v>2040657</v>
      </c>
      <c r="P424" s="3070">
        <v>13133.01</v>
      </c>
      <c r="Q424" s="3070">
        <v>1746559</v>
      </c>
      <c r="R424" s="3070" t="s">
        <v>3227</v>
      </c>
      <c r="S424" s="3070" t="s">
        <v>6747</v>
      </c>
      <c r="T424" s="3070" t="s">
        <v>3494</v>
      </c>
      <c r="V424" s="3070" t="s">
        <v>3230</v>
      </c>
      <c r="Y424" s="3070">
        <v>174656</v>
      </c>
      <c r="Z424" s="3070">
        <v>174656</v>
      </c>
      <c r="AA424" s="3070">
        <v>1746559</v>
      </c>
      <c r="AB424" s="3070">
        <v>0</v>
      </c>
      <c r="AC424" s="3070">
        <v>0</v>
      </c>
      <c r="AD424" s="3070">
        <v>0</v>
      </c>
      <c r="AE424" s="3070">
        <v>0</v>
      </c>
      <c r="AI424" s="3070" t="s">
        <v>3227</v>
      </c>
      <c r="AJ424" s="3070">
        <v>0</v>
      </c>
      <c r="AK424" s="3070">
        <v>0</v>
      </c>
      <c r="AL424" s="3070">
        <v>0</v>
      </c>
      <c r="AM424" s="3070">
        <v>13133.01</v>
      </c>
      <c r="AN424" s="3070">
        <v>1746559</v>
      </c>
      <c r="AP424" s="3070">
        <v>1746559</v>
      </c>
      <c r="AQ424" s="3072">
        <v>45230</v>
      </c>
      <c r="AT424" s="3073">
        <v>45770</v>
      </c>
      <c r="AV424" s="3070" t="s">
        <v>6748</v>
      </c>
      <c r="AW424" s="3070" t="s">
        <v>6749</v>
      </c>
      <c r="AX424" s="3070" t="s">
        <v>6750</v>
      </c>
      <c r="AY424" s="3070" t="s">
        <v>3419</v>
      </c>
      <c r="BC424" s="3070" t="s">
        <v>4117</v>
      </c>
      <c r="BD424" s="3070" t="s">
        <v>3075</v>
      </c>
      <c r="BI424" s="3070" t="s">
        <v>3235</v>
      </c>
      <c r="BL424" s="3070" t="s">
        <v>6751</v>
      </c>
      <c r="BM424" s="3075">
        <v>44287</v>
      </c>
      <c r="BN424" s="3070">
        <v>-50</v>
      </c>
      <c r="BR424" s="3070">
        <v>16</v>
      </c>
      <c r="BS424" s="3070" t="s">
        <v>3238</v>
      </c>
      <c r="BV424" s="3070" t="s">
        <v>6752</v>
      </c>
      <c r="BZ424" s="3073">
        <v>44185.638888888891</v>
      </c>
      <c r="CA424" s="3070">
        <v>4</v>
      </c>
      <c r="CD424" s="3070" t="s">
        <v>3239</v>
      </c>
      <c r="CF424" s="3070" t="s">
        <v>3091</v>
      </c>
      <c r="CH424" s="3070" t="s">
        <v>3240</v>
      </c>
      <c r="CI424" s="3070">
        <v>0</v>
      </c>
      <c r="CK424" s="3070" t="s">
        <v>3419</v>
      </c>
      <c r="CL424" s="3070" t="s">
        <v>3419</v>
      </c>
      <c r="CM424" s="3070">
        <v>1602347.71</v>
      </c>
      <c r="CV424" s="3070" t="s">
        <v>3494</v>
      </c>
      <c r="CW424" s="3070" t="s">
        <v>6753</v>
      </c>
      <c r="CZ424" s="3070">
        <v>213894.57</v>
      </c>
      <c r="DA424" s="3070">
        <v>159426.93</v>
      </c>
      <c r="DB424" s="3070">
        <v>0</v>
      </c>
      <c r="DC424" s="3070">
        <v>0</v>
      </c>
      <c r="DD424" s="3070">
        <v>3290547602</v>
      </c>
      <c r="DE424" s="3070">
        <v>2764253109</v>
      </c>
      <c r="DF424" s="3070">
        <v>1464966739</v>
      </c>
      <c r="DG424" s="3070">
        <v>14938370</v>
      </c>
      <c r="DH424" s="3070">
        <v>1284348000</v>
      </c>
      <c r="DI424" s="3070">
        <v>1278128000</v>
      </c>
      <c r="DJ424" s="3070">
        <v>6220000</v>
      </c>
      <c r="DK424" s="3070">
        <v>0</v>
      </c>
      <c r="DL424" s="3070">
        <v>0</v>
      </c>
      <c r="DM424" s="3070">
        <v>25491817.620000001</v>
      </c>
      <c r="DN424" s="3070">
        <v>2764253109</v>
      </c>
      <c r="DP424" s="3070">
        <v>2764253109</v>
      </c>
    </row>
    <row r="425" spans="1:120">
      <c r="A425" s="3070">
        <v>424</v>
      </c>
      <c r="B425" s="3070" t="s">
        <v>3224</v>
      </c>
      <c r="C425" s="3070">
        <v>4</v>
      </c>
      <c r="D425" s="3070">
        <v>2</v>
      </c>
      <c r="E425" s="3070">
        <v>504</v>
      </c>
      <c r="F425" s="3070" t="s">
        <v>6754</v>
      </c>
      <c r="G425" s="3070" t="s">
        <v>6755</v>
      </c>
      <c r="H425" s="3070">
        <v>1683831</v>
      </c>
      <c r="I425" s="3070">
        <v>1683831</v>
      </c>
      <c r="J425" s="3070">
        <v>132.99</v>
      </c>
      <c r="K425" s="3070">
        <v>100.87</v>
      </c>
      <c r="L425" s="3070">
        <v>0</v>
      </c>
      <c r="M425" s="3070">
        <v>0</v>
      </c>
      <c r="N425" s="3070">
        <v>15344.44</v>
      </c>
      <c r="O425" s="3070">
        <v>2040657</v>
      </c>
      <c r="P425" s="3070">
        <v>12661.34</v>
      </c>
      <c r="Q425" s="3070">
        <v>1683831</v>
      </c>
      <c r="R425" s="3070" t="s">
        <v>3227</v>
      </c>
      <c r="S425" s="3070" t="s">
        <v>6756</v>
      </c>
      <c r="T425" s="3070" t="s">
        <v>3494</v>
      </c>
      <c r="V425" s="3070" t="s">
        <v>3230</v>
      </c>
      <c r="Y425" s="3070">
        <v>168383</v>
      </c>
      <c r="Z425" s="3070">
        <v>168383</v>
      </c>
      <c r="AA425" s="3070">
        <v>1683831</v>
      </c>
      <c r="AB425" s="3070">
        <v>0</v>
      </c>
      <c r="AC425" s="3070">
        <v>0</v>
      </c>
      <c r="AD425" s="3070">
        <v>0</v>
      </c>
      <c r="AE425" s="3070">
        <v>0</v>
      </c>
      <c r="AI425" s="3070" t="s">
        <v>3227</v>
      </c>
      <c r="AJ425" s="3070">
        <v>0</v>
      </c>
      <c r="AK425" s="3070">
        <v>0</v>
      </c>
      <c r="AL425" s="3070">
        <v>0</v>
      </c>
      <c r="AM425" s="3070">
        <v>12661.34</v>
      </c>
      <c r="AN425" s="3070">
        <v>1683831</v>
      </c>
      <c r="AP425" s="3070">
        <v>1683831</v>
      </c>
      <c r="AQ425" s="3072">
        <v>45230</v>
      </c>
      <c r="AT425" s="3073">
        <v>45770</v>
      </c>
      <c r="AV425" s="3074">
        <v>3.21E+17</v>
      </c>
      <c r="AW425" s="3070" t="s">
        <v>6757</v>
      </c>
      <c r="AX425" s="3070" t="s">
        <v>6758</v>
      </c>
      <c r="AY425" s="3070" t="s">
        <v>4706</v>
      </c>
      <c r="BA425" s="3070" t="s">
        <v>4706</v>
      </c>
      <c r="BC425" s="3070" t="s">
        <v>6759</v>
      </c>
      <c r="BD425" s="3070" t="s">
        <v>3075</v>
      </c>
      <c r="BI425" s="3070" t="s">
        <v>3295</v>
      </c>
      <c r="BL425" s="3070" t="s">
        <v>6760</v>
      </c>
      <c r="BM425" s="3075">
        <v>44288</v>
      </c>
      <c r="BN425" s="3070">
        <v>-50</v>
      </c>
      <c r="BR425" s="3070">
        <v>20</v>
      </c>
      <c r="BS425" s="3070" t="s">
        <v>3238</v>
      </c>
      <c r="BU425" s="3070" t="s">
        <v>4706</v>
      </c>
      <c r="BZ425" s="3073">
        <v>44216.758333333331</v>
      </c>
      <c r="CA425" s="3070">
        <v>4</v>
      </c>
      <c r="CD425" s="3070" t="s">
        <v>3239</v>
      </c>
      <c r="CF425" s="3070" t="s">
        <v>3091</v>
      </c>
      <c r="CH425" s="3070" t="s">
        <v>3240</v>
      </c>
      <c r="CI425" s="3070">
        <v>0</v>
      </c>
      <c r="CK425" s="3070" t="s">
        <v>4706</v>
      </c>
      <c r="CL425" s="3070" t="s">
        <v>4902</v>
      </c>
      <c r="CM425" s="3070">
        <v>1544799.08</v>
      </c>
      <c r="CV425" s="3070" t="s">
        <v>3494</v>
      </c>
      <c r="CW425" s="3070" t="s">
        <v>6761</v>
      </c>
      <c r="CZ425" s="3070">
        <v>213894.57</v>
      </c>
      <c r="DA425" s="3070">
        <v>159426.93</v>
      </c>
      <c r="DB425" s="3070">
        <v>0</v>
      </c>
      <c r="DC425" s="3070">
        <v>0</v>
      </c>
      <c r="DD425" s="3070">
        <v>3290547602</v>
      </c>
      <c r="DE425" s="3070">
        <v>2764253109</v>
      </c>
      <c r="DF425" s="3070">
        <v>1464966739</v>
      </c>
      <c r="DG425" s="3070">
        <v>14938370</v>
      </c>
      <c r="DH425" s="3070">
        <v>1284348000</v>
      </c>
      <c r="DI425" s="3070">
        <v>1278128000</v>
      </c>
      <c r="DJ425" s="3070">
        <v>6220000</v>
      </c>
      <c r="DK425" s="3070">
        <v>0</v>
      </c>
      <c r="DL425" s="3070">
        <v>0</v>
      </c>
      <c r="DM425" s="3070">
        <v>25491817.620000001</v>
      </c>
      <c r="DN425" s="3070">
        <v>2764253109</v>
      </c>
      <c r="DP425" s="3070">
        <v>2764253109</v>
      </c>
    </row>
    <row r="426" spans="1:120">
      <c r="A426" s="3070">
        <v>425</v>
      </c>
      <c r="B426" s="3070" t="s">
        <v>3224</v>
      </c>
      <c r="C426" s="3070">
        <v>4</v>
      </c>
      <c r="D426" s="3070">
        <v>2</v>
      </c>
      <c r="E426" s="3070">
        <v>505</v>
      </c>
      <c r="F426" s="3070" t="s">
        <v>6762</v>
      </c>
      <c r="G426" s="3070" t="s">
        <v>6763</v>
      </c>
      <c r="H426" s="3070">
        <v>1334055</v>
      </c>
      <c r="I426" s="3070">
        <v>1334055</v>
      </c>
      <c r="J426" s="3070">
        <v>105.02</v>
      </c>
      <c r="K426" s="3070">
        <v>79.66</v>
      </c>
      <c r="L426" s="3070">
        <v>0</v>
      </c>
      <c r="M426" s="3070">
        <v>0</v>
      </c>
      <c r="N426" s="3070">
        <v>15644.44</v>
      </c>
      <c r="O426" s="3070">
        <v>1642979</v>
      </c>
      <c r="P426" s="3070">
        <v>12702.87</v>
      </c>
      <c r="Q426" s="3070">
        <v>1334055</v>
      </c>
      <c r="R426" s="3070" t="s">
        <v>3227</v>
      </c>
      <c r="S426" s="3070" t="s">
        <v>6764</v>
      </c>
      <c r="T426" s="3070" t="s">
        <v>3246</v>
      </c>
      <c r="U426" s="3070" t="s">
        <v>3371</v>
      </c>
      <c r="V426" s="3070" t="s">
        <v>3230</v>
      </c>
      <c r="Y426" s="3070">
        <v>404055</v>
      </c>
      <c r="Z426" s="3070">
        <v>404055</v>
      </c>
      <c r="AA426" s="3070">
        <v>404055</v>
      </c>
      <c r="AB426" s="3070">
        <v>0</v>
      </c>
      <c r="AC426" s="3070">
        <v>930000</v>
      </c>
      <c r="AD426" s="3070">
        <v>930000</v>
      </c>
      <c r="AE426" s="3070">
        <v>0</v>
      </c>
      <c r="AI426" s="3070" t="s">
        <v>3227</v>
      </c>
      <c r="AJ426" s="3070">
        <v>0</v>
      </c>
      <c r="AK426" s="3070">
        <v>0</v>
      </c>
      <c r="AL426" s="3070">
        <v>0</v>
      </c>
      <c r="AM426" s="3070">
        <v>12702.87</v>
      </c>
      <c r="AN426" s="3070">
        <v>1334055</v>
      </c>
      <c r="AP426" s="3070">
        <v>1334055</v>
      </c>
      <c r="AQ426" s="3072">
        <v>45230</v>
      </c>
      <c r="AT426" s="3073">
        <v>45770</v>
      </c>
      <c r="AV426" s="3070" t="s">
        <v>6765</v>
      </c>
      <c r="AW426" s="3070" t="s">
        <v>6766</v>
      </c>
      <c r="AX426" s="3070" t="s">
        <v>6767</v>
      </c>
      <c r="AY426" s="3070" t="s">
        <v>3393</v>
      </c>
      <c r="BC426" s="3070" t="s">
        <v>3284</v>
      </c>
      <c r="BD426" s="3070" t="s">
        <v>3077</v>
      </c>
      <c r="BI426" s="3070" t="s">
        <v>3235</v>
      </c>
      <c r="BJ426" s="3070" t="s">
        <v>3296</v>
      </c>
      <c r="BL426" s="3070" t="s">
        <v>6768</v>
      </c>
      <c r="BM426" s="3075">
        <v>44288</v>
      </c>
      <c r="BN426" s="3070">
        <v>-50</v>
      </c>
      <c r="BO426" s="3070" t="s">
        <v>3253</v>
      </c>
      <c r="BR426" s="3070">
        <v>67</v>
      </c>
      <c r="BS426" s="3070" t="s">
        <v>3238</v>
      </c>
      <c r="BZ426" s="3073">
        <v>44147.4</v>
      </c>
      <c r="CA426" s="3070">
        <v>4</v>
      </c>
      <c r="CD426" s="3070" t="s">
        <v>3239</v>
      </c>
      <c r="CF426" s="3070" t="s">
        <v>3091</v>
      </c>
      <c r="CH426" s="3070" t="s">
        <v>3240</v>
      </c>
      <c r="CI426" s="3070">
        <v>0</v>
      </c>
      <c r="CK426" s="3070" t="s">
        <v>3393</v>
      </c>
      <c r="CL426" s="3070" t="s">
        <v>3393</v>
      </c>
      <c r="CM426" s="3070">
        <v>1223903.67</v>
      </c>
      <c r="CV426" s="3070" t="s">
        <v>3246</v>
      </c>
      <c r="CW426" s="3070" t="s">
        <v>6769</v>
      </c>
      <c r="CX426" s="3070" t="s">
        <v>3510</v>
      </c>
      <c r="CZ426" s="3070">
        <v>213894.57</v>
      </c>
      <c r="DA426" s="3070">
        <v>159426.93</v>
      </c>
      <c r="DB426" s="3070">
        <v>0</v>
      </c>
      <c r="DC426" s="3070">
        <v>0</v>
      </c>
      <c r="DD426" s="3070">
        <v>3290547602</v>
      </c>
      <c r="DE426" s="3070">
        <v>2764253109</v>
      </c>
      <c r="DF426" s="3070">
        <v>1464966739</v>
      </c>
      <c r="DG426" s="3070">
        <v>14938370</v>
      </c>
      <c r="DH426" s="3070">
        <v>1284348000</v>
      </c>
      <c r="DI426" s="3070">
        <v>1278128000</v>
      </c>
      <c r="DJ426" s="3070">
        <v>6220000</v>
      </c>
      <c r="DK426" s="3070">
        <v>0</v>
      </c>
      <c r="DL426" s="3070">
        <v>0</v>
      </c>
      <c r="DM426" s="3070">
        <v>25491817.620000001</v>
      </c>
      <c r="DN426" s="3070">
        <v>2764253109</v>
      </c>
      <c r="DP426" s="3070">
        <v>2764253109</v>
      </c>
    </row>
    <row r="427" spans="1:120">
      <c r="A427" s="3070">
        <v>426</v>
      </c>
      <c r="B427" s="3070" t="s">
        <v>3224</v>
      </c>
      <c r="C427" s="3070">
        <v>4</v>
      </c>
      <c r="D427" s="3070">
        <v>2</v>
      </c>
      <c r="E427" s="3070">
        <v>506</v>
      </c>
      <c r="F427" s="3070" t="s">
        <v>6770</v>
      </c>
      <c r="G427" s="3070" t="s">
        <v>6771</v>
      </c>
      <c r="H427" s="3070">
        <v>1704032</v>
      </c>
      <c r="I427" s="3070">
        <v>1704032</v>
      </c>
      <c r="J427" s="3070">
        <v>132.62</v>
      </c>
      <c r="K427" s="3070">
        <v>100.59</v>
      </c>
      <c r="L427" s="3070">
        <v>0</v>
      </c>
      <c r="M427" s="3070">
        <v>0</v>
      </c>
      <c r="N427" s="3070">
        <v>15544.44</v>
      </c>
      <c r="O427" s="3070">
        <v>2061504</v>
      </c>
      <c r="P427" s="3070">
        <v>12848.98</v>
      </c>
      <c r="Q427" s="3070">
        <v>1704032</v>
      </c>
      <c r="R427" s="3070" t="s">
        <v>3227</v>
      </c>
      <c r="S427" s="3070" t="s">
        <v>6772</v>
      </c>
      <c r="T427" s="3070" t="s">
        <v>3494</v>
      </c>
      <c r="V427" s="3070" t="s">
        <v>3230</v>
      </c>
      <c r="Y427" s="3070">
        <v>170403</v>
      </c>
      <c r="Z427" s="3070">
        <v>170403</v>
      </c>
      <c r="AA427" s="3070">
        <v>1704032</v>
      </c>
      <c r="AB427" s="3070">
        <v>0</v>
      </c>
      <c r="AC427" s="3070">
        <v>0</v>
      </c>
      <c r="AD427" s="3070">
        <v>0</v>
      </c>
      <c r="AE427" s="3070">
        <v>0</v>
      </c>
      <c r="AI427" s="3070" t="s">
        <v>3227</v>
      </c>
      <c r="AJ427" s="3070">
        <v>0</v>
      </c>
      <c r="AK427" s="3070">
        <v>0</v>
      </c>
      <c r="AL427" s="3070">
        <v>0</v>
      </c>
      <c r="AM427" s="3070">
        <v>12848.98</v>
      </c>
      <c r="AN427" s="3070">
        <v>1704032</v>
      </c>
      <c r="AP427" s="3070">
        <v>1704032</v>
      </c>
      <c r="AQ427" s="3072">
        <v>45230</v>
      </c>
      <c r="AT427" s="3073">
        <v>45770</v>
      </c>
      <c r="AV427" s="3070" t="s">
        <v>6773</v>
      </c>
      <c r="AW427" s="3070" t="s">
        <v>6774</v>
      </c>
      <c r="AX427" s="3070" t="s">
        <v>6775</v>
      </c>
      <c r="AY427" s="3070" t="s">
        <v>4019</v>
      </c>
      <c r="BA427" s="3070" t="s">
        <v>4019</v>
      </c>
      <c r="BC427" s="3070" t="s">
        <v>6776</v>
      </c>
      <c r="BD427" s="3070" t="s">
        <v>3075</v>
      </c>
      <c r="BI427" s="3070" t="s">
        <v>3295</v>
      </c>
      <c r="BL427" s="3070" t="s">
        <v>6777</v>
      </c>
      <c r="BM427" s="3075">
        <v>44288</v>
      </c>
      <c r="BN427" s="3070">
        <v>-50</v>
      </c>
      <c r="BR427" s="3070">
        <v>24</v>
      </c>
      <c r="BS427" s="3070" t="s">
        <v>3238</v>
      </c>
      <c r="BU427" s="3070" t="s">
        <v>4019</v>
      </c>
      <c r="BZ427" s="3073">
        <v>44219.475694444445</v>
      </c>
      <c r="CA427" s="3070">
        <v>4</v>
      </c>
      <c r="CD427" s="3070" t="s">
        <v>3239</v>
      </c>
      <c r="CF427" s="3070" t="s">
        <v>3091</v>
      </c>
      <c r="CH427" s="3070" t="s">
        <v>3240</v>
      </c>
      <c r="CI427" s="3070">
        <v>0</v>
      </c>
      <c r="CK427" s="3070" t="s">
        <v>4019</v>
      </c>
      <c r="CL427" s="3070" t="s">
        <v>4022</v>
      </c>
      <c r="CM427" s="3070">
        <v>1563332.11</v>
      </c>
      <c r="CV427" s="3070" t="s">
        <v>3494</v>
      </c>
      <c r="CW427" s="3070" t="s">
        <v>6778</v>
      </c>
      <c r="CZ427" s="3070">
        <v>213894.57</v>
      </c>
      <c r="DA427" s="3070">
        <v>159426.93</v>
      </c>
      <c r="DB427" s="3070">
        <v>0</v>
      </c>
      <c r="DC427" s="3070">
        <v>0</v>
      </c>
      <c r="DD427" s="3070">
        <v>3290547602</v>
      </c>
      <c r="DE427" s="3070">
        <v>2764253109</v>
      </c>
      <c r="DF427" s="3070">
        <v>1464966739</v>
      </c>
      <c r="DG427" s="3070">
        <v>14938370</v>
      </c>
      <c r="DH427" s="3070">
        <v>1284348000</v>
      </c>
      <c r="DI427" s="3070">
        <v>1278128000</v>
      </c>
      <c r="DJ427" s="3070">
        <v>6220000</v>
      </c>
      <c r="DK427" s="3070">
        <v>0</v>
      </c>
      <c r="DL427" s="3070">
        <v>0</v>
      </c>
      <c r="DM427" s="3070">
        <v>25491817.620000001</v>
      </c>
      <c r="DN427" s="3070">
        <v>2764253109</v>
      </c>
      <c r="DP427" s="3070">
        <v>2764253109</v>
      </c>
    </row>
    <row r="428" spans="1:120">
      <c r="A428" s="3070">
        <v>427</v>
      </c>
      <c r="B428" s="3070" t="s">
        <v>3224</v>
      </c>
      <c r="C428" s="3070">
        <v>4</v>
      </c>
      <c r="D428" s="3070">
        <v>1</v>
      </c>
      <c r="E428" s="3070">
        <v>601</v>
      </c>
      <c r="F428" s="3070" t="s">
        <v>6779</v>
      </c>
      <c r="G428" s="3070" t="s">
        <v>6780</v>
      </c>
      <c r="H428" s="3070">
        <v>1638606</v>
      </c>
      <c r="I428" s="3070">
        <v>1638606</v>
      </c>
      <c r="J428" s="3070">
        <v>132.62</v>
      </c>
      <c r="K428" s="3070">
        <v>100.59</v>
      </c>
      <c r="L428" s="3070">
        <v>0</v>
      </c>
      <c r="M428" s="3070">
        <v>0</v>
      </c>
      <c r="N428" s="3070">
        <v>15544.44</v>
      </c>
      <c r="O428" s="3070">
        <v>2061504</v>
      </c>
      <c r="P428" s="3070">
        <v>12355.65</v>
      </c>
      <c r="Q428" s="3070">
        <v>1638606</v>
      </c>
      <c r="R428" s="3070" t="s">
        <v>3227</v>
      </c>
      <c r="S428" s="3070" t="s">
        <v>6781</v>
      </c>
      <c r="T428" s="3070" t="s">
        <v>3302</v>
      </c>
      <c r="V428" s="3070" t="s">
        <v>3230</v>
      </c>
      <c r="Y428" s="3070">
        <v>163861</v>
      </c>
      <c r="Z428" s="3070">
        <v>163861</v>
      </c>
      <c r="AA428" s="3070">
        <v>1638606</v>
      </c>
      <c r="AB428" s="3070">
        <v>0</v>
      </c>
      <c r="AC428" s="3070">
        <v>0</v>
      </c>
      <c r="AD428" s="3070">
        <v>0</v>
      </c>
      <c r="AE428" s="3070">
        <v>0</v>
      </c>
      <c r="AI428" s="3070" t="s">
        <v>3227</v>
      </c>
      <c r="AJ428" s="3070">
        <v>0</v>
      </c>
      <c r="AK428" s="3070">
        <v>0</v>
      </c>
      <c r="AL428" s="3070">
        <v>0</v>
      </c>
      <c r="AM428" s="3070">
        <v>12355.65</v>
      </c>
      <c r="AN428" s="3070">
        <v>1638606</v>
      </c>
      <c r="AP428" s="3070">
        <v>1638606</v>
      </c>
      <c r="AQ428" s="3072">
        <v>45230</v>
      </c>
      <c r="AT428" s="3073">
        <v>45770</v>
      </c>
      <c r="AV428" s="3074">
        <v>3.21E+17</v>
      </c>
      <c r="AW428" s="3070" t="s">
        <v>6782</v>
      </c>
      <c r="AX428" s="3070" t="s">
        <v>6783</v>
      </c>
      <c r="AY428" s="3070" t="s">
        <v>3722</v>
      </c>
      <c r="BC428" s="3070" t="s">
        <v>4285</v>
      </c>
      <c r="BD428" s="3070" t="s">
        <v>3075</v>
      </c>
      <c r="BI428" s="3070" t="s">
        <v>3235</v>
      </c>
      <c r="BJ428" s="3070" t="s">
        <v>3338</v>
      </c>
      <c r="BL428" s="3070" t="s">
        <v>6784</v>
      </c>
      <c r="BM428" s="3075">
        <v>44287</v>
      </c>
      <c r="BN428" s="3070">
        <v>-60</v>
      </c>
      <c r="BR428" s="3070">
        <v>579</v>
      </c>
      <c r="BS428" s="3070" t="s">
        <v>3238</v>
      </c>
      <c r="BZ428" s="3073">
        <v>44143.752083333333</v>
      </c>
      <c r="CA428" s="3070">
        <v>4</v>
      </c>
      <c r="CD428" s="3070" t="s">
        <v>3239</v>
      </c>
      <c r="CF428" s="3070" t="s">
        <v>3091</v>
      </c>
      <c r="CH428" s="3070" t="s">
        <v>3240</v>
      </c>
      <c r="CI428" s="3070">
        <v>0</v>
      </c>
      <c r="CK428" s="3070" t="s">
        <v>3722</v>
      </c>
      <c r="CL428" s="3070" t="s">
        <v>3722</v>
      </c>
      <c r="CM428" s="3070">
        <v>1503308.26</v>
      </c>
      <c r="CV428" s="3070" t="s">
        <v>3309</v>
      </c>
      <c r="CW428" s="3070" t="s">
        <v>6785</v>
      </c>
      <c r="CX428" s="3070" t="s">
        <v>3242</v>
      </c>
      <c r="CZ428" s="3070">
        <v>213894.57</v>
      </c>
      <c r="DA428" s="3070">
        <v>159426.93</v>
      </c>
      <c r="DB428" s="3070">
        <v>0</v>
      </c>
      <c r="DC428" s="3070">
        <v>0</v>
      </c>
      <c r="DD428" s="3070">
        <v>3290547602</v>
      </c>
      <c r="DE428" s="3070">
        <v>2764253109</v>
      </c>
      <c r="DF428" s="3070">
        <v>1464966739</v>
      </c>
      <c r="DG428" s="3070">
        <v>14938370</v>
      </c>
      <c r="DH428" s="3070">
        <v>1284348000</v>
      </c>
      <c r="DI428" s="3070">
        <v>1278128000</v>
      </c>
      <c r="DJ428" s="3070">
        <v>6220000</v>
      </c>
      <c r="DK428" s="3070">
        <v>0</v>
      </c>
      <c r="DL428" s="3070">
        <v>0</v>
      </c>
      <c r="DM428" s="3070">
        <v>25491817.620000001</v>
      </c>
      <c r="DN428" s="3070">
        <v>2764253109</v>
      </c>
      <c r="DP428" s="3070">
        <v>2764253109</v>
      </c>
    </row>
    <row r="429" spans="1:120">
      <c r="A429" s="3070">
        <v>428</v>
      </c>
      <c r="B429" s="3070" t="s">
        <v>3224</v>
      </c>
      <c r="C429" s="3070">
        <v>4</v>
      </c>
      <c r="D429" s="3070">
        <v>1</v>
      </c>
      <c r="E429" s="3070">
        <v>602</v>
      </c>
      <c r="F429" s="3070" t="s">
        <v>6786</v>
      </c>
      <c r="G429" s="3070" t="s">
        <v>6787</v>
      </c>
      <c r="H429" s="3070">
        <v>1339047</v>
      </c>
      <c r="I429" s="3070">
        <v>1339047</v>
      </c>
      <c r="J429" s="3070">
        <v>105.02</v>
      </c>
      <c r="K429" s="3070">
        <v>79.66</v>
      </c>
      <c r="L429" s="3070">
        <v>0</v>
      </c>
      <c r="M429" s="3070">
        <v>0</v>
      </c>
      <c r="N429" s="3070">
        <v>15694.44</v>
      </c>
      <c r="O429" s="3070">
        <v>1648230</v>
      </c>
      <c r="P429" s="3070">
        <v>12750.4</v>
      </c>
      <c r="Q429" s="3070">
        <v>1339047</v>
      </c>
      <c r="R429" s="3070" t="s">
        <v>3227</v>
      </c>
      <c r="S429" s="3070" t="s">
        <v>6788</v>
      </c>
      <c r="T429" s="3070" t="s">
        <v>3258</v>
      </c>
      <c r="U429" s="3070" t="s">
        <v>3259</v>
      </c>
      <c r="V429" s="3070" t="s">
        <v>3230</v>
      </c>
      <c r="Y429" s="3070">
        <v>409047</v>
      </c>
      <c r="Z429" s="3070">
        <v>409047</v>
      </c>
      <c r="AA429" s="3070">
        <v>409047</v>
      </c>
      <c r="AB429" s="3070">
        <v>0</v>
      </c>
      <c r="AC429" s="3070">
        <v>930000</v>
      </c>
      <c r="AD429" s="3070">
        <v>930000</v>
      </c>
      <c r="AE429" s="3070">
        <v>0</v>
      </c>
      <c r="AI429" s="3070" t="s">
        <v>3227</v>
      </c>
      <c r="AJ429" s="3070">
        <v>0</v>
      </c>
      <c r="AK429" s="3070">
        <v>0</v>
      </c>
      <c r="AL429" s="3070">
        <v>0</v>
      </c>
      <c r="AM429" s="3070">
        <v>12750.4</v>
      </c>
      <c r="AN429" s="3070">
        <v>1339047</v>
      </c>
      <c r="AP429" s="3070">
        <v>1339047</v>
      </c>
      <c r="AQ429" s="3072">
        <v>45230</v>
      </c>
      <c r="AT429" s="3073">
        <v>45770</v>
      </c>
      <c r="AV429" s="3070" t="s">
        <v>6789</v>
      </c>
      <c r="AW429" s="3070" t="s">
        <v>6790</v>
      </c>
      <c r="AX429" s="3070" t="s">
        <v>6791</v>
      </c>
      <c r="AY429" s="3070" t="s">
        <v>3393</v>
      </c>
      <c r="BA429" s="3070" t="s">
        <v>3393</v>
      </c>
      <c r="BC429" s="3070" t="s">
        <v>3263</v>
      </c>
      <c r="BD429" s="3070" t="s">
        <v>3077</v>
      </c>
      <c r="BI429" s="3070" t="s">
        <v>3235</v>
      </c>
      <c r="BJ429" s="3070" t="s">
        <v>3236</v>
      </c>
      <c r="BL429" s="3070" t="s">
        <v>6792</v>
      </c>
      <c r="BM429" s="3075">
        <v>44287</v>
      </c>
      <c r="BN429" s="3070">
        <v>-60</v>
      </c>
      <c r="BO429" s="3070" t="s">
        <v>3253</v>
      </c>
      <c r="BP429" s="3070" t="s">
        <v>3253</v>
      </c>
      <c r="BR429" s="3070">
        <v>464</v>
      </c>
      <c r="BS429" s="3070" t="s">
        <v>3238</v>
      </c>
      <c r="BU429" s="3070" t="s">
        <v>3393</v>
      </c>
      <c r="BZ429" s="3073">
        <v>44150.742361111108</v>
      </c>
      <c r="CA429" s="3070">
        <v>4</v>
      </c>
      <c r="CD429" s="3070" t="s">
        <v>3239</v>
      </c>
      <c r="CF429" s="3070" t="s">
        <v>3091</v>
      </c>
      <c r="CH429" s="3070" t="s">
        <v>3240</v>
      </c>
      <c r="CI429" s="3070">
        <v>0</v>
      </c>
      <c r="CJ429" s="3070" t="s">
        <v>3259</v>
      </c>
      <c r="CK429" s="3070" t="s">
        <v>3393</v>
      </c>
      <c r="CL429" s="3070" t="s">
        <v>3393</v>
      </c>
      <c r="CM429" s="3070">
        <v>1228483.48</v>
      </c>
      <c r="CV429" s="3070" t="s">
        <v>3258</v>
      </c>
      <c r="CW429" s="3070" t="s">
        <v>6793</v>
      </c>
      <c r="CX429" s="3070" t="s">
        <v>3242</v>
      </c>
      <c r="CZ429" s="3070">
        <v>213894.57</v>
      </c>
      <c r="DA429" s="3070">
        <v>159426.93</v>
      </c>
      <c r="DB429" s="3070">
        <v>0</v>
      </c>
      <c r="DC429" s="3070">
        <v>0</v>
      </c>
      <c r="DD429" s="3070">
        <v>3290547602</v>
      </c>
      <c r="DE429" s="3070">
        <v>2764253109</v>
      </c>
      <c r="DF429" s="3070">
        <v>1464966739</v>
      </c>
      <c r="DG429" s="3070">
        <v>14938370</v>
      </c>
      <c r="DH429" s="3070">
        <v>1284348000</v>
      </c>
      <c r="DI429" s="3070">
        <v>1278128000</v>
      </c>
      <c r="DJ429" s="3070">
        <v>6220000</v>
      </c>
      <c r="DK429" s="3070">
        <v>0</v>
      </c>
      <c r="DL429" s="3070">
        <v>0</v>
      </c>
      <c r="DM429" s="3070">
        <v>25491817.620000001</v>
      </c>
      <c r="DN429" s="3070">
        <v>2764253109</v>
      </c>
      <c r="DP429" s="3070">
        <v>2764253109</v>
      </c>
    </row>
    <row r="430" spans="1:120">
      <c r="A430" s="3070">
        <v>429</v>
      </c>
      <c r="B430" s="3070" t="s">
        <v>3224</v>
      </c>
      <c r="C430" s="3070">
        <v>4</v>
      </c>
      <c r="D430" s="3070">
        <v>1</v>
      </c>
      <c r="E430" s="3070">
        <v>603</v>
      </c>
      <c r="F430" s="3070" t="s">
        <v>6794</v>
      </c>
      <c r="G430" s="3070" t="s">
        <v>6795</v>
      </c>
      <c r="H430" s="3070">
        <v>1657749</v>
      </c>
      <c r="I430" s="3070">
        <v>1657749</v>
      </c>
      <c r="J430" s="3070">
        <v>132.99</v>
      </c>
      <c r="K430" s="3070">
        <v>100.87</v>
      </c>
      <c r="L430" s="3070">
        <v>0</v>
      </c>
      <c r="M430" s="3070">
        <v>0</v>
      </c>
      <c r="N430" s="3070">
        <v>15394.44</v>
      </c>
      <c r="O430" s="3070">
        <v>2047307</v>
      </c>
      <c r="P430" s="3070">
        <v>12465.22</v>
      </c>
      <c r="Q430" s="3070">
        <v>1657749</v>
      </c>
      <c r="R430" s="3070" t="s">
        <v>3227</v>
      </c>
      <c r="S430" s="3070" t="s">
        <v>6796</v>
      </c>
      <c r="T430" s="3070" t="s">
        <v>3246</v>
      </c>
      <c r="U430" s="3070" t="s">
        <v>3279</v>
      </c>
      <c r="V430" s="3070" t="s">
        <v>3230</v>
      </c>
      <c r="Y430" s="3070">
        <v>717749</v>
      </c>
      <c r="Z430" s="3070">
        <v>717749</v>
      </c>
      <c r="AA430" s="3070">
        <v>717749</v>
      </c>
      <c r="AB430" s="3070">
        <v>0</v>
      </c>
      <c r="AC430" s="3070">
        <v>940000</v>
      </c>
      <c r="AD430" s="3070">
        <v>940000</v>
      </c>
      <c r="AE430" s="3070">
        <v>0</v>
      </c>
      <c r="AI430" s="3070" t="s">
        <v>3227</v>
      </c>
      <c r="AJ430" s="3070">
        <v>0</v>
      </c>
      <c r="AK430" s="3070">
        <v>0</v>
      </c>
      <c r="AL430" s="3070">
        <v>0</v>
      </c>
      <c r="AM430" s="3070">
        <v>12465.22</v>
      </c>
      <c r="AN430" s="3070">
        <v>1657749</v>
      </c>
      <c r="AP430" s="3070">
        <v>1657749</v>
      </c>
      <c r="AQ430" s="3072">
        <v>45230</v>
      </c>
      <c r="AT430" s="3073">
        <v>45770</v>
      </c>
      <c r="AV430" s="3070" t="s">
        <v>6797</v>
      </c>
      <c r="AW430" s="3070" t="s">
        <v>6798</v>
      </c>
      <c r="AX430" s="3070" t="s">
        <v>6799</v>
      </c>
      <c r="AY430" s="3070" t="s">
        <v>5921</v>
      </c>
      <c r="BC430" s="3070" t="s">
        <v>3251</v>
      </c>
      <c r="BD430" s="3070" t="s">
        <v>3075</v>
      </c>
      <c r="BI430" s="3070" t="s">
        <v>3235</v>
      </c>
      <c r="BJ430" s="3070" t="s">
        <v>3236</v>
      </c>
      <c r="BL430" s="3070" t="s">
        <v>6800</v>
      </c>
      <c r="BM430" s="3075">
        <v>44287</v>
      </c>
      <c r="BN430" s="3070">
        <v>-60</v>
      </c>
      <c r="BO430" s="3070" t="s">
        <v>3253</v>
      </c>
      <c r="BR430" s="3070">
        <v>667</v>
      </c>
      <c r="BS430" s="3070" t="s">
        <v>3238</v>
      </c>
      <c r="BZ430" s="3073">
        <v>44142.631944444445</v>
      </c>
      <c r="CA430" s="3070">
        <v>4</v>
      </c>
      <c r="CD430" s="3070" t="s">
        <v>3239</v>
      </c>
      <c r="CF430" s="3070" t="s">
        <v>3091</v>
      </c>
      <c r="CH430" s="3070" t="s">
        <v>3240</v>
      </c>
      <c r="CI430" s="3070">
        <v>0</v>
      </c>
      <c r="CK430" s="3070" t="s">
        <v>5921</v>
      </c>
      <c r="CL430" s="3070" t="s">
        <v>5921</v>
      </c>
      <c r="CM430" s="3070">
        <v>1520870.64</v>
      </c>
      <c r="CV430" s="3070" t="s">
        <v>3246</v>
      </c>
      <c r="CW430" s="3070" t="s">
        <v>6801</v>
      </c>
      <c r="CX430" s="3070" t="s">
        <v>3267</v>
      </c>
      <c r="CZ430" s="3070">
        <v>213894.57</v>
      </c>
      <c r="DA430" s="3070">
        <v>159426.93</v>
      </c>
      <c r="DB430" s="3070">
        <v>0</v>
      </c>
      <c r="DC430" s="3070">
        <v>0</v>
      </c>
      <c r="DD430" s="3070">
        <v>3290547602</v>
      </c>
      <c r="DE430" s="3070">
        <v>2764253109</v>
      </c>
      <c r="DF430" s="3070">
        <v>1464966739</v>
      </c>
      <c r="DG430" s="3070">
        <v>14938370</v>
      </c>
      <c r="DH430" s="3070">
        <v>1284348000</v>
      </c>
      <c r="DI430" s="3070">
        <v>1278128000</v>
      </c>
      <c r="DJ430" s="3070">
        <v>6220000</v>
      </c>
      <c r="DK430" s="3070">
        <v>0</v>
      </c>
      <c r="DL430" s="3070">
        <v>0</v>
      </c>
      <c r="DM430" s="3070">
        <v>25491817.620000001</v>
      </c>
      <c r="DN430" s="3070">
        <v>2764253109</v>
      </c>
      <c r="DP430" s="3070">
        <v>2764253109</v>
      </c>
    </row>
    <row r="431" spans="1:120">
      <c r="A431" s="3070">
        <v>430</v>
      </c>
      <c r="B431" s="3070" t="s">
        <v>3224</v>
      </c>
      <c r="C431" s="3070">
        <v>4</v>
      </c>
      <c r="D431" s="3070">
        <v>2</v>
      </c>
      <c r="E431" s="3070">
        <v>604</v>
      </c>
      <c r="F431" s="3070" t="s">
        <v>6802</v>
      </c>
      <c r="G431" s="3070" t="s">
        <v>6803</v>
      </c>
      <c r="H431" s="3070">
        <v>1601132</v>
      </c>
      <c r="I431" s="3070">
        <v>1601132</v>
      </c>
      <c r="J431" s="3070">
        <v>132.99</v>
      </c>
      <c r="K431" s="3070">
        <v>100.87</v>
      </c>
      <c r="L431" s="3070">
        <v>0</v>
      </c>
      <c r="M431" s="3070">
        <v>0</v>
      </c>
      <c r="N431" s="3070">
        <v>15394.44</v>
      </c>
      <c r="O431" s="3070">
        <v>2047307</v>
      </c>
      <c r="P431" s="3070">
        <v>12039.49</v>
      </c>
      <c r="Q431" s="3070">
        <v>1601132</v>
      </c>
      <c r="R431" s="3070" t="s">
        <v>3227</v>
      </c>
      <c r="S431" s="3070" t="s">
        <v>3353</v>
      </c>
      <c r="T431" s="3070" t="s">
        <v>3494</v>
      </c>
      <c r="V431" s="3070" t="s">
        <v>3230</v>
      </c>
      <c r="Y431" s="3070">
        <v>160113</v>
      </c>
      <c r="Z431" s="3070">
        <v>160113</v>
      </c>
      <c r="AA431" s="3070">
        <v>1601132</v>
      </c>
      <c r="AB431" s="3070">
        <v>0</v>
      </c>
      <c r="AC431" s="3070">
        <v>0</v>
      </c>
      <c r="AD431" s="3070">
        <v>0</v>
      </c>
      <c r="AE431" s="3070">
        <v>0</v>
      </c>
      <c r="AI431" s="3070" t="s">
        <v>3227</v>
      </c>
      <c r="AJ431" s="3070">
        <v>0</v>
      </c>
      <c r="AK431" s="3070">
        <v>0</v>
      </c>
      <c r="AL431" s="3070">
        <v>0</v>
      </c>
      <c r="AM431" s="3070">
        <v>12039.49</v>
      </c>
      <c r="AN431" s="3070">
        <v>1601132</v>
      </c>
      <c r="AP431" s="3070">
        <v>1601132</v>
      </c>
      <c r="AQ431" s="3072">
        <v>45230</v>
      </c>
      <c r="AT431" s="3073">
        <v>45770</v>
      </c>
      <c r="AV431" s="3074">
        <v>3.21E+17</v>
      </c>
      <c r="AW431" s="3070" t="s">
        <v>6804</v>
      </c>
      <c r="AX431" s="3070" t="s">
        <v>6805</v>
      </c>
      <c r="AY431" s="3070" t="s">
        <v>4265</v>
      </c>
      <c r="BA431" s="3070" t="s">
        <v>4665</v>
      </c>
      <c r="BC431" s="3070" t="s">
        <v>4460</v>
      </c>
      <c r="BD431" s="3070" t="s">
        <v>3075</v>
      </c>
      <c r="BI431" s="3070" t="s">
        <v>3235</v>
      </c>
      <c r="BL431" s="3070" t="s">
        <v>6806</v>
      </c>
      <c r="BM431" s="3075">
        <v>44288</v>
      </c>
      <c r="BN431" s="3070">
        <v>-60</v>
      </c>
      <c r="BR431" s="3070">
        <v>23</v>
      </c>
      <c r="BS431" s="3070" t="s">
        <v>3238</v>
      </c>
      <c r="BU431" s="3070" t="s">
        <v>4665</v>
      </c>
      <c r="BZ431" s="3073">
        <v>44214.633333333331</v>
      </c>
      <c r="CA431" s="3070">
        <v>4</v>
      </c>
      <c r="CD431" s="3070" t="s">
        <v>3239</v>
      </c>
      <c r="CF431" s="3070" t="s">
        <v>3091</v>
      </c>
      <c r="CH431" s="3070" t="s">
        <v>3240</v>
      </c>
      <c r="CI431" s="3070">
        <v>0</v>
      </c>
      <c r="CK431" s="3070" t="s">
        <v>4265</v>
      </c>
      <c r="CL431" s="3070" t="s">
        <v>4665</v>
      </c>
      <c r="CM431" s="3070">
        <v>1468928.44</v>
      </c>
      <c r="CV431" s="3070" t="s">
        <v>3494</v>
      </c>
      <c r="CW431" s="3070" t="s">
        <v>6807</v>
      </c>
      <c r="CX431" s="3070" t="s">
        <v>3267</v>
      </c>
      <c r="CZ431" s="3070">
        <v>213894.57</v>
      </c>
      <c r="DA431" s="3070">
        <v>159426.93</v>
      </c>
      <c r="DB431" s="3070">
        <v>0</v>
      </c>
      <c r="DC431" s="3070">
        <v>0</v>
      </c>
      <c r="DD431" s="3070">
        <v>3290547602</v>
      </c>
      <c r="DE431" s="3070">
        <v>2764253109</v>
      </c>
      <c r="DF431" s="3070">
        <v>1464966739</v>
      </c>
      <c r="DG431" s="3070">
        <v>14938370</v>
      </c>
      <c r="DH431" s="3070">
        <v>1284348000</v>
      </c>
      <c r="DI431" s="3070">
        <v>1278128000</v>
      </c>
      <c r="DJ431" s="3070">
        <v>6220000</v>
      </c>
      <c r="DK431" s="3070">
        <v>0</v>
      </c>
      <c r="DL431" s="3070">
        <v>0</v>
      </c>
      <c r="DM431" s="3070">
        <v>25491817.620000001</v>
      </c>
      <c r="DN431" s="3070">
        <v>2764253109</v>
      </c>
      <c r="DP431" s="3070">
        <v>2764253109</v>
      </c>
    </row>
    <row r="432" spans="1:120">
      <c r="A432" s="3070">
        <v>431</v>
      </c>
      <c r="B432" s="3070" t="s">
        <v>3224</v>
      </c>
      <c r="C432" s="3070">
        <v>4</v>
      </c>
      <c r="D432" s="3070">
        <v>2</v>
      </c>
      <c r="E432" s="3070">
        <v>605</v>
      </c>
      <c r="F432" s="3070" t="s">
        <v>6808</v>
      </c>
      <c r="G432" s="3070" t="s">
        <v>6809</v>
      </c>
      <c r="H432" s="3070">
        <v>1339047</v>
      </c>
      <c r="I432" s="3070">
        <v>1339047</v>
      </c>
      <c r="J432" s="3070">
        <v>105.02</v>
      </c>
      <c r="K432" s="3070">
        <v>79.66</v>
      </c>
      <c r="L432" s="3070">
        <v>0</v>
      </c>
      <c r="M432" s="3070">
        <v>0</v>
      </c>
      <c r="N432" s="3070">
        <v>15694.44</v>
      </c>
      <c r="O432" s="3070">
        <v>1648230</v>
      </c>
      <c r="P432" s="3070">
        <v>12750.4</v>
      </c>
      <c r="Q432" s="3070">
        <v>1339047</v>
      </c>
      <c r="R432" s="3070" t="s">
        <v>3227</v>
      </c>
      <c r="S432" s="3070" t="s">
        <v>6810</v>
      </c>
      <c r="T432" s="3070" t="s">
        <v>3258</v>
      </c>
      <c r="U432" s="3070" t="s">
        <v>3259</v>
      </c>
      <c r="V432" s="3070" t="s">
        <v>3230</v>
      </c>
      <c r="Y432" s="3070">
        <v>439047</v>
      </c>
      <c r="Z432" s="3070">
        <v>439047</v>
      </c>
      <c r="AA432" s="3070">
        <v>439047</v>
      </c>
      <c r="AB432" s="3070">
        <v>0</v>
      </c>
      <c r="AC432" s="3070">
        <v>900000</v>
      </c>
      <c r="AD432" s="3070">
        <v>900000</v>
      </c>
      <c r="AE432" s="3070">
        <v>0</v>
      </c>
      <c r="AI432" s="3070" t="s">
        <v>3227</v>
      </c>
      <c r="AJ432" s="3070">
        <v>0</v>
      </c>
      <c r="AK432" s="3070">
        <v>0</v>
      </c>
      <c r="AL432" s="3070">
        <v>0</v>
      </c>
      <c r="AM432" s="3070">
        <v>12750.4</v>
      </c>
      <c r="AN432" s="3070">
        <v>1339047</v>
      </c>
      <c r="AP432" s="3070">
        <v>1339047</v>
      </c>
      <c r="AQ432" s="3072">
        <v>45230</v>
      </c>
      <c r="AT432" s="3073">
        <v>45770</v>
      </c>
      <c r="AV432" s="3070" t="s">
        <v>6811</v>
      </c>
      <c r="AW432" s="3070" t="s">
        <v>6812</v>
      </c>
      <c r="AX432" s="3070" t="s">
        <v>6813</v>
      </c>
      <c r="AY432" s="3070" t="s">
        <v>3346</v>
      </c>
      <c r="BC432" s="3070" t="s">
        <v>3263</v>
      </c>
      <c r="BD432" s="3070" t="s">
        <v>3077</v>
      </c>
      <c r="BI432" s="3070" t="s">
        <v>3295</v>
      </c>
      <c r="BJ432" s="3070" t="s">
        <v>3328</v>
      </c>
      <c r="BL432" s="3070" t="s">
        <v>6814</v>
      </c>
      <c r="BM432" s="3075">
        <v>44288</v>
      </c>
      <c r="BN432" s="3070">
        <v>-60</v>
      </c>
      <c r="BO432" s="3070" t="s">
        <v>3253</v>
      </c>
      <c r="BP432" s="3070" t="s">
        <v>3253</v>
      </c>
      <c r="BR432" s="3070">
        <v>365</v>
      </c>
      <c r="BS432" s="3070" t="s">
        <v>3238</v>
      </c>
      <c r="BZ432" s="3073">
        <v>44142.661805555559</v>
      </c>
      <c r="CA432" s="3070">
        <v>4</v>
      </c>
      <c r="CD432" s="3070" t="s">
        <v>3239</v>
      </c>
      <c r="CF432" s="3070" t="s">
        <v>3091</v>
      </c>
      <c r="CH432" s="3070" t="s">
        <v>3240</v>
      </c>
      <c r="CI432" s="3070">
        <v>0</v>
      </c>
      <c r="CJ432" s="3070" t="s">
        <v>3259</v>
      </c>
      <c r="CK432" s="3070" t="s">
        <v>3346</v>
      </c>
      <c r="CL432" s="3070" t="s">
        <v>3346</v>
      </c>
      <c r="CM432" s="3070">
        <v>1228483.49</v>
      </c>
      <c r="CV432" s="3070" t="s">
        <v>3258</v>
      </c>
      <c r="CW432" s="3070" t="s">
        <v>6815</v>
      </c>
      <c r="CZ432" s="3070">
        <v>213894.57</v>
      </c>
      <c r="DA432" s="3070">
        <v>159426.93</v>
      </c>
      <c r="DB432" s="3070">
        <v>0</v>
      </c>
      <c r="DC432" s="3070">
        <v>0</v>
      </c>
      <c r="DD432" s="3070">
        <v>3290547602</v>
      </c>
      <c r="DE432" s="3070">
        <v>2764253109</v>
      </c>
      <c r="DF432" s="3070">
        <v>1464966739</v>
      </c>
      <c r="DG432" s="3070">
        <v>14938370</v>
      </c>
      <c r="DH432" s="3070">
        <v>1284348000</v>
      </c>
      <c r="DI432" s="3070">
        <v>1278128000</v>
      </c>
      <c r="DJ432" s="3070">
        <v>6220000</v>
      </c>
      <c r="DK432" s="3070">
        <v>0</v>
      </c>
      <c r="DL432" s="3070">
        <v>0</v>
      </c>
      <c r="DM432" s="3070">
        <v>25491817.620000001</v>
      </c>
      <c r="DN432" s="3070">
        <v>2764253109</v>
      </c>
      <c r="DP432" s="3070">
        <v>2764253109</v>
      </c>
    </row>
    <row r="433" spans="1:120">
      <c r="A433" s="3070">
        <v>432</v>
      </c>
      <c r="B433" s="3070" t="s">
        <v>3224</v>
      </c>
      <c r="C433" s="3070">
        <v>4</v>
      </c>
      <c r="D433" s="3070">
        <v>2</v>
      </c>
      <c r="E433" s="3070">
        <v>606</v>
      </c>
      <c r="F433" s="3070" t="s">
        <v>6816</v>
      </c>
      <c r="G433" s="3070" t="s">
        <v>6817</v>
      </c>
      <c r="H433" s="3070">
        <v>1678351</v>
      </c>
      <c r="I433" s="3070">
        <v>1678351</v>
      </c>
      <c r="J433" s="3070">
        <v>132.62</v>
      </c>
      <c r="K433" s="3070">
        <v>100.59</v>
      </c>
      <c r="L433" s="3070">
        <v>0</v>
      </c>
      <c r="M433" s="3070">
        <v>0</v>
      </c>
      <c r="N433" s="3070">
        <v>15594.44</v>
      </c>
      <c r="O433" s="3070">
        <v>2068135</v>
      </c>
      <c r="P433" s="3070">
        <v>12655.34</v>
      </c>
      <c r="Q433" s="3070">
        <v>1678351</v>
      </c>
      <c r="R433" s="3070" t="s">
        <v>3227</v>
      </c>
      <c r="S433" s="3070" t="s">
        <v>6818</v>
      </c>
      <c r="T433" s="3070" t="s">
        <v>3246</v>
      </c>
      <c r="U433" s="3070" t="s">
        <v>3247</v>
      </c>
      <c r="V433" s="3070" t="s">
        <v>3230</v>
      </c>
      <c r="Y433" s="3070">
        <v>508351</v>
      </c>
      <c r="Z433" s="3070">
        <v>508351</v>
      </c>
      <c r="AA433" s="3070">
        <v>508351</v>
      </c>
      <c r="AB433" s="3070">
        <v>0</v>
      </c>
      <c r="AC433" s="3070">
        <v>1170000</v>
      </c>
      <c r="AD433" s="3070">
        <v>1170000</v>
      </c>
      <c r="AE433" s="3070">
        <v>0</v>
      </c>
      <c r="AI433" s="3070" t="s">
        <v>3227</v>
      </c>
      <c r="AJ433" s="3070">
        <v>0</v>
      </c>
      <c r="AK433" s="3070">
        <v>0</v>
      </c>
      <c r="AL433" s="3070">
        <v>0</v>
      </c>
      <c r="AM433" s="3070">
        <v>12655.34</v>
      </c>
      <c r="AN433" s="3070">
        <v>1678351</v>
      </c>
      <c r="AP433" s="3070">
        <v>1678351</v>
      </c>
      <c r="AQ433" s="3072">
        <v>45230</v>
      </c>
      <c r="AT433" s="3073">
        <v>45770</v>
      </c>
      <c r="AV433" s="3070" t="s">
        <v>6819</v>
      </c>
      <c r="AW433" s="3070" t="s">
        <v>6820</v>
      </c>
      <c r="AX433" s="3070" t="s">
        <v>6821</v>
      </c>
      <c r="AY433" s="3070" t="s">
        <v>3607</v>
      </c>
      <c r="BC433" s="3070" t="s">
        <v>3284</v>
      </c>
      <c r="BD433" s="3070" t="s">
        <v>3075</v>
      </c>
      <c r="BI433" s="3070" t="s">
        <v>3295</v>
      </c>
      <c r="BJ433" s="3070" t="s">
        <v>3296</v>
      </c>
      <c r="BL433" s="3070" t="s">
        <v>6822</v>
      </c>
      <c r="BM433" s="3075">
        <v>44288</v>
      </c>
      <c r="BN433" s="3070">
        <v>-60</v>
      </c>
      <c r="BO433" s="3070" t="s">
        <v>3253</v>
      </c>
      <c r="BR433" s="3070">
        <v>602</v>
      </c>
      <c r="BS433" s="3070" t="s">
        <v>3238</v>
      </c>
      <c r="BZ433" s="3073">
        <v>44142.690972222219</v>
      </c>
      <c r="CA433" s="3070">
        <v>4</v>
      </c>
      <c r="CD433" s="3070" t="s">
        <v>3239</v>
      </c>
      <c r="CF433" s="3070" t="s">
        <v>3091</v>
      </c>
      <c r="CH433" s="3070" t="s">
        <v>3240</v>
      </c>
      <c r="CI433" s="3070">
        <v>0</v>
      </c>
      <c r="CK433" s="3070" t="s">
        <v>3607</v>
      </c>
      <c r="CL433" s="3070" t="s">
        <v>3607</v>
      </c>
      <c r="CM433" s="3070">
        <v>1539771.56</v>
      </c>
      <c r="CV433" s="3070" t="s">
        <v>3246</v>
      </c>
      <c r="CW433" s="3070" t="s">
        <v>6823</v>
      </c>
      <c r="CZ433" s="3070">
        <v>213894.57</v>
      </c>
      <c r="DA433" s="3070">
        <v>159426.93</v>
      </c>
      <c r="DB433" s="3070">
        <v>0</v>
      </c>
      <c r="DC433" s="3070">
        <v>0</v>
      </c>
      <c r="DD433" s="3070">
        <v>3290547602</v>
      </c>
      <c r="DE433" s="3070">
        <v>2764253109</v>
      </c>
      <c r="DF433" s="3070">
        <v>1464966739</v>
      </c>
      <c r="DG433" s="3070">
        <v>14938370</v>
      </c>
      <c r="DH433" s="3070">
        <v>1284348000</v>
      </c>
      <c r="DI433" s="3070">
        <v>1278128000</v>
      </c>
      <c r="DJ433" s="3070">
        <v>6220000</v>
      </c>
      <c r="DK433" s="3070">
        <v>0</v>
      </c>
      <c r="DL433" s="3070">
        <v>0</v>
      </c>
      <c r="DM433" s="3070">
        <v>25491817.620000001</v>
      </c>
      <c r="DN433" s="3070">
        <v>2764253109</v>
      </c>
      <c r="DP433" s="3070">
        <v>2764253109</v>
      </c>
    </row>
    <row r="434" spans="1:120">
      <c r="A434" s="3070">
        <v>433</v>
      </c>
      <c r="B434" s="3070" t="s">
        <v>3224</v>
      </c>
      <c r="C434" s="3070">
        <v>4</v>
      </c>
      <c r="D434" s="3070">
        <v>1</v>
      </c>
      <c r="E434" s="3070">
        <v>701</v>
      </c>
      <c r="F434" s="3070" t="s">
        <v>6824</v>
      </c>
      <c r="G434" s="3070" t="s">
        <v>6825</v>
      </c>
      <c r="H434" s="3070">
        <v>1753400</v>
      </c>
      <c r="I434" s="3070">
        <v>1753400</v>
      </c>
      <c r="J434" s="3070">
        <v>132.62</v>
      </c>
      <c r="K434" s="3070">
        <v>100.59</v>
      </c>
      <c r="L434" s="3070">
        <v>0</v>
      </c>
      <c r="M434" s="3070">
        <v>0</v>
      </c>
      <c r="N434" s="3070">
        <v>15594.44</v>
      </c>
      <c r="O434" s="3070">
        <v>2068135</v>
      </c>
      <c r="P434" s="3070">
        <v>13221.23</v>
      </c>
      <c r="Q434" s="3070">
        <v>1753400</v>
      </c>
      <c r="R434" s="3070" t="s">
        <v>3227</v>
      </c>
      <c r="S434" s="3070" t="s">
        <v>6826</v>
      </c>
      <c r="T434" s="3070" t="s">
        <v>3246</v>
      </c>
      <c r="U434" s="3070" t="s">
        <v>3259</v>
      </c>
      <c r="V434" s="3070" t="s">
        <v>3230</v>
      </c>
      <c r="Y434" s="3070">
        <v>533400</v>
      </c>
      <c r="Z434" s="3070">
        <v>175340</v>
      </c>
      <c r="AA434" s="3070">
        <v>533400</v>
      </c>
      <c r="AB434" s="3070">
        <v>0</v>
      </c>
      <c r="AC434" s="3070">
        <v>1220000</v>
      </c>
      <c r="AD434" s="3070">
        <v>1220000</v>
      </c>
      <c r="AE434" s="3070">
        <v>0</v>
      </c>
      <c r="AI434" s="3070" t="s">
        <v>3227</v>
      </c>
      <c r="AJ434" s="3070">
        <v>0</v>
      </c>
      <c r="AK434" s="3070">
        <v>0</v>
      </c>
      <c r="AL434" s="3070">
        <v>0</v>
      </c>
      <c r="AM434" s="3070">
        <v>13221.23</v>
      </c>
      <c r="AN434" s="3070">
        <v>1753400</v>
      </c>
      <c r="AP434" s="3070">
        <v>1753400</v>
      </c>
      <c r="AQ434" s="3072">
        <v>45230</v>
      </c>
      <c r="AT434" s="3073">
        <v>45770</v>
      </c>
      <c r="AV434" s="3070" t="s">
        <v>6827</v>
      </c>
      <c r="AW434" s="3070" t="s">
        <v>6828</v>
      </c>
      <c r="AX434" s="3070" t="s">
        <v>6829</v>
      </c>
      <c r="AY434" s="3070" t="s">
        <v>3632</v>
      </c>
      <c r="BA434" s="3070" t="s">
        <v>3632</v>
      </c>
      <c r="BC434" s="3070" t="s">
        <v>5876</v>
      </c>
      <c r="BD434" s="3070" t="s">
        <v>3075</v>
      </c>
      <c r="BI434" s="3070" t="s">
        <v>3235</v>
      </c>
      <c r="BL434" s="3070" t="s">
        <v>6830</v>
      </c>
      <c r="BM434" s="3075">
        <v>44287</v>
      </c>
      <c r="BN434" s="3070">
        <v>-70</v>
      </c>
      <c r="BO434" s="3070" t="s">
        <v>3253</v>
      </c>
      <c r="BR434" s="3070">
        <v>18</v>
      </c>
      <c r="BS434" s="3070" t="s">
        <v>3238</v>
      </c>
      <c r="BT434" s="3070" t="s">
        <v>3481</v>
      </c>
      <c r="BU434" s="3070" t="s">
        <v>3632</v>
      </c>
      <c r="BV434" s="3070" t="s">
        <v>6831</v>
      </c>
      <c r="BZ434" s="3073">
        <v>44176.743750000001</v>
      </c>
      <c r="CA434" s="3070">
        <v>4</v>
      </c>
      <c r="CB434" s="3070" t="s">
        <v>3481</v>
      </c>
      <c r="CD434" s="3070" t="s">
        <v>3239</v>
      </c>
      <c r="CF434" s="3070" t="s">
        <v>3091</v>
      </c>
      <c r="CH434" s="3070" t="s">
        <v>3240</v>
      </c>
      <c r="CI434" s="3070">
        <v>0</v>
      </c>
      <c r="CK434" s="3070" t="s">
        <v>3632</v>
      </c>
      <c r="CL434" s="3070" t="s">
        <v>3632</v>
      </c>
      <c r="CM434" s="3070">
        <v>1608623.85</v>
      </c>
      <c r="CV434" s="3070" t="s">
        <v>3246</v>
      </c>
      <c r="CW434" s="3070" t="s">
        <v>6832</v>
      </c>
      <c r="CX434" s="3070" t="s">
        <v>3311</v>
      </c>
      <c r="CZ434" s="3070">
        <v>213894.57</v>
      </c>
      <c r="DA434" s="3070">
        <v>159426.93</v>
      </c>
      <c r="DB434" s="3070">
        <v>0</v>
      </c>
      <c r="DC434" s="3070">
        <v>0</v>
      </c>
      <c r="DD434" s="3070">
        <v>3290547602</v>
      </c>
      <c r="DE434" s="3070">
        <v>2764253109</v>
      </c>
      <c r="DF434" s="3070">
        <v>1464966739</v>
      </c>
      <c r="DG434" s="3070">
        <v>14938370</v>
      </c>
      <c r="DH434" s="3070">
        <v>1284348000</v>
      </c>
      <c r="DI434" s="3070">
        <v>1278128000</v>
      </c>
      <c r="DJ434" s="3070">
        <v>6220000</v>
      </c>
      <c r="DK434" s="3070">
        <v>0</v>
      </c>
      <c r="DL434" s="3070">
        <v>0</v>
      </c>
      <c r="DM434" s="3070">
        <v>25491817.620000001</v>
      </c>
      <c r="DN434" s="3070">
        <v>2764253109</v>
      </c>
      <c r="DP434" s="3070">
        <v>2764253109</v>
      </c>
    </row>
    <row r="435" spans="1:120">
      <c r="A435" s="3070">
        <v>434</v>
      </c>
      <c r="B435" s="3070" t="s">
        <v>3224</v>
      </c>
      <c r="C435" s="3070">
        <v>4</v>
      </c>
      <c r="D435" s="3070">
        <v>1</v>
      </c>
      <c r="E435" s="3070">
        <v>702</v>
      </c>
      <c r="F435" s="3070" t="s">
        <v>6833</v>
      </c>
      <c r="G435" s="3070" t="s">
        <v>6834</v>
      </c>
      <c r="H435" s="3070">
        <v>1344038</v>
      </c>
      <c r="I435" s="3070">
        <v>1344038</v>
      </c>
      <c r="J435" s="3070">
        <v>105.02</v>
      </c>
      <c r="K435" s="3070">
        <v>79.66</v>
      </c>
      <c r="L435" s="3070">
        <v>0</v>
      </c>
      <c r="M435" s="3070">
        <v>0</v>
      </c>
      <c r="N435" s="3070">
        <v>15744.44</v>
      </c>
      <c r="O435" s="3070">
        <v>1653481</v>
      </c>
      <c r="P435" s="3070">
        <v>12797.92</v>
      </c>
      <c r="Q435" s="3070">
        <v>1344038</v>
      </c>
      <c r="R435" s="3070" t="s">
        <v>3227</v>
      </c>
      <c r="S435" s="3070" t="s">
        <v>6835</v>
      </c>
      <c r="T435" s="3070" t="s">
        <v>3246</v>
      </c>
      <c r="U435" s="3070" t="s">
        <v>3279</v>
      </c>
      <c r="V435" s="3070" t="s">
        <v>3230</v>
      </c>
      <c r="Y435" s="3070">
        <v>404038</v>
      </c>
      <c r="Z435" s="3070">
        <v>404038</v>
      </c>
      <c r="AA435" s="3070">
        <v>404038</v>
      </c>
      <c r="AB435" s="3070">
        <v>0</v>
      </c>
      <c r="AC435" s="3070">
        <v>940000</v>
      </c>
      <c r="AD435" s="3070">
        <v>940000</v>
      </c>
      <c r="AE435" s="3070">
        <v>0</v>
      </c>
      <c r="AI435" s="3070" t="s">
        <v>3227</v>
      </c>
      <c r="AJ435" s="3070">
        <v>0</v>
      </c>
      <c r="AK435" s="3070">
        <v>0</v>
      </c>
      <c r="AL435" s="3070">
        <v>0</v>
      </c>
      <c r="AM435" s="3070">
        <v>12797.92</v>
      </c>
      <c r="AN435" s="3070">
        <v>1344038</v>
      </c>
      <c r="AP435" s="3070">
        <v>1344038</v>
      </c>
      <c r="AQ435" s="3072">
        <v>45230</v>
      </c>
      <c r="AT435" s="3073">
        <v>45770</v>
      </c>
      <c r="AV435" s="3074">
        <v>3.21E+17</v>
      </c>
      <c r="AW435" s="3070" t="s">
        <v>6836</v>
      </c>
      <c r="AX435" s="3070" t="s">
        <v>6837</v>
      </c>
      <c r="AY435" s="3070" t="s">
        <v>3419</v>
      </c>
      <c r="BC435" s="3070" t="s">
        <v>3284</v>
      </c>
      <c r="BD435" s="3070" t="s">
        <v>3077</v>
      </c>
      <c r="BI435" s="3070" t="s">
        <v>3235</v>
      </c>
      <c r="BJ435" s="3070" t="s">
        <v>3338</v>
      </c>
      <c r="BL435" s="3070" t="s">
        <v>6838</v>
      </c>
      <c r="BM435" s="3075">
        <v>44287</v>
      </c>
      <c r="BN435" s="3070">
        <v>-70</v>
      </c>
      <c r="BO435" s="3070" t="s">
        <v>3253</v>
      </c>
      <c r="BR435" s="3070">
        <v>54</v>
      </c>
      <c r="BS435" s="3070" t="s">
        <v>3238</v>
      </c>
      <c r="BZ435" s="3073">
        <v>44145.576388888891</v>
      </c>
      <c r="CA435" s="3070">
        <v>4</v>
      </c>
      <c r="CD435" s="3070" t="s">
        <v>3239</v>
      </c>
      <c r="CF435" s="3070" t="s">
        <v>3091</v>
      </c>
      <c r="CH435" s="3070" t="s">
        <v>3240</v>
      </c>
      <c r="CI435" s="3070">
        <v>0</v>
      </c>
      <c r="CK435" s="3070" t="s">
        <v>3419</v>
      </c>
      <c r="CL435" s="3070" t="s">
        <v>3419</v>
      </c>
      <c r="CM435" s="3070">
        <v>1233062.3899999999</v>
      </c>
      <c r="CV435" s="3070" t="s">
        <v>3246</v>
      </c>
      <c r="CW435" s="3070" t="s">
        <v>6839</v>
      </c>
      <c r="CZ435" s="3070">
        <v>213894.57</v>
      </c>
      <c r="DA435" s="3070">
        <v>159426.93</v>
      </c>
      <c r="DB435" s="3070">
        <v>0</v>
      </c>
      <c r="DC435" s="3070">
        <v>0</v>
      </c>
      <c r="DD435" s="3070">
        <v>3290547602</v>
      </c>
      <c r="DE435" s="3070">
        <v>2764253109</v>
      </c>
      <c r="DF435" s="3070">
        <v>1464966739</v>
      </c>
      <c r="DG435" s="3070">
        <v>14938370</v>
      </c>
      <c r="DH435" s="3070">
        <v>1284348000</v>
      </c>
      <c r="DI435" s="3070">
        <v>1278128000</v>
      </c>
      <c r="DJ435" s="3070">
        <v>6220000</v>
      </c>
      <c r="DK435" s="3070">
        <v>0</v>
      </c>
      <c r="DL435" s="3070">
        <v>0</v>
      </c>
      <c r="DM435" s="3070">
        <v>25491817.620000001</v>
      </c>
      <c r="DN435" s="3070">
        <v>2764253109</v>
      </c>
      <c r="DP435" s="3070">
        <v>2764253109</v>
      </c>
    </row>
    <row r="436" spans="1:120">
      <c r="A436" s="3070">
        <v>435</v>
      </c>
      <c r="B436" s="3070" t="s">
        <v>3224</v>
      </c>
      <c r="C436" s="3070">
        <v>4</v>
      </c>
      <c r="D436" s="3070">
        <v>1</v>
      </c>
      <c r="E436" s="3070">
        <v>703</v>
      </c>
      <c r="F436" s="3070" t="s">
        <v>6840</v>
      </c>
      <c r="G436" s="3070" t="s">
        <v>6841</v>
      </c>
      <c r="H436" s="3070">
        <v>1664070</v>
      </c>
      <c r="I436" s="3070">
        <v>1664070</v>
      </c>
      <c r="J436" s="3070">
        <v>132.99</v>
      </c>
      <c r="K436" s="3070">
        <v>100.87</v>
      </c>
      <c r="L436" s="3070">
        <v>0</v>
      </c>
      <c r="M436" s="3070">
        <v>0</v>
      </c>
      <c r="N436" s="3070">
        <v>15444.44</v>
      </c>
      <c r="O436" s="3070">
        <v>2053956</v>
      </c>
      <c r="P436" s="3070">
        <v>12512.75</v>
      </c>
      <c r="Q436" s="3070">
        <v>1664070</v>
      </c>
      <c r="R436" s="3070" t="s">
        <v>3227</v>
      </c>
      <c r="S436" s="3070" t="s">
        <v>6842</v>
      </c>
      <c r="T436" s="3070" t="s">
        <v>3258</v>
      </c>
      <c r="U436" s="3070" t="s">
        <v>3259</v>
      </c>
      <c r="V436" s="3070" t="s">
        <v>3230</v>
      </c>
      <c r="Y436" s="3070">
        <v>984070</v>
      </c>
      <c r="Z436" s="3070">
        <v>984070</v>
      </c>
      <c r="AA436" s="3070">
        <v>984070</v>
      </c>
      <c r="AB436" s="3070">
        <v>0</v>
      </c>
      <c r="AC436" s="3070">
        <v>680000</v>
      </c>
      <c r="AD436" s="3070">
        <v>680000</v>
      </c>
      <c r="AE436" s="3070">
        <v>0</v>
      </c>
      <c r="AI436" s="3070" t="s">
        <v>3227</v>
      </c>
      <c r="AJ436" s="3070">
        <v>0</v>
      </c>
      <c r="AK436" s="3070">
        <v>0</v>
      </c>
      <c r="AL436" s="3070">
        <v>0</v>
      </c>
      <c r="AM436" s="3070">
        <v>12512.75</v>
      </c>
      <c r="AN436" s="3070">
        <v>1664070</v>
      </c>
      <c r="AP436" s="3070">
        <v>1664070</v>
      </c>
      <c r="AQ436" s="3072">
        <v>45230</v>
      </c>
      <c r="AT436" s="3073">
        <v>45770</v>
      </c>
      <c r="AV436" s="3070" t="s">
        <v>6843</v>
      </c>
      <c r="AW436" s="3070" t="s">
        <v>6844</v>
      </c>
      <c r="AX436" s="3070" t="s">
        <v>6845</v>
      </c>
      <c r="AY436" s="3070" t="s">
        <v>3346</v>
      </c>
      <c r="BC436" s="3070" t="s">
        <v>3365</v>
      </c>
      <c r="BD436" s="3070" t="s">
        <v>3075</v>
      </c>
      <c r="BI436" s="3070" t="s">
        <v>3235</v>
      </c>
      <c r="BL436" s="3070" t="s">
        <v>6846</v>
      </c>
      <c r="BM436" s="3075">
        <v>44287</v>
      </c>
      <c r="BN436" s="3070">
        <v>-70</v>
      </c>
      <c r="BO436" s="3070" t="s">
        <v>3253</v>
      </c>
      <c r="BP436" s="3070" t="s">
        <v>3253</v>
      </c>
      <c r="BR436" s="3070">
        <v>701</v>
      </c>
      <c r="BS436" s="3070" t="s">
        <v>3238</v>
      </c>
      <c r="BT436" s="3070" t="s">
        <v>3481</v>
      </c>
      <c r="BZ436" s="3073">
        <v>44142.637499999997</v>
      </c>
      <c r="CA436" s="3070">
        <v>4</v>
      </c>
      <c r="CB436" s="3070" t="s">
        <v>3481</v>
      </c>
      <c r="CD436" s="3070" t="s">
        <v>3239</v>
      </c>
      <c r="CF436" s="3070" t="s">
        <v>3091</v>
      </c>
      <c r="CH436" s="3070" t="s">
        <v>3240</v>
      </c>
      <c r="CI436" s="3070">
        <v>0</v>
      </c>
      <c r="CJ436" s="3070" t="s">
        <v>3259</v>
      </c>
      <c r="CK436" s="3070" t="s">
        <v>3346</v>
      </c>
      <c r="CL436" s="3070" t="s">
        <v>3346</v>
      </c>
      <c r="CM436" s="3070">
        <v>1526669.72</v>
      </c>
      <c r="CV436" s="3070" t="s">
        <v>3258</v>
      </c>
      <c r="CW436" s="3070" t="s">
        <v>6847</v>
      </c>
      <c r="CX436" s="3070" t="s">
        <v>3242</v>
      </c>
      <c r="CZ436" s="3070">
        <v>213894.57</v>
      </c>
      <c r="DA436" s="3070">
        <v>159426.93</v>
      </c>
      <c r="DB436" s="3070">
        <v>0</v>
      </c>
      <c r="DC436" s="3070">
        <v>0</v>
      </c>
      <c r="DD436" s="3070">
        <v>3290547602</v>
      </c>
      <c r="DE436" s="3070">
        <v>2764253109</v>
      </c>
      <c r="DF436" s="3070">
        <v>1464966739</v>
      </c>
      <c r="DG436" s="3070">
        <v>14938370</v>
      </c>
      <c r="DH436" s="3070">
        <v>1284348000</v>
      </c>
      <c r="DI436" s="3070">
        <v>1278128000</v>
      </c>
      <c r="DJ436" s="3070">
        <v>6220000</v>
      </c>
      <c r="DK436" s="3070">
        <v>0</v>
      </c>
      <c r="DL436" s="3070">
        <v>0</v>
      </c>
      <c r="DM436" s="3070">
        <v>25491817.620000001</v>
      </c>
      <c r="DN436" s="3070">
        <v>2764253109</v>
      </c>
      <c r="DP436" s="3070">
        <v>2764253109</v>
      </c>
    </row>
    <row r="437" spans="1:120">
      <c r="A437" s="3070">
        <v>436</v>
      </c>
      <c r="B437" s="3070" t="s">
        <v>3224</v>
      </c>
      <c r="C437" s="3070">
        <v>4</v>
      </c>
      <c r="D437" s="3070">
        <v>2</v>
      </c>
      <c r="E437" s="3070">
        <v>704</v>
      </c>
      <c r="F437" s="3070" t="s">
        <v>6848</v>
      </c>
      <c r="G437" s="3070" t="s">
        <v>6849</v>
      </c>
      <c r="H437" s="3070">
        <v>1697077</v>
      </c>
      <c r="I437" s="3070">
        <v>1697077</v>
      </c>
      <c r="J437" s="3070">
        <v>132.99</v>
      </c>
      <c r="K437" s="3070">
        <v>100.87</v>
      </c>
      <c r="L437" s="3070">
        <v>0</v>
      </c>
      <c r="M437" s="3070">
        <v>0</v>
      </c>
      <c r="N437" s="3070">
        <v>15444.44</v>
      </c>
      <c r="O437" s="3070">
        <v>2053956</v>
      </c>
      <c r="P437" s="3070">
        <v>12760.94</v>
      </c>
      <c r="Q437" s="3070">
        <v>1697077</v>
      </c>
      <c r="R437" s="3070" t="s">
        <v>3227</v>
      </c>
      <c r="S437" s="3070" t="s">
        <v>6850</v>
      </c>
      <c r="T437" s="3070" t="s">
        <v>3494</v>
      </c>
      <c r="V437" s="3070" t="s">
        <v>3230</v>
      </c>
      <c r="Y437" s="3070">
        <v>169708</v>
      </c>
      <c r="Z437" s="3070">
        <v>169708</v>
      </c>
      <c r="AA437" s="3070">
        <v>1697077</v>
      </c>
      <c r="AB437" s="3070">
        <v>0</v>
      </c>
      <c r="AC437" s="3070">
        <v>0</v>
      </c>
      <c r="AD437" s="3070">
        <v>0</v>
      </c>
      <c r="AE437" s="3070">
        <v>0</v>
      </c>
      <c r="AI437" s="3070" t="s">
        <v>3227</v>
      </c>
      <c r="AJ437" s="3070">
        <v>0</v>
      </c>
      <c r="AK437" s="3070">
        <v>0</v>
      </c>
      <c r="AL437" s="3070">
        <v>0</v>
      </c>
      <c r="AM437" s="3070">
        <v>12760.94</v>
      </c>
      <c r="AN437" s="3070">
        <v>1697077</v>
      </c>
      <c r="AP437" s="3070">
        <v>1697077</v>
      </c>
      <c r="AQ437" s="3072">
        <v>45230</v>
      </c>
      <c r="AT437" s="3073">
        <v>45770</v>
      </c>
      <c r="AV437" s="3070" t="s">
        <v>6851</v>
      </c>
      <c r="AW437" s="3070" t="s">
        <v>6852</v>
      </c>
      <c r="AX437" s="3070" t="s">
        <v>6853</v>
      </c>
      <c r="AY437" s="3070" t="s">
        <v>3892</v>
      </c>
      <c r="BA437" s="3070" t="s">
        <v>4527</v>
      </c>
      <c r="BC437" s="3070" t="s">
        <v>4629</v>
      </c>
      <c r="BD437" s="3070" t="s">
        <v>3075</v>
      </c>
      <c r="BI437" s="3070" t="s">
        <v>3235</v>
      </c>
      <c r="BL437" s="3070" t="s">
        <v>6854</v>
      </c>
      <c r="BM437" s="3075">
        <v>44288</v>
      </c>
      <c r="BN437" s="3070">
        <v>-70</v>
      </c>
      <c r="BR437" s="3070">
        <v>21</v>
      </c>
      <c r="BS437" s="3070" t="s">
        <v>3238</v>
      </c>
      <c r="BU437" s="3070" t="s">
        <v>4527</v>
      </c>
      <c r="BZ437" s="3073">
        <v>44209.768055555556</v>
      </c>
      <c r="CA437" s="3070">
        <v>4</v>
      </c>
      <c r="CD437" s="3070" t="s">
        <v>3239</v>
      </c>
      <c r="CF437" s="3070" t="s">
        <v>3091</v>
      </c>
      <c r="CH437" s="3070" t="s">
        <v>3240</v>
      </c>
      <c r="CI437" s="3070">
        <v>0</v>
      </c>
      <c r="CK437" s="3070" t="s">
        <v>4056</v>
      </c>
      <c r="CL437" s="3070" t="s">
        <v>4056</v>
      </c>
      <c r="CM437" s="3070">
        <v>1556951.38</v>
      </c>
      <c r="CV437" s="3070" t="s">
        <v>3494</v>
      </c>
      <c r="CW437" s="3070" t="s">
        <v>6855</v>
      </c>
      <c r="CZ437" s="3070">
        <v>213894.57</v>
      </c>
      <c r="DA437" s="3070">
        <v>159426.93</v>
      </c>
      <c r="DB437" s="3070">
        <v>0</v>
      </c>
      <c r="DC437" s="3070">
        <v>0</v>
      </c>
      <c r="DD437" s="3070">
        <v>3290547602</v>
      </c>
      <c r="DE437" s="3070">
        <v>2764253109</v>
      </c>
      <c r="DF437" s="3070">
        <v>1464966739</v>
      </c>
      <c r="DG437" s="3070">
        <v>14938370</v>
      </c>
      <c r="DH437" s="3070">
        <v>1284348000</v>
      </c>
      <c r="DI437" s="3070">
        <v>1278128000</v>
      </c>
      <c r="DJ437" s="3070">
        <v>6220000</v>
      </c>
      <c r="DK437" s="3070">
        <v>0</v>
      </c>
      <c r="DL437" s="3070">
        <v>0</v>
      </c>
      <c r="DM437" s="3070">
        <v>25491817.620000001</v>
      </c>
      <c r="DN437" s="3070">
        <v>2764253109</v>
      </c>
      <c r="DP437" s="3070">
        <v>2764253109</v>
      </c>
    </row>
    <row r="438" spans="1:120">
      <c r="A438" s="3070">
        <v>437</v>
      </c>
      <c r="B438" s="3070" t="s">
        <v>3224</v>
      </c>
      <c r="C438" s="3070">
        <v>4</v>
      </c>
      <c r="D438" s="3070">
        <v>2</v>
      </c>
      <c r="E438" s="3070">
        <v>705</v>
      </c>
      <c r="F438" s="3070" t="s">
        <v>6856</v>
      </c>
      <c r="G438" s="3070" t="s">
        <v>6857</v>
      </c>
      <c r="H438" s="3070">
        <v>1344038</v>
      </c>
      <c r="I438" s="3070">
        <v>1344038</v>
      </c>
      <c r="J438" s="3070">
        <v>105.02</v>
      </c>
      <c r="K438" s="3070">
        <v>79.66</v>
      </c>
      <c r="L438" s="3070">
        <v>0</v>
      </c>
      <c r="M438" s="3070">
        <v>0</v>
      </c>
      <c r="N438" s="3070">
        <v>15744.44</v>
      </c>
      <c r="O438" s="3070">
        <v>1653481</v>
      </c>
      <c r="P438" s="3070">
        <v>12797.92</v>
      </c>
      <c r="Q438" s="3070">
        <v>1344038</v>
      </c>
      <c r="R438" s="3070" t="s">
        <v>3227</v>
      </c>
      <c r="S438" s="3070" t="s">
        <v>6858</v>
      </c>
      <c r="T438" s="3070" t="s">
        <v>3258</v>
      </c>
      <c r="U438" s="3070" t="s">
        <v>3259</v>
      </c>
      <c r="V438" s="3070" t="s">
        <v>3230</v>
      </c>
      <c r="Y438" s="3070">
        <v>494038</v>
      </c>
      <c r="Z438" s="3070">
        <v>494038</v>
      </c>
      <c r="AA438" s="3070">
        <v>494038</v>
      </c>
      <c r="AB438" s="3070">
        <v>0</v>
      </c>
      <c r="AC438" s="3070">
        <v>850000</v>
      </c>
      <c r="AD438" s="3070">
        <v>850000</v>
      </c>
      <c r="AE438" s="3070">
        <v>0</v>
      </c>
      <c r="AI438" s="3070" t="s">
        <v>3227</v>
      </c>
      <c r="AJ438" s="3070">
        <v>0</v>
      </c>
      <c r="AK438" s="3070">
        <v>0</v>
      </c>
      <c r="AL438" s="3070">
        <v>0</v>
      </c>
      <c r="AM438" s="3070">
        <v>12797.92</v>
      </c>
      <c r="AN438" s="3070">
        <v>1344038</v>
      </c>
      <c r="AP438" s="3070">
        <v>1344038</v>
      </c>
      <c r="AQ438" s="3072">
        <v>45230</v>
      </c>
      <c r="AT438" s="3073">
        <v>45770</v>
      </c>
      <c r="AV438" s="3070" t="s">
        <v>6859</v>
      </c>
      <c r="AW438" s="3070" t="s">
        <v>6860</v>
      </c>
      <c r="AX438" s="3070" t="s">
        <v>6861</v>
      </c>
      <c r="AY438" s="3070" t="s">
        <v>3262</v>
      </c>
      <c r="BC438" s="3070" t="s">
        <v>3263</v>
      </c>
      <c r="BD438" s="3070" t="s">
        <v>3077</v>
      </c>
      <c r="BI438" s="3070" t="s">
        <v>3235</v>
      </c>
      <c r="BJ438" s="3070" t="s">
        <v>3338</v>
      </c>
      <c r="BL438" s="3070" t="s">
        <v>6862</v>
      </c>
      <c r="BM438" s="3075">
        <v>44288</v>
      </c>
      <c r="BN438" s="3070">
        <v>-70</v>
      </c>
      <c r="BO438" s="3070" t="s">
        <v>3253</v>
      </c>
      <c r="BP438" s="3070" t="s">
        <v>3253</v>
      </c>
      <c r="BR438" s="3070">
        <v>312</v>
      </c>
      <c r="BS438" s="3070" t="s">
        <v>3238</v>
      </c>
      <c r="BZ438" s="3073">
        <v>44142.65347222222</v>
      </c>
      <c r="CA438" s="3070">
        <v>4</v>
      </c>
      <c r="CD438" s="3070" t="s">
        <v>3239</v>
      </c>
      <c r="CF438" s="3070" t="s">
        <v>3091</v>
      </c>
      <c r="CH438" s="3070" t="s">
        <v>3240</v>
      </c>
      <c r="CI438" s="3070">
        <v>0</v>
      </c>
      <c r="CJ438" s="3070" t="s">
        <v>3259</v>
      </c>
      <c r="CK438" s="3070" t="s">
        <v>3262</v>
      </c>
      <c r="CL438" s="3070" t="s">
        <v>3262</v>
      </c>
      <c r="CM438" s="3070">
        <v>1233062.3899999999</v>
      </c>
      <c r="CV438" s="3070" t="s">
        <v>3258</v>
      </c>
      <c r="CW438" s="3070" t="s">
        <v>6863</v>
      </c>
      <c r="CZ438" s="3070">
        <v>213894.57</v>
      </c>
      <c r="DA438" s="3070">
        <v>159426.93</v>
      </c>
      <c r="DB438" s="3070">
        <v>0</v>
      </c>
      <c r="DC438" s="3070">
        <v>0</v>
      </c>
      <c r="DD438" s="3070">
        <v>3290547602</v>
      </c>
      <c r="DE438" s="3070">
        <v>2764253109</v>
      </c>
      <c r="DF438" s="3070">
        <v>1464966739</v>
      </c>
      <c r="DG438" s="3070">
        <v>14938370</v>
      </c>
      <c r="DH438" s="3070">
        <v>1284348000</v>
      </c>
      <c r="DI438" s="3070">
        <v>1278128000</v>
      </c>
      <c r="DJ438" s="3070">
        <v>6220000</v>
      </c>
      <c r="DK438" s="3070">
        <v>0</v>
      </c>
      <c r="DL438" s="3070">
        <v>0</v>
      </c>
      <c r="DM438" s="3070">
        <v>25491817.620000001</v>
      </c>
      <c r="DN438" s="3070">
        <v>2764253109</v>
      </c>
      <c r="DP438" s="3070">
        <v>2764253109</v>
      </c>
    </row>
    <row r="439" spans="1:120">
      <c r="A439" s="3070">
        <v>438</v>
      </c>
      <c r="B439" s="3070" t="s">
        <v>3224</v>
      </c>
      <c r="C439" s="3070">
        <v>4</v>
      </c>
      <c r="D439" s="3070">
        <v>2</v>
      </c>
      <c r="E439" s="3070">
        <v>706</v>
      </c>
      <c r="F439" s="3070" t="s">
        <v>6864</v>
      </c>
      <c r="G439" s="3070" t="s">
        <v>6865</v>
      </c>
      <c r="H439" s="3070">
        <v>1684654</v>
      </c>
      <c r="I439" s="3070">
        <v>1684654</v>
      </c>
      <c r="J439" s="3070">
        <v>132.62</v>
      </c>
      <c r="K439" s="3070">
        <v>100.59</v>
      </c>
      <c r="L439" s="3070">
        <v>0</v>
      </c>
      <c r="M439" s="3070">
        <v>0</v>
      </c>
      <c r="N439" s="3070">
        <v>15644.44</v>
      </c>
      <c r="O439" s="3070">
        <v>2074766</v>
      </c>
      <c r="P439" s="3070">
        <v>12702.87</v>
      </c>
      <c r="Q439" s="3070">
        <v>1684654</v>
      </c>
      <c r="R439" s="3070" t="s">
        <v>3227</v>
      </c>
      <c r="S439" s="3070" t="s">
        <v>6866</v>
      </c>
      <c r="T439" s="3070" t="s">
        <v>3246</v>
      </c>
      <c r="U439" s="3070" t="s">
        <v>3279</v>
      </c>
      <c r="V439" s="3070" t="s">
        <v>3230</v>
      </c>
      <c r="Y439" s="3070">
        <v>1384654</v>
      </c>
      <c r="Z439" s="3070">
        <v>1384654</v>
      </c>
      <c r="AA439" s="3070">
        <v>1384654</v>
      </c>
      <c r="AB439" s="3070">
        <v>0</v>
      </c>
      <c r="AC439" s="3070">
        <v>300000</v>
      </c>
      <c r="AD439" s="3070">
        <v>300000</v>
      </c>
      <c r="AE439" s="3070">
        <v>0</v>
      </c>
      <c r="AI439" s="3070" t="s">
        <v>3227</v>
      </c>
      <c r="AJ439" s="3070">
        <v>0</v>
      </c>
      <c r="AK439" s="3070">
        <v>0</v>
      </c>
      <c r="AL439" s="3070">
        <v>0</v>
      </c>
      <c r="AM439" s="3070">
        <v>12702.87</v>
      </c>
      <c r="AN439" s="3070">
        <v>1684654</v>
      </c>
      <c r="AP439" s="3070">
        <v>1684654</v>
      </c>
      <c r="AQ439" s="3072">
        <v>45230</v>
      </c>
      <c r="AT439" s="3073">
        <v>45770</v>
      </c>
      <c r="AV439" s="3074">
        <v>3.21E+17</v>
      </c>
      <c r="AW439" s="3070" t="s">
        <v>6867</v>
      </c>
      <c r="AX439" s="3070" t="s">
        <v>6868</v>
      </c>
      <c r="AY439" s="3070" t="s">
        <v>3233</v>
      </c>
      <c r="BC439" s="3070" t="s">
        <v>3284</v>
      </c>
      <c r="BD439" s="3070" t="s">
        <v>3075</v>
      </c>
      <c r="BI439" s="3070" t="s">
        <v>3235</v>
      </c>
      <c r="BL439" s="3070" t="s">
        <v>6869</v>
      </c>
      <c r="BM439" s="3075">
        <v>44288</v>
      </c>
      <c r="BN439" s="3070">
        <v>-70</v>
      </c>
      <c r="BO439" s="3070" t="s">
        <v>3253</v>
      </c>
      <c r="BR439" s="3070">
        <v>182</v>
      </c>
      <c r="BS439" s="3070" t="s">
        <v>3238</v>
      </c>
      <c r="BZ439" s="3073">
        <v>44145.377083333333</v>
      </c>
      <c r="CA439" s="3070">
        <v>4</v>
      </c>
      <c r="CD439" s="3070" t="s">
        <v>3239</v>
      </c>
      <c r="CF439" s="3070" t="s">
        <v>3091</v>
      </c>
      <c r="CH439" s="3070" t="s">
        <v>3240</v>
      </c>
      <c r="CI439" s="3070">
        <v>0</v>
      </c>
      <c r="CK439" s="3070" t="s">
        <v>3233</v>
      </c>
      <c r="CL439" s="3070" t="s">
        <v>3233</v>
      </c>
      <c r="CM439" s="3070">
        <v>1545554.13</v>
      </c>
      <c r="CV439" s="3070" t="s">
        <v>3246</v>
      </c>
      <c r="CW439" s="3070" t="s">
        <v>6870</v>
      </c>
      <c r="CX439" s="3070" t="s">
        <v>3267</v>
      </c>
      <c r="CZ439" s="3070">
        <v>213894.57</v>
      </c>
      <c r="DA439" s="3070">
        <v>159426.93</v>
      </c>
      <c r="DB439" s="3070">
        <v>0</v>
      </c>
      <c r="DC439" s="3070">
        <v>0</v>
      </c>
      <c r="DD439" s="3070">
        <v>3290547602</v>
      </c>
      <c r="DE439" s="3070">
        <v>2764253109</v>
      </c>
      <c r="DF439" s="3070">
        <v>1464966739</v>
      </c>
      <c r="DG439" s="3070">
        <v>14938370</v>
      </c>
      <c r="DH439" s="3070">
        <v>1284348000</v>
      </c>
      <c r="DI439" s="3070">
        <v>1278128000</v>
      </c>
      <c r="DJ439" s="3070">
        <v>6220000</v>
      </c>
      <c r="DK439" s="3070">
        <v>0</v>
      </c>
      <c r="DL439" s="3070">
        <v>0</v>
      </c>
      <c r="DM439" s="3070">
        <v>25491817.620000001</v>
      </c>
      <c r="DN439" s="3070">
        <v>2764253109</v>
      </c>
      <c r="DP439" s="3070">
        <v>2764253109</v>
      </c>
    </row>
    <row r="440" spans="1:120">
      <c r="A440" s="3070">
        <v>439</v>
      </c>
      <c r="B440" s="3070" t="s">
        <v>3224</v>
      </c>
      <c r="C440" s="3070">
        <v>4</v>
      </c>
      <c r="D440" s="3070">
        <v>1</v>
      </c>
      <c r="E440" s="3070">
        <v>801</v>
      </c>
      <c r="F440" s="3070" t="s">
        <v>6871</v>
      </c>
      <c r="G440" s="3070" t="s">
        <v>6872</v>
      </c>
      <c r="H440" s="3070">
        <v>1684654</v>
      </c>
      <c r="I440" s="3070">
        <v>1684654</v>
      </c>
      <c r="J440" s="3070">
        <v>132.62</v>
      </c>
      <c r="K440" s="3070">
        <v>100.59</v>
      </c>
      <c r="L440" s="3070">
        <v>0</v>
      </c>
      <c r="M440" s="3070">
        <v>0</v>
      </c>
      <c r="N440" s="3070">
        <v>15644.44</v>
      </c>
      <c r="O440" s="3070">
        <v>2074766</v>
      </c>
      <c r="P440" s="3070">
        <v>12702.87</v>
      </c>
      <c r="Q440" s="3070">
        <v>1684654</v>
      </c>
      <c r="R440" s="3070" t="s">
        <v>3227</v>
      </c>
      <c r="S440" s="3070" t="s">
        <v>6873</v>
      </c>
      <c r="T440" s="3070" t="s">
        <v>3258</v>
      </c>
      <c r="U440" s="3070" t="s">
        <v>3259</v>
      </c>
      <c r="V440" s="3070" t="s">
        <v>3230</v>
      </c>
      <c r="Y440" s="3070">
        <v>634654</v>
      </c>
      <c r="Z440" s="3070">
        <v>634654</v>
      </c>
      <c r="AA440" s="3070">
        <v>634654</v>
      </c>
      <c r="AB440" s="3070">
        <v>0</v>
      </c>
      <c r="AC440" s="3070">
        <v>1050000</v>
      </c>
      <c r="AD440" s="3070">
        <v>1050000</v>
      </c>
      <c r="AE440" s="3070">
        <v>0</v>
      </c>
      <c r="AI440" s="3070" t="s">
        <v>3227</v>
      </c>
      <c r="AJ440" s="3070">
        <v>0</v>
      </c>
      <c r="AK440" s="3070">
        <v>0</v>
      </c>
      <c r="AL440" s="3070">
        <v>0</v>
      </c>
      <c r="AM440" s="3070">
        <v>12702.87</v>
      </c>
      <c r="AN440" s="3070">
        <v>1684654</v>
      </c>
      <c r="AP440" s="3070">
        <v>1684654</v>
      </c>
      <c r="AQ440" s="3072">
        <v>45230</v>
      </c>
      <c r="AT440" s="3073">
        <v>45770</v>
      </c>
      <c r="AV440" s="3070" t="s">
        <v>6874</v>
      </c>
      <c r="AW440" s="3070" t="s">
        <v>6875</v>
      </c>
      <c r="AX440" s="3070" t="s">
        <v>6876</v>
      </c>
      <c r="AY440" s="3070" t="s">
        <v>3306</v>
      </c>
      <c r="BC440" s="3070" t="s">
        <v>3263</v>
      </c>
      <c r="BD440" s="3070" t="s">
        <v>3075</v>
      </c>
      <c r="BI440" s="3070" t="s">
        <v>3235</v>
      </c>
      <c r="BJ440" s="3070" t="s">
        <v>3296</v>
      </c>
      <c r="BL440" s="3070" t="s">
        <v>6877</v>
      </c>
      <c r="BM440" s="3075">
        <v>44287</v>
      </c>
      <c r="BN440" s="3070">
        <v>-80</v>
      </c>
      <c r="BO440" s="3070" t="s">
        <v>3253</v>
      </c>
      <c r="BP440" s="3070" t="s">
        <v>3253</v>
      </c>
      <c r="BR440" s="3070">
        <v>314</v>
      </c>
      <c r="BS440" s="3070" t="s">
        <v>3238</v>
      </c>
      <c r="BZ440" s="3073">
        <v>44142.636111111111</v>
      </c>
      <c r="CA440" s="3070">
        <v>4</v>
      </c>
      <c r="CD440" s="3070" t="s">
        <v>3239</v>
      </c>
      <c r="CF440" s="3070" t="s">
        <v>3091</v>
      </c>
      <c r="CH440" s="3070" t="s">
        <v>3240</v>
      </c>
      <c r="CI440" s="3070">
        <v>0</v>
      </c>
      <c r="CJ440" s="3070" t="s">
        <v>3259</v>
      </c>
      <c r="CK440" s="3070" t="s">
        <v>3306</v>
      </c>
      <c r="CL440" s="3070" t="s">
        <v>3306</v>
      </c>
      <c r="CM440" s="3070">
        <v>1545554.12</v>
      </c>
      <c r="CV440" s="3070" t="s">
        <v>3258</v>
      </c>
      <c r="CW440" s="3070" t="s">
        <v>6878</v>
      </c>
      <c r="CX440" s="3070" t="s">
        <v>3267</v>
      </c>
      <c r="CZ440" s="3070">
        <v>213894.57</v>
      </c>
      <c r="DA440" s="3070">
        <v>159426.93</v>
      </c>
      <c r="DB440" s="3070">
        <v>0</v>
      </c>
      <c r="DC440" s="3070">
        <v>0</v>
      </c>
      <c r="DD440" s="3070">
        <v>3290547602</v>
      </c>
      <c r="DE440" s="3070">
        <v>2764253109</v>
      </c>
      <c r="DF440" s="3070">
        <v>1464966739</v>
      </c>
      <c r="DG440" s="3070">
        <v>14938370</v>
      </c>
      <c r="DH440" s="3070">
        <v>1284348000</v>
      </c>
      <c r="DI440" s="3070">
        <v>1278128000</v>
      </c>
      <c r="DJ440" s="3070">
        <v>6220000</v>
      </c>
      <c r="DK440" s="3070">
        <v>0</v>
      </c>
      <c r="DL440" s="3070">
        <v>0</v>
      </c>
      <c r="DM440" s="3070">
        <v>25491817.620000001</v>
      </c>
      <c r="DN440" s="3070">
        <v>2764253109</v>
      </c>
      <c r="DP440" s="3070">
        <v>2764253109</v>
      </c>
    </row>
    <row r="441" spans="1:120">
      <c r="A441" s="3070">
        <v>440</v>
      </c>
      <c r="B441" s="3070" t="s">
        <v>3224</v>
      </c>
      <c r="C441" s="3070">
        <v>4</v>
      </c>
      <c r="D441" s="3070">
        <v>1</v>
      </c>
      <c r="E441" s="3070">
        <v>802</v>
      </c>
      <c r="F441" s="3070" t="s">
        <v>6879</v>
      </c>
      <c r="G441" s="3070" t="s">
        <v>6880</v>
      </c>
      <c r="H441" s="3070">
        <v>1349030</v>
      </c>
      <c r="I441" s="3070">
        <v>1349030</v>
      </c>
      <c r="J441" s="3070">
        <v>105.02</v>
      </c>
      <c r="K441" s="3070">
        <v>79.66</v>
      </c>
      <c r="L441" s="3070">
        <v>0</v>
      </c>
      <c r="M441" s="3070">
        <v>0</v>
      </c>
      <c r="N441" s="3070">
        <v>15794.44</v>
      </c>
      <c r="O441" s="3070">
        <v>1658732</v>
      </c>
      <c r="P441" s="3070">
        <v>12845.46</v>
      </c>
      <c r="Q441" s="3070">
        <v>1349030</v>
      </c>
      <c r="R441" s="3070" t="s">
        <v>3227</v>
      </c>
      <c r="S441" s="3070" t="s">
        <v>6881</v>
      </c>
      <c r="T441" s="3070" t="s">
        <v>3246</v>
      </c>
      <c r="U441" s="3070" t="s">
        <v>3279</v>
      </c>
      <c r="V441" s="3070" t="s">
        <v>3230</v>
      </c>
      <c r="Y441" s="3070">
        <v>409030</v>
      </c>
      <c r="Z441" s="3070">
        <v>409030</v>
      </c>
      <c r="AA441" s="3070">
        <v>409030</v>
      </c>
      <c r="AB441" s="3070">
        <v>0</v>
      </c>
      <c r="AC441" s="3070">
        <v>940000</v>
      </c>
      <c r="AD441" s="3070">
        <v>940000</v>
      </c>
      <c r="AE441" s="3070">
        <v>0</v>
      </c>
      <c r="AI441" s="3070" t="s">
        <v>3227</v>
      </c>
      <c r="AJ441" s="3070">
        <v>0</v>
      </c>
      <c r="AK441" s="3070">
        <v>0</v>
      </c>
      <c r="AL441" s="3070">
        <v>0</v>
      </c>
      <c r="AM441" s="3070">
        <v>12845.46</v>
      </c>
      <c r="AN441" s="3070">
        <v>1349030</v>
      </c>
      <c r="AP441" s="3070">
        <v>1349030</v>
      </c>
      <c r="AQ441" s="3072">
        <v>45230</v>
      </c>
      <c r="AT441" s="3073">
        <v>45770</v>
      </c>
      <c r="AV441" s="3070" t="s">
        <v>6882</v>
      </c>
      <c r="AW441" s="3070" t="s">
        <v>6883</v>
      </c>
      <c r="AX441" s="3070" t="s">
        <v>6884</v>
      </c>
      <c r="AY441" s="3070" t="s">
        <v>3393</v>
      </c>
      <c r="BC441" s="3070" t="s">
        <v>3284</v>
      </c>
      <c r="BD441" s="3070" t="s">
        <v>3077</v>
      </c>
      <c r="BI441" s="3070" t="s">
        <v>3235</v>
      </c>
      <c r="BJ441" s="3070" t="s">
        <v>3296</v>
      </c>
      <c r="BL441" s="3070" t="s">
        <v>6885</v>
      </c>
      <c r="BM441" s="3075">
        <v>44287</v>
      </c>
      <c r="BN441" s="3070">
        <v>-80</v>
      </c>
      <c r="BO441" s="3070" t="s">
        <v>3253</v>
      </c>
      <c r="BR441" s="3070">
        <v>252</v>
      </c>
      <c r="BS441" s="3070" t="s">
        <v>3238</v>
      </c>
      <c r="BZ441" s="3073">
        <v>44142.693055555559</v>
      </c>
      <c r="CA441" s="3070">
        <v>4</v>
      </c>
      <c r="CD441" s="3070" t="s">
        <v>3239</v>
      </c>
      <c r="CF441" s="3070" t="s">
        <v>3091</v>
      </c>
      <c r="CH441" s="3070" t="s">
        <v>3240</v>
      </c>
      <c r="CI441" s="3070">
        <v>0</v>
      </c>
      <c r="CK441" s="3070" t="s">
        <v>3393</v>
      </c>
      <c r="CL441" s="3070" t="s">
        <v>3393</v>
      </c>
      <c r="CM441" s="3070">
        <v>1237642.2</v>
      </c>
      <c r="CV441" s="3070" t="s">
        <v>3246</v>
      </c>
      <c r="CW441" s="3070" t="s">
        <v>6886</v>
      </c>
      <c r="CZ441" s="3070">
        <v>213894.57</v>
      </c>
      <c r="DA441" s="3070">
        <v>159426.93</v>
      </c>
      <c r="DB441" s="3070">
        <v>0</v>
      </c>
      <c r="DC441" s="3070">
        <v>0</v>
      </c>
      <c r="DD441" s="3070">
        <v>3290547602</v>
      </c>
      <c r="DE441" s="3070">
        <v>2764253109</v>
      </c>
      <c r="DF441" s="3070">
        <v>1464966739</v>
      </c>
      <c r="DG441" s="3070">
        <v>14938370</v>
      </c>
      <c r="DH441" s="3070">
        <v>1284348000</v>
      </c>
      <c r="DI441" s="3070">
        <v>1278128000</v>
      </c>
      <c r="DJ441" s="3070">
        <v>6220000</v>
      </c>
      <c r="DK441" s="3070">
        <v>0</v>
      </c>
      <c r="DL441" s="3070">
        <v>0</v>
      </c>
      <c r="DM441" s="3070">
        <v>25491817.620000001</v>
      </c>
      <c r="DN441" s="3070">
        <v>2764253109</v>
      </c>
      <c r="DP441" s="3070">
        <v>2764253109</v>
      </c>
    </row>
    <row r="442" spans="1:120">
      <c r="A442" s="3070">
        <v>441</v>
      </c>
      <c r="B442" s="3070" t="s">
        <v>3224</v>
      </c>
      <c r="C442" s="3070">
        <v>4</v>
      </c>
      <c r="D442" s="3070">
        <v>1</v>
      </c>
      <c r="E442" s="3070">
        <v>803</v>
      </c>
      <c r="F442" s="3070" t="s">
        <v>6887</v>
      </c>
      <c r="G442" s="3070" t="s">
        <v>6888</v>
      </c>
      <c r="H442" s="3070">
        <v>1684823</v>
      </c>
      <c r="I442" s="3070">
        <v>1684823</v>
      </c>
      <c r="J442" s="3070">
        <v>132.99</v>
      </c>
      <c r="K442" s="3070">
        <v>100.87</v>
      </c>
      <c r="L442" s="3070">
        <v>0</v>
      </c>
      <c r="M442" s="3070">
        <v>0</v>
      </c>
      <c r="N442" s="3070">
        <v>15494.44</v>
      </c>
      <c r="O442" s="3070">
        <v>2060606</v>
      </c>
      <c r="P442" s="3070">
        <v>12668.79</v>
      </c>
      <c r="Q442" s="3070">
        <v>1684823</v>
      </c>
      <c r="R442" s="3070" t="s">
        <v>3227</v>
      </c>
      <c r="S442" s="3070" t="s">
        <v>6889</v>
      </c>
      <c r="T442" s="3070" t="s">
        <v>3494</v>
      </c>
      <c r="V442" s="3070" t="s">
        <v>3230</v>
      </c>
      <c r="Y442" s="3070">
        <v>168482</v>
      </c>
      <c r="Z442" s="3070">
        <v>168482</v>
      </c>
      <c r="AA442" s="3070">
        <v>1684823</v>
      </c>
      <c r="AB442" s="3070">
        <v>0</v>
      </c>
      <c r="AC442" s="3070">
        <v>0</v>
      </c>
      <c r="AD442" s="3070">
        <v>0</v>
      </c>
      <c r="AE442" s="3070">
        <v>0</v>
      </c>
      <c r="AI442" s="3070" t="s">
        <v>3227</v>
      </c>
      <c r="AJ442" s="3070">
        <v>0</v>
      </c>
      <c r="AK442" s="3070">
        <v>0</v>
      </c>
      <c r="AL442" s="3070">
        <v>0</v>
      </c>
      <c r="AM442" s="3070">
        <v>12668.79</v>
      </c>
      <c r="AN442" s="3070">
        <v>1684823</v>
      </c>
      <c r="AP442" s="3070">
        <v>1684823</v>
      </c>
      <c r="AQ442" s="3072">
        <v>45230</v>
      </c>
      <c r="AT442" s="3073">
        <v>45770</v>
      </c>
      <c r="AV442" s="3074">
        <v>3.21E+17</v>
      </c>
      <c r="AW442" s="3070" t="s">
        <v>6890</v>
      </c>
      <c r="AX442" s="3070" t="s">
        <v>6891</v>
      </c>
      <c r="AY442" s="3070" t="s">
        <v>4065</v>
      </c>
      <c r="BA442" s="3070" t="s">
        <v>4065</v>
      </c>
      <c r="BC442" s="3070" t="s">
        <v>6892</v>
      </c>
      <c r="BD442" s="3070" t="s">
        <v>3075</v>
      </c>
      <c r="BI442" s="3070" t="s">
        <v>3235</v>
      </c>
      <c r="BL442" s="3070" t="s">
        <v>6893</v>
      </c>
      <c r="BM442" s="3075">
        <v>44287</v>
      </c>
      <c r="BN442" s="3070">
        <v>-80</v>
      </c>
      <c r="BR442" s="3070">
        <v>16</v>
      </c>
      <c r="BS442" s="3070" t="s">
        <v>3238</v>
      </c>
      <c r="BU442" s="3070" t="s">
        <v>4065</v>
      </c>
      <c r="BZ442" s="3073">
        <v>44225.606944444444</v>
      </c>
      <c r="CA442" s="3070">
        <v>4</v>
      </c>
      <c r="CD442" s="3070" t="s">
        <v>3239</v>
      </c>
      <c r="CF442" s="3070" t="s">
        <v>3091</v>
      </c>
      <c r="CH442" s="3070" t="s">
        <v>3240</v>
      </c>
      <c r="CI442" s="3070">
        <v>0</v>
      </c>
      <c r="CK442" s="3070" t="s">
        <v>4065</v>
      </c>
      <c r="CL442" s="3070" t="s">
        <v>4242</v>
      </c>
      <c r="CM442" s="3070">
        <v>1545709.17</v>
      </c>
      <c r="CV442" s="3070" t="s">
        <v>3494</v>
      </c>
      <c r="CW442" s="3070" t="s">
        <v>6894</v>
      </c>
      <c r="CX442" s="3070" t="s">
        <v>3510</v>
      </c>
      <c r="CZ442" s="3070">
        <v>213894.57</v>
      </c>
      <c r="DA442" s="3070">
        <v>159426.93</v>
      </c>
      <c r="DB442" s="3070">
        <v>0</v>
      </c>
      <c r="DC442" s="3070">
        <v>0</v>
      </c>
      <c r="DD442" s="3070">
        <v>3290547602</v>
      </c>
      <c r="DE442" s="3070">
        <v>2764253109</v>
      </c>
      <c r="DF442" s="3070">
        <v>1464966739</v>
      </c>
      <c r="DG442" s="3070">
        <v>14938370</v>
      </c>
      <c r="DH442" s="3070">
        <v>1284348000</v>
      </c>
      <c r="DI442" s="3070">
        <v>1278128000</v>
      </c>
      <c r="DJ442" s="3070">
        <v>6220000</v>
      </c>
      <c r="DK442" s="3070">
        <v>0</v>
      </c>
      <c r="DL442" s="3070">
        <v>0</v>
      </c>
      <c r="DM442" s="3070">
        <v>25491817.620000001</v>
      </c>
      <c r="DN442" s="3070">
        <v>2764253109</v>
      </c>
      <c r="DP442" s="3070">
        <v>2764253109</v>
      </c>
    </row>
    <row r="443" spans="1:120">
      <c r="A443" s="3070">
        <v>442</v>
      </c>
      <c r="B443" s="3070" t="s">
        <v>3224</v>
      </c>
      <c r="C443" s="3070">
        <v>4</v>
      </c>
      <c r="D443" s="3070">
        <v>2</v>
      </c>
      <c r="E443" s="3070">
        <v>804</v>
      </c>
      <c r="F443" s="3070" t="s">
        <v>6895</v>
      </c>
      <c r="G443" s="3070" t="s">
        <v>6896</v>
      </c>
      <c r="H443" s="3070">
        <v>494565</v>
      </c>
      <c r="I443" s="3070">
        <v>1648550</v>
      </c>
      <c r="J443" s="3070">
        <v>132.99</v>
      </c>
      <c r="K443" s="3070">
        <v>100.87</v>
      </c>
      <c r="L443" s="3070">
        <v>0</v>
      </c>
      <c r="M443" s="3070">
        <v>0</v>
      </c>
      <c r="N443" s="3070">
        <v>15494.44</v>
      </c>
      <c r="O443" s="3070">
        <v>2060606</v>
      </c>
      <c r="P443" s="3070">
        <v>12396.04</v>
      </c>
      <c r="Q443" s="3070">
        <v>1648550</v>
      </c>
      <c r="R443" s="3070" t="s">
        <v>3227</v>
      </c>
      <c r="S443" s="3070" t="s">
        <v>3353</v>
      </c>
      <c r="T443" s="3070" t="s">
        <v>3494</v>
      </c>
      <c r="V443" s="3070" t="s">
        <v>3230</v>
      </c>
      <c r="Y443" s="3070">
        <v>164855</v>
      </c>
      <c r="Z443" s="3070">
        <v>164855</v>
      </c>
      <c r="AA443" s="3070">
        <v>494565</v>
      </c>
      <c r="AB443" s="3070">
        <v>1153985</v>
      </c>
      <c r="AC443" s="3070">
        <v>0</v>
      </c>
      <c r="AD443" s="3070">
        <v>0</v>
      </c>
      <c r="AE443" s="3070">
        <v>0</v>
      </c>
      <c r="AI443" s="3070" t="s">
        <v>3227</v>
      </c>
      <c r="AJ443" s="3070">
        <v>0</v>
      </c>
      <c r="AK443" s="3070">
        <v>0</v>
      </c>
      <c r="AL443" s="3070">
        <v>0</v>
      </c>
      <c r="AM443" s="3070">
        <v>12396.04</v>
      </c>
      <c r="AN443" s="3070">
        <v>1648550</v>
      </c>
      <c r="AP443" s="3070">
        <v>1648550</v>
      </c>
      <c r="AQ443" s="3072">
        <v>45230</v>
      </c>
      <c r="AT443" s="3073">
        <v>45770</v>
      </c>
      <c r="AV443" s="3074">
        <v>3.21E+17</v>
      </c>
      <c r="AW443" s="3070" t="s">
        <v>6897</v>
      </c>
      <c r="AX443" s="3070" t="s">
        <v>6898</v>
      </c>
      <c r="AY443" s="3070" t="s">
        <v>4065</v>
      </c>
      <c r="BA443" s="3070" t="s">
        <v>4065</v>
      </c>
      <c r="BC443" s="3070" t="s">
        <v>6899</v>
      </c>
      <c r="BD443" s="3070" t="s">
        <v>3075</v>
      </c>
      <c r="BI443" s="3070" t="s">
        <v>3295</v>
      </c>
      <c r="BL443" s="3070" t="s">
        <v>6900</v>
      </c>
      <c r="BM443" s="3075">
        <v>44288</v>
      </c>
      <c r="BN443" s="3070">
        <v>-80</v>
      </c>
      <c r="BR443" s="3070">
        <v>20</v>
      </c>
      <c r="BS443" s="3070" t="s">
        <v>3238</v>
      </c>
      <c r="BU443" s="3070" t="s">
        <v>4065</v>
      </c>
      <c r="BZ443" s="3073">
        <v>44205.794444444444</v>
      </c>
      <c r="CA443" s="3070">
        <v>4</v>
      </c>
      <c r="CD443" s="3070" t="s">
        <v>3239</v>
      </c>
      <c r="CF443" s="3070" t="s">
        <v>3091</v>
      </c>
      <c r="CH443" s="3070" t="s">
        <v>3240</v>
      </c>
      <c r="CI443" s="3070">
        <v>0</v>
      </c>
      <c r="CK443" s="3070" t="s">
        <v>4068</v>
      </c>
      <c r="CL443" s="3070" t="s">
        <v>4242</v>
      </c>
      <c r="CM443" s="3070">
        <v>1512431.19</v>
      </c>
      <c r="CV443" s="3070" t="s">
        <v>3494</v>
      </c>
      <c r="CW443" s="3070" t="s">
        <v>6901</v>
      </c>
      <c r="CZ443" s="3070">
        <v>213894.57</v>
      </c>
      <c r="DA443" s="3070">
        <v>159426.93</v>
      </c>
      <c r="DB443" s="3070">
        <v>0</v>
      </c>
      <c r="DC443" s="3070">
        <v>0</v>
      </c>
      <c r="DD443" s="3070">
        <v>3290547602</v>
      </c>
      <c r="DE443" s="3070">
        <v>2764253109</v>
      </c>
      <c r="DF443" s="3070">
        <v>1464966739</v>
      </c>
      <c r="DG443" s="3070">
        <v>14938370</v>
      </c>
      <c r="DH443" s="3070">
        <v>1284348000</v>
      </c>
      <c r="DI443" s="3070">
        <v>1278128000</v>
      </c>
      <c r="DJ443" s="3070">
        <v>6220000</v>
      </c>
      <c r="DK443" s="3070">
        <v>0</v>
      </c>
      <c r="DL443" s="3070">
        <v>0</v>
      </c>
      <c r="DM443" s="3070">
        <v>25491817.620000001</v>
      </c>
      <c r="DN443" s="3070">
        <v>2764253109</v>
      </c>
      <c r="DP443" s="3070">
        <v>2764253109</v>
      </c>
    </row>
    <row r="444" spans="1:120">
      <c r="A444" s="3070">
        <v>443</v>
      </c>
      <c r="B444" s="3070" t="s">
        <v>3224</v>
      </c>
      <c r="C444" s="3070">
        <v>4</v>
      </c>
      <c r="D444" s="3070">
        <v>2</v>
      </c>
      <c r="E444" s="3070">
        <v>805</v>
      </c>
      <c r="F444" s="3070" t="s">
        <v>6902</v>
      </c>
      <c r="G444" s="3070" t="s">
        <v>6903</v>
      </c>
      <c r="H444" s="3070">
        <v>1349030</v>
      </c>
      <c r="I444" s="3070">
        <v>1349030</v>
      </c>
      <c r="J444" s="3070">
        <v>105.02</v>
      </c>
      <c r="K444" s="3070">
        <v>79.66</v>
      </c>
      <c r="L444" s="3070">
        <v>0</v>
      </c>
      <c r="M444" s="3070">
        <v>0</v>
      </c>
      <c r="N444" s="3070">
        <v>15794.44</v>
      </c>
      <c r="O444" s="3070">
        <v>1658732</v>
      </c>
      <c r="P444" s="3070">
        <v>12845.46</v>
      </c>
      <c r="Q444" s="3070">
        <v>1349030</v>
      </c>
      <c r="R444" s="3070" t="s">
        <v>3227</v>
      </c>
      <c r="S444" s="3070" t="s">
        <v>6904</v>
      </c>
      <c r="T444" s="3070" t="s">
        <v>3246</v>
      </c>
      <c r="U444" s="3070" t="s">
        <v>3539</v>
      </c>
      <c r="V444" s="3070" t="s">
        <v>3230</v>
      </c>
      <c r="Y444" s="3070">
        <v>549030</v>
      </c>
      <c r="Z444" s="3070">
        <v>134903</v>
      </c>
      <c r="AA444" s="3070">
        <v>549030</v>
      </c>
      <c r="AB444" s="3070">
        <v>0</v>
      </c>
      <c r="AC444" s="3070">
        <v>800000</v>
      </c>
      <c r="AD444" s="3070">
        <v>800000</v>
      </c>
      <c r="AE444" s="3070">
        <v>0</v>
      </c>
      <c r="AI444" s="3070" t="s">
        <v>3227</v>
      </c>
      <c r="AJ444" s="3070">
        <v>0</v>
      </c>
      <c r="AK444" s="3070">
        <v>0</v>
      </c>
      <c r="AL444" s="3070">
        <v>0</v>
      </c>
      <c r="AM444" s="3070">
        <v>12845.46</v>
      </c>
      <c r="AN444" s="3070">
        <v>1349030</v>
      </c>
      <c r="AP444" s="3070">
        <v>1349030</v>
      </c>
      <c r="AQ444" s="3072">
        <v>45230</v>
      </c>
      <c r="AT444" s="3073">
        <v>45770</v>
      </c>
      <c r="AV444" s="3074">
        <v>3.41E+17</v>
      </c>
      <c r="AW444" s="3070" t="s">
        <v>6905</v>
      </c>
      <c r="AX444" s="3070" t="s">
        <v>6906</v>
      </c>
      <c r="AY444" s="3070" t="s">
        <v>4084</v>
      </c>
      <c r="BC444" s="3070" t="s">
        <v>3284</v>
      </c>
      <c r="BD444" s="3070" t="s">
        <v>3077</v>
      </c>
      <c r="BI444" s="3070" t="s">
        <v>3235</v>
      </c>
      <c r="BJ444" s="3070" t="s">
        <v>3236</v>
      </c>
      <c r="BL444" s="3070" t="s">
        <v>6907</v>
      </c>
      <c r="BM444" s="3075">
        <v>44288</v>
      </c>
      <c r="BN444" s="3070">
        <v>-80</v>
      </c>
      <c r="BO444" s="3070" t="s">
        <v>3253</v>
      </c>
      <c r="BR444" s="3070">
        <v>459</v>
      </c>
      <c r="BS444" s="3070" t="s">
        <v>3238</v>
      </c>
      <c r="BZ444" s="3073">
        <v>44142.65</v>
      </c>
      <c r="CA444" s="3070">
        <v>4</v>
      </c>
      <c r="CD444" s="3070" t="s">
        <v>3239</v>
      </c>
      <c r="CF444" s="3070" t="s">
        <v>3091</v>
      </c>
      <c r="CH444" s="3070" t="s">
        <v>3240</v>
      </c>
      <c r="CI444" s="3070">
        <v>0</v>
      </c>
      <c r="CK444" s="3070" t="s">
        <v>4084</v>
      </c>
      <c r="CL444" s="3070" t="s">
        <v>4084</v>
      </c>
      <c r="CM444" s="3070">
        <v>1237642.19</v>
      </c>
      <c r="CV444" s="3070" t="s">
        <v>3246</v>
      </c>
      <c r="CW444" s="3070" t="s">
        <v>6908</v>
      </c>
      <c r="CX444" s="3070" t="s">
        <v>3510</v>
      </c>
      <c r="CZ444" s="3070">
        <v>213894.57</v>
      </c>
      <c r="DA444" s="3070">
        <v>159426.93</v>
      </c>
      <c r="DB444" s="3070">
        <v>0</v>
      </c>
      <c r="DC444" s="3070">
        <v>0</v>
      </c>
      <c r="DD444" s="3070">
        <v>3290547602</v>
      </c>
      <c r="DE444" s="3070">
        <v>2764253109</v>
      </c>
      <c r="DF444" s="3070">
        <v>1464966739</v>
      </c>
      <c r="DG444" s="3070">
        <v>14938370</v>
      </c>
      <c r="DH444" s="3070">
        <v>1284348000</v>
      </c>
      <c r="DI444" s="3070">
        <v>1278128000</v>
      </c>
      <c r="DJ444" s="3070">
        <v>6220000</v>
      </c>
      <c r="DK444" s="3070">
        <v>0</v>
      </c>
      <c r="DL444" s="3070">
        <v>0</v>
      </c>
      <c r="DM444" s="3070">
        <v>25491817.620000001</v>
      </c>
      <c r="DN444" s="3070">
        <v>2764253109</v>
      </c>
      <c r="DP444" s="3070">
        <v>2764253109</v>
      </c>
    </row>
    <row r="445" spans="1:120">
      <c r="A445" s="3070">
        <v>444</v>
      </c>
      <c r="B445" s="3070" t="s">
        <v>3224</v>
      </c>
      <c r="C445" s="3070">
        <v>4</v>
      </c>
      <c r="D445" s="3070">
        <v>2</v>
      </c>
      <c r="E445" s="3070">
        <v>806</v>
      </c>
      <c r="F445" s="3070" t="s">
        <v>6909</v>
      </c>
      <c r="G445" s="3070" t="s">
        <v>6910</v>
      </c>
      <c r="H445" s="3070">
        <v>1684964</v>
      </c>
      <c r="I445" s="3070">
        <v>1684964</v>
      </c>
      <c r="J445" s="3070">
        <v>132.62</v>
      </c>
      <c r="K445" s="3070">
        <v>100.59</v>
      </c>
      <c r="L445" s="3070">
        <v>0</v>
      </c>
      <c r="M445" s="3070">
        <v>0</v>
      </c>
      <c r="N445" s="3070">
        <v>15694.44</v>
      </c>
      <c r="O445" s="3070">
        <v>2081397</v>
      </c>
      <c r="P445" s="3070">
        <v>12705.2</v>
      </c>
      <c r="Q445" s="3070">
        <v>1684964</v>
      </c>
      <c r="R445" s="3070" t="s">
        <v>3227</v>
      </c>
      <c r="S445" s="3070" t="s">
        <v>6911</v>
      </c>
      <c r="T445" s="3070" t="s">
        <v>3246</v>
      </c>
      <c r="U445" s="3070" t="s">
        <v>3259</v>
      </c>
      <c r="V445" s="3070" t="s">
        <v>3230</v>
      </c>
      <c r="Y445" s="3070">
        <v>924964</v>
      </c>
      <c r="Z445" s="3070">
        <v>924964</v>
      </c>
      <c r="AA445" s="3070">
        <v>924964</v>
      </c>
      <c r="AB445" s="3070">
        <v>0</v>
      </c>
      <c r="AC445" s="3070">
        <v>760000</v>
      </c>
      <c r="AD445" s="3070">
        <v>760000</v>
      </c>
      <c r="AE445" s="3070">
        <v>0</v>
      </c>
      <c r="AI445" s="3070" t="s">
        <v>3227</v>
      </c>
      <c r="AJ445" s="3070">
        <v>0</v>
      </c>
      <c r="AK445" s="3070">
        <v>0</v>
      </c>
      <c r="AL445" s="3070">
        <v>0</v>
      </c>
      <c r="AM445" s="3070">
        <v>12705.2</v>
      </c>
      <c r="AN445" s="3070">
        <v>1684964</v>
      </c>
      <c r="AP445" s="3070">
        <v>1684964</v>
      </c>
      <c r="AQ445" s="3072">
        <v>45230</v>
      </c>
      <c r="AT445" s="3073">
        <v>45770</v>
      </c>
      <c r="AV445" s="3070" t="s">
        <v>6912</v>
      </c>
      <c r="AW445" s="3070" t="s">
        <v>6913</v>
      </c>
      <c r="AX445" s="3070" t="s">
        <v>6914</v>
      </c>
      <c r="AY445" s="3070" t="s">
        <v>3587</v>
      </c>
      <c r="BA445" s="3070" t="s">
        <v>3587</v>
      </c>
      <c r="BC445" s="3070" t="s">
        <v>6915</v>
      </c>
      <c r="BD445" s="3070" t="s">
        <v>3075</v>
      </c>
      <c r="BI445" s="3070" t="s">
        <v>3235</v>
      </c>
      <c r="BL445" s="3070" t="s">
        <v>6916</v>
      </c>
      <c r="BM445" s="3075">
        <v>44288</v>
      </c>
      <c r="BN445" s="3070">
        <v>-80</v>
      </c>
      <c r="BO445" s="3070" t="s">
        <v>3253</v>
      </c>
      <c r="BR445" s="3070">
        <v>16</v>
      </c>
      <c r="BS445" s="3070" t="s">
        <v>3238</v>
      </c>
      <c r="BU445" s="3070" t="s">
        <v>3587</v>
      </c>
      <c r="BZ445" s="3073">
        <v>44200.696527777778</v>
      </c>
      <c r="CA445" s="3070">
        <v>4</v>
      </c>
      <c r="CD445" s="3070" t="s">
        <v>3239</v>
      </c>
      <c r="CF445" s="3070" t="s">
        <v>3091</v>
      </c>
      <c r="CH445" s="3070" t="s">
        <v>3240</v>
      </c>
      <c r="CI445" s="3070">
        <v>0</v>
      </c>
      <c r="CK445" s="3070" t="s">
        <v>3590</v>
      </c>
      <c r="CL445" s="3070" t="s">
        <v>3590</v>
      </c>
      <c r="CM445" s="3070">
        <v>1545838.53</v>
      </c>
      <c r="CV445" s="3070" t="s">
        <v>3246</v>
      </c>
      <c r="CW445" s="3070" t="s">
        <v>6917</v>
      </c>
      <c r="CZ445" s="3070">
        <v>213894.57</v>
      </c>
      <c r="DA445" s="3070">
        <v>159426.93</v>
      </c>
      <c r="DB445" s="3070">
        <v>0</v>
      </c>
      <c r="DC445" s="3070">
        <v>0</v>
      </c>
      <c r="DD445" s="3070">
        <v>3290547602</v>
      </c>
      <c r="DE445" s="3070">
        <v>2764253109</v>
      </c>
      <c r="DF445" s="3070">
        <v>1464966739</v>
      </c>
      <c r="DG445" s="3070">
        <v>14938370</v>
      </c>
      <c r="DH445" s="3070">
        <v>1284348000</v>
      </c>
      <c r="DI445" s="3070">
        <v>1278128000</v>
      </c>
      <c r="DJ445" s="3070">
        <v>6220000</v>
      </c>
      <c r="DK445" s="3070">
        <v>0</v>
      </c>
      <c r="DL445" s="3070">
        <v>0</v>
      </c>
      <c r="DM445" s="3070">
        <v>25491817.620000001</v>
      </c>
      <c r="DN445" s="3070">
        <v>2764253109</v>
      </c>
      <c r="DP445" s="3070">
        <v>2764253109</v>
      </c>
    </row>
    <row r="446" spans="1:120">
      <c r="A446" s="3070">
        <v>445</v>
      </c>
      <c r="B446" s="3070" t="s">
        <v>3224</v>
      </c>
      <c r="C446" s="3070">
        <v>4</v>
      </c>
      <c r="D446" s="3070">
        <v>1</v>
      </c>
      <c r="E446" s="3070">
        <v>901</v>
      </c>
      <c r="F446" s="3070" t="s">
        <v>6918</v>
      </c>
      <c r="G446" s="3070" t="s">
        <v>6919</v>
      </c>
      <c r="H446" s="3070">
        <v>1690958</v>
      </c>
      <c r="I446" s="3070">
        <v>1690958</v>
      </c>
      <c r="J446" s="3070">
        <v>132.62</v>
      </c>
      <c r="K446" s="3070">
        <v>100.59</v>
      </c>
      <c r="L446" s="3070">
        <v>0</v>
      </c>
      <c r="M446" s="3070">
        <v>0</v>
      </c>
      <c r="N446" s="3070">
        <v>15694.44</v>
      </c>
      <c r="O446" s="3070">
        <v>2081397</v>
      </c>
      <c r="P446" s="3070">
        <v>12750.4</v>
      </c>
      <c r="Q446" s="3070">
        <v>1690958</v>
      </c>
      <c r="R446" s="3070" t="s">
        <v>3227</v>
      </c>
      <c r="S446" s="3070" t="s">
        <v>6920</v>
      </c>
      <c r="T446" s="3070" t="s">
        <v>3302</v>
      </c>
      <c r="V446" s="3070" t="s">
        <v>3230</v>
      </c>
      <c r="Y446" s="3070">
        <v>169096</v>
      </c>
      <c r="Z446" s="3070">
        <v>169096</v>
      </c>
      <c r="AA446" s="3070">
        <v>1690958</v>
      </c>
      <c r="AB446" s="3070">
        <v>0</v>
      </c>
      <c r="AC446" s="3070">
        <v>0</v>
      </c>
      <c r="AD446" s="3070">
        <v>0</v>
      </c>
      <c r="AE446" s="3070">
        <v>0</v>
      </c>
      <c r="AI446" s="3070" t="s">
        <v>3227</v>
      </c>
      <c r="AJ446" s="3070">
        <v>0</v>
      </c>
      <c r="AK446" s="3070">
        <v>0</v>
      </c>
      <c r="AL446" s="3070">
        <v>0</v>
      </c>
      <c r="AM446" s="3070">
        <v>12750.4</v>
      </c>
      <c r="AN446" s="3070">
        <v>1690958</v>
      </c>
      <c r="AP446" s="3070">
        <v>1690958</v>
      </c>
      <c r="AQ446" s="3072">
        <v>45230</v>
      </c>
      <c r="AT446" s="3073">
        <v>45770</v>
      </c>
      <c r="AV446" s="3074">
        <v>3.21E+17</v>
      </c>
      <c r="AW446" s="3070" t="s">
        <v>6921</v>
      </c>
      <c r="AX446" s="3070" t="s">
        <v>6922</v>
      </c>
      <c r="AY446" s="3070" t="s">
        <v>3262</v>
      </c>
      <c r="BC446" s="3070" t="s">
        <v>3307</v>
      </c>
      <c r="BD446" s="3070" t="s">
        <v>3075</v>
      </c>
      <c r="BI446" s="3070" t="s">
        <v>3235</v>
      </c>
      <c r="BJ446" s="3070" t="s">
        <v>3296</v>
      </c>
      <c r="BL446" s="3070" t="s">
        <v>6923</v>
      </c>
      <c r="BM446" s="3075">
        <v>44287</v>
      </c>
      <c r="BN446" s="3070">
        <v>-90</v>
      </c>
      <c r="BR446" s="3070">
        <v>620</v>
      </c>
      <c r="BS446" s="3070" t="s">
        <v>3238</v>
      </c>
      <c r="BZ446" s="3073">
        <v>44142.595138888886</v>
      </c>
      <c r="CA446" s="3070">
        <v>4</v>
      </c>
      <c r="CD446" s="3070" t="s">
        <v>3239</v>
      </c>
      <c r="CF446" s="3070" t="s">
        <v>3091</v>
      </c>
      <c r="CH446" s="3070" t="s">
        <v>3240</v>
      </c>
      <c r="CI446" s="3070">
        <v>0</v>
      </c>
      <c r="CK446" s="3070" t="s">
        <v>3262</v>
      </c>
      <c r="CL446" s="3070" t="s">
        <v>3262</v>
      </c>
      <c r="CM446" s="3070">
        <v>1551337.61</v>
      </c>
      <c r="CV446" s="3070" t="s">
        <v>3309</v>
      </c>
      <c r="CW446" s="3070" t="s">
        <v>6924</v>
      </c>
      <c r="CZ446" s="3070">
        <v>213894.57</v>
      </c>
      <c r="DA446" s="3070">
        <v>159426.93</v>
      </c>
      <c r="DB446" s="3070">
        <v>0</v>
      </c>
      <c r="DC446" s="3070">
        <v>0</v>
      </c>
      <c r="DD446" s="3070">
        <v>3290547602</v>
      </c>
      <c r="DE446" s="3070">
        <v>2764253109</v>
      </c>
      <c r="DF446" s="3070">
        <v>1464966739</v>
      </c>
      <c r="DG446" s="3070">
        <v>14938370</v>
      </c>
      <c r="DH446" s="3070">
        <v>1284348000</v>
      </c>
      <c r="DI446" s="3070">
        <v>1278128000</v>
      </c>
      <c r="DJ446" s="3070">
        <v>6220000</v>
      </c>
      <c r="DK446" s="3070">
        <v>0</v>
      </c>
      <c r="DL446" s="3070">
        <v>0</v>
      </c>
      <c r="DM446" s="3070">
        <v>25491817.620000001</v>
      </c>
      <c r="DN446" s="3070">
        <v>2764253109</v>
      </c>
      <c r="DP446" s="3070">
        <v>2764253109</v>
      </c>
    </row>
    <row r="447" spans="1:120">
      <c r="A447" s="3070">
        <v>446</v>
      </c>
      <c r="B447" s="3070" t="s">
        <v>3224</v>
      </c>
      <c r="C447" s="3070">
        <v>4</v>
      </c>
      <c r="D447" s="3070">
        <v>1</v>
      </c>
      <c r="E447" s="3070">
        <v>902</v>
      </c>
      <c r="F447" s="3070" t="s">
        <v>6925</v>
      </c>
      <c r="G447" s="3070" t="s">
        <v>6926</v>
      </c>
      <c r="H447" s="3070">
        <v>1354021</v>
      </c>
      <c r="I447" s="3070">
        <v>1354021</v>
      </c>
      <c r="J447" s="3070">
        <v>105.02</v>
      </c>
      <c r="K447" s="3070">
        <v>79.66</v>
      </c>
      <c r="L447" s="3070">
        <v>0</v>
      </c>
      <c r="M447" s="3070">
        <v>0</v>
      </c>
      <c r="N447" s="3070">
        <v>15844.44</v>
      </c>
      <c r="O447" s="3070">
        <v>1663983</v>
      </c>
      <c r="P447" s="3070">
        <v>12892.98</v>
      </c>
      <c r="Q447" s="3070">
        <v>1354021</v>
      </c>
      <c r="R447" s="3070" t="s">
        <v>3227</v>
      </c>
      <c r="S447" s="3070" t="s">
        <v>6927</v>
      </c>
      <c r="T447" s="3070" t="s">
        <v>3246</v>
      </c>
      <c r="U447" s="3070" t="s">
        <v>3381</v>
      </c>
      <c r="V447" s="3070" t="s">
        <v>3230</v>
      </c>
      <c r="Y447" s="3070">
        <v>414021</v>
      </c>
      <c r="Z447" s="3070">
        <v>414021</v>
      </c>
      <c r="AA447" s="3070">
        <v>414021</v>
      </c>
      <c r="AB447" s="3070">
        <v>0</v>
      </c>
      <c r="AC447" s="3070">
        <v>940000</v>
      </c>
      <c r="AD447" s="3070">
        <v>940000</v>
      </c>
      <c r="AE447" s="3070">
        <v>0</v>
      </c>
      <c r="AI447" s="3070" t="s">
        <v>3227</v>
      </c>
      <c r="AJ447" s="3070">
        <v>0</v>
      </c>
      <c r="AK447" s="3070">
        <v>0</v>
      </c>
      <c r="AL447" s="3070">
        <v>0</v>
      </c>
      <c r="AM447" s="3070">
        <v>12892.98</v>
      </c>
      <c r="AN447" s="3070">
        <v>1354021</v>
      </c>
      <c r="AP447" s="3070">
        <v>1354021</v>
      </c>
      <c r="AQ447" s="3072">
        <v>45230</v>
      </c>
      <c r="AT447" s="3073">
        <v>45770</v>
      </c>
      <c r="AV447" s="3070" t="s">
        <v>6928</v>
      </c>
      <c r="AW447" s="3070" t="s">
        <v>6929</v>
      </c>
      <c r="AX447" s="3070" t="s">
        <v>6930</v>
      </c>
      <c r="AY447" s="3070" t="s">
        <v>3364</v>
      </c>
      <c r="BC447" s="3070" t="s">
        <v>3284</v>
      </c>
      <c r="BD447" s="3070" t="s">
        <v>3077</v>
      </c>
      <c r="BI447" s="3070" t="s">
        <v>3235</v>
      </c>
      <c r="BL447" s="3070" t="s">
        <v>6931</v>
      </c>
      <c r="BM447" s="3075">
        <v>44287</v>
      </c>
      <c r="BN447" s="3070">
        <v>-90</v>
      </c>
      <c r="BO447" s="3070" t="s">
        <v>3253</v>
      </c>
      <c r="BR447" s="3070">
        <v>99</v>
      </c>
      <c r="BS447" s="3070" t="s">
        <v>3238</v>
      </c>
      <c r="BZ447" s="3073">
        <v>44142.626388888886</v>
      </c>
      <c r="CA447" s="3070">
        <v>4</v>
      </c>
      <c r="CD447" s="3070" t="s">
        <v>3239</v>
      </c>
      <c r="CF447" s="3070" t="s">
        <v>3091</v>
      </c>
      <c r="CH447" s="3070" t="s">
        <v>3240</v>
      </c>
      <c r="CI447" s="3070">
        <v>0</v>
      </c>
      <c r="CK447" s="3070" t="s">
        <v>3364</v>
      </c>
      <c r="CL447" s="3070" t="s">
        <v>3364</v>
      </c>
      <c r="CM447" s="3070">
        <v>1242221.1000000001</v>
      </c>
      <c r="CV447" s="3070" t="s">
        <v>3246</v>
      </c>
      <c r="CW447" s="3070" t="s">
        <v>6932</v>
      </c>
      <c r="CZ447" s="3070">
        <v>213894.57</v>
      </c>
      <c r="DA447" s="3070">
        <v>159426.93</v>
      </c>
      <c r="DB447" s="3070">
        <v>0</v>
      </c>
      <c r="DC447" s="3070">
        <v>0</v>
      </c>
      <c r="DD447" s="3070">
        <v>3290547602</v>
      </c>
      <c r="DE447" s="3070">
        <v>2764253109</v>
      </c>
      <c r="DF447" s="3070">
        <v>1464966739</v>
      </c>
      <c r="DG447" s="3070">
        <v>14938370</v>
      </c>
      <c r="DH447" s="3070">
        <v>1284348000</v>
      </c>
      <c r="DI447" s="3070">
        <v>1278128000</v>
      </c>
      <c r="DJ447" s="3070">
        <v>6220000</v>
      </c>
      <c r="DK447" s="3070">
        <v>0</v>
      </c>
      <c r="DL447" s="3070">
        <v>0</v>
      </c>
      <c r="DM447" s="3070">
        <v>25491817.620000001</v>
      </c>
      <c r="DN447" s="3070">
        <v>2764253109</v>
      </c>
      <c r="DP447" s="3070">
        <v>2764253109</v>
      </c>
    </row>
    <row r="448" spans="1:120">
      <c r="A448" s="3070">
        <v>447</v>
      </c>
      <c r="B448" s="3070" t="s">
        <v>3224</v>
      </c>
      <c r="C448" s="3070">
        <v>4</v>
      </c>
      <c r="D448" s="3070">
        <v>1</v>
      </c>
      <c r="E448" s="3070">
        <v>903</v>
      </c>
      <c r="F448" s="3070" t="s">
        <v>6933</v>
      </c>
      <c r="G448" s="3070" t="s">
        <v>6934</v>
      </c>
      <c r="H448" s="3070">
        <v>1681544</v>
      </c>
      <c r="I448" s="3070">
        <v>1681544</v>
      </c>
      <c r="J448" s="3070">
        <v>132.99</v>
      </c>
      <c r="K448" s="3070">
        <v>100.87</v>
      </c>
      <c r="L448" s="3070">
        <v>0</v>
      </c>
      <c r="M448" s="3070">
        <v>0</v>
      </c>
      <c r="N448" s="3070">
        <v>15544.44</v>
      </c>
      <c r="O448" s="3070">
        <v>2067255</v>
      </c>
      <c r="P448" s="3070">
        <v>12644.14</v>
      </c>
      <c r="Q448" s="3070">
        <v>1681544</v>
      </c>
      <c r="R448" s="3070" t="s">
        <v>3227</v>
      </c>
      <c r="S448" s="3070" t="s">
        <v>6935</v>
      </c>
      <c r="T448" s="3070" t="s">
        <v>3494</v>
      </c>
      <c r="V448" s="3070" t="s">
        <v>3230</v>
      </c>
      <c r="Y448" s="3070">
        <v>168154</v>
      </c>
      <c r="Z448" s="3070">
        <v>168154</v>
      </c>
      <c r="AA448" s="3070">
        <v>1681544</v>
      </c>
      <c r="AB448" s="3070">
        <v>0</v>
      </c>
      <c r="AC448" s="3070">
        <v>0</v>
      </c>
      <c r="AD448" s="3070">
        <v>0</v>
      </c>
      <c r="AE448" s="3070">
        <v>0</v>
      </c>
      <c r="AI448" s="3070" t="s">
        <v>3227</v>
      </c>
      <c r="AJ448" s="3070">
        <v>0</v>
      </c>
      <c r="AK448" s="3070">
        <v>0</v>
      </c>
      <c r="AL448" s="3070">
        <v>0</v>
      </c>
      <c r="AM448" s="3070">
        <v>12644.14</v>
      </c>
      <c r="AN448" s="3070">
        <v>1681544</v>
      </c>
      <c r="AP448" s="3070">
        <v>1681544</v>
      </c>
      <c r="AQ448" s="3072">
        <v>45230</v>
      </c>
      <c r="AT448" s="3073">
        <v>45770</v>
      </c>
      <c r="AV448" s="3074">
        <v>3.21E+17</v>
      </c>
      <c r="AW448" s="3070" t="s">
        <v>6936</v>
      </c>
      <c r="AX448" s="3070" t="s">
        <v>6937</v>
      </c>
      <c r="AY448" s="3070" t="s">
        <v>4208</v>
      </c>
      <c r="BA448" s="3070" t="s">
        <v>4208</v>
      </c>
      <c r="BC448" s="3070" t="s">
        <v>6938</v>
      </c>
      <c r="BD448" s="3070" t="s">
        <v>3075</v>
      </c>
      <c r="BI448" s="3070" t="s">
        <v>3235</v>
      </c>
      <c r="BL448" s="3070" t="s">
        <v>6939</v>
      </c>
      <c r="BM448" s="3075">
        <v>44287</v>
      </c>
      <c r="BN448" s="3070">
        <v>-90</v>
      </c>
      <c r="BR448" s="3070">
        <v>16</v>
      </c>
      <c r="BS448" s="3070" t="s">
        <v>3238</v>
      </c>
      <c r="BU448" s="3070" t="s">
        <v>4208</v>
      </c>
      <c r="BZ448" s="3073">
        <v>44221.838194444441</v>
      </c>
      <c r="CA448" s="3070">
        <v>4</v>
      </c>
      <c r="CD448" s="3070" t="s">
        <v>3239</v>
      </c>
      <c r="CF448" s="3070" t="s">
        <v>3091</v>
      </c>
      <c r="CH448" s="3070" t="s">
        <v>3240</v>
      </c>
      <c r="CI448" s="3070">
        <v>0</v>
      </c>
      <c r="CK448" s="3070" t="s">
        <v>4208</v>
      </c>
      <c r="CL448" s="3070" t="s">
        <v>4211</v>
      </c>
      <c r="CM448" s="3070">
        <v>1542700.92</v>
      </c>
      <c r="CV448" s="3070" t="s">
        <v>3494</v>
      </c>
      <c r="CW448" s="3070" t="s">
        <v>6940</v>
      </c>
      <c r="CZ448" s="3070">
        <v>213894.57</v>
      </c>
      <c r="DA448" s="3070">
        <v>159426.93</v>
      </c>
      <c r="DB448" s="3070">
        <v>0</v>
      </c>
      <c r="DC448" s="3070">
        <v>0</v>
      </c>
      <c r="DD448" s="3070">
        <v>3290547602</v>
      </c>
      <c r="DE448" s="3070">
        <v>2764253109</v>
      </c>
      <c r="DF448" s="3070">
        <v>1464966739</v>
      </c>
      <c r="DG448" s="3070">
        <v>14938370</v>
      </c>
      <c r="DH448" s="3070">
        <v>1284348000</v>
      </c>
      <c r="DI448" s="3070">
        <v>1278128000</v>
      </c>
      <c r="DJ448" s="3070">
        <v>6220000</v>
      </c>
      <c r="DK448" s="3070">
        <v>0</v>
      </c>
      <c r="DL448" s="3070">
        <v>0</v>
      </c>
      <c r="DM448" s="3070">
        <v>25491817.620000001</v>
      </c>
      <c r="DN448" s="3070">
        <v>2764253109</v>
      </c>
      <c r="DP448" s="3070">
        <v>2764253109</v>
      </c>
    </row>
    <row r="449" spans="1:120">
      <c r="A449" s="3070">
        <v>448</v>
      </c>
      <c r="B449" s="3070" t="s">
        <v>3224</v>
      </c>
      <c r="C449" s="3070">
        <v>4</v>
      </c>
      <c r="D449" s="3070">
        <v>2</v>
      </c>
      <c r="E449" s="3070">
        <v>904</v>
      </c>
      <c r="F449" s="3070" t="s">
        <v>6941</v>
      </c>
      <c r="G449" s="3070" t="s">
        <v>6942</v>
      </c>
      <c r="H449" s="3070">
        <v>1771072</v>
      </c>
      <c r="I449" s="3070">
        <v>1771072</v>
      </c>
      <c r="J449" s="3070">
        <v>132.99</v>
      </c>
      <c r="K449" s="3070">
        <v>100.87</v>
      </c>
      <c r="L449" s="3070">
        <v>0</v>
      </c>
      <c r="M449" s="3070">
        <v>0</v>
      </c>
      <c r="N449" s="3070">
        <v>15544.44</v>
      </c>
      <c r="O449" s="3070">
        <v>2067255</v>
      </c>
      <c r="P449" s="3070">
        <v>13317.33</v>
      </c>
      <c r="Q449" s="3070">
        <v>1771072</v>
      </c>
      <c r="R449" s="3070" t="s">
        <v>3227</v>
      </c>
      <c r="S449" s="3070" t="s">
        <v>6943</v>
      </c>
      <c r="T449" s="3070" t="s">
        <v>3494</v>
      </c>
      <c r="V449" s="3070" t="s">
        <v>3230</v>
      </c>
      <c r="Y449" s="3070">
        <v>177107</v>
      </c>
      <c r="Z449" s="3070">
        <v>177107</v>
      </c>
      <c r="AA449" s="3070">
        <v>1771072</v>
      </c>
      <c r="AB449" s="3070">
        <v>0</v>
      </c>
      <c r="AC449" s="3070">
        <v>0</v>
      </c>
      <c r="AD449" s="3070">
        <v>0</v>
      </c>
      <c r="AE449" s="3070">
        <v>0</v>
      </c>
      <c r="AI449" s="3070" t="s">
        <v>3227</v>
      </c>
      <c r="AJ449" s="3070">
        <v>0</v>
      </c>
      <c r="AK449" s="3070">
        <v>0</v>
      </c>
      <c r="AL449" s="3070">
        <v>0</v>
      </c>
      <c r="AM449" s="3070">
        <v>13317.33</v>
      </c>
      <c r="AN449" s="3070">
        <v>1771072</v>
      </c>
      <c r="AP449" s="3070">
        <v>1771072</v>
      </c>
      <c r="AQ449" s="3072">
        <v>45230</v>
      </c>
      <c r="AT449" s="3073">
        <v>45770</v>
      </c>
      <c r="AV449" s="3070" t="s">
        <v>6944</v>
      </c>
      <c r="AW449" s="3070" t="s">
        <v>6945</v>
      </c>
      <c r="AX449" s="3070" t="s">
        <v>6946</v>
      </c>
      <c r="AY449" s="3070" t="s">
        <v>3632</v>
      </c>
      <c r="BA449" s="3070" t="s">
        <v>3632</v>
      </c>
      <c r="BC449" s="3070" t="s">
        <v>4672</v>
      </c>
      <c r="BD449" s="3070" t="s">
        <v>3075</v>
      </c>
      <c r="BI449" s="3070" t="s">
        <v>3235</v>
      </c>
      <c r="BL449" s="3070" t="s">
        <v>6947</v>
      </c>
      <c r="BM449" s="3075">
        <v>44288</v>
      </c>
      <c r="BN449" s="3070">
        <v>-90</v>
      </c>
      <c r="BR449" s="3070">
        <v>21</v>
      </c>
      <c r="BS449" s="3070" t="s">
        <v>3238</v>
      </c>
      <c r="BU449" s="3070" t="s">
        <v>3632</v>
      </c>
      <c r="BV449" s="3070" t="s">
        <v>6948</v>
      </c>
      <c r="BZ449" s="3073">
        <v>44188.646527777775</v>
      </c>
      <c r="CA449" s="3070">
        <v>4</v>
      </c>
      <c r="CD449" s="3070" t="s">
        <v>3239</v>
      </c>
      <c r="CF449" s="3070" t="s">
        <v>3091</v>
      </c>
      <c r="CH449" s="3070" t="s">
        <v>3240</v>
      </c>
      <c r="CI449" s="3070">
        <v>0</v>
      </c>
      <c r="CK449" s="3070" t="s">
        <v>3632</v>
      </c>
      <c r="CL449" s="3070" t="s">
        <v>3632</v>
      </c>
      <c r="CM449" s="3070">
        <v>1624836.7</v>
      </c>
      <c r="CV449" s="3070" t="s">
        <v>3494</v>
      </c>
      <c r="CW449" s="3070" t="s">
        <v>6949</v>
      </c>
      <c r="CX449" s="3070" t="s">
        <v>3267</v>
      </c>
      <c r="CZ449" s="3070">
        <v>213894.57</v>
      </c>
      <c r="DA449" s="3070">
        <v>159426.93</v>
      </c>
      <c r="DB449" s="3070">
        <v>0</v>
      </c>
      <c r="DC449" s="3070">
        <v>0</v>
      </c>
      <c r="DD449" s="3070">
        <v>3290547602</v>
      </c>
      <c r="DE449" s="3070">
        <v>2764253109</v>
      </c>
      <c r="DF449" s="3070">
        <v>1464966739</v>
      </c>
      <c r="DG449" s="3070">
        <v>14938370</v>
      </c>
      <c r="DH449" s="3070">
        <v>1284348000</v>
      </c>
      <c r="DI449" s="3070">
        <v>1278128000</v>
      </c>
      <c r="DJ449" s="3070">
        <v>6220000</v>
      </c>
      <c r="DK449" s="3070">
        <v>0</v>
      </c>
      <c r="DL449" s="3070">
        <v>0</v>
      </c>
      <c r="DM449" s="3070">
        <v>25491817.620000001</v>
      </c>
      <c r="DN449" s="3070">
        <v>2764253109</v>
      </c>
      <c r="DP449" s="3070">
        <v>2764253109</v>
      </c>
    </row>
    <row r="450" spans="1:120">
      <c r="A450" s="3070">
        <v>449</v>
      </c>
      <c r="B450" s="3070" t="s">
        <v>3224</v>
      </c>
      <c r="C450" s="3070">
        <v>4</v>
      </c>
      <c r="D450" s="3070">
        <v>2</v>
      </c>
      <c r="E450" s="3070">
        <v>905</v>
      </c>
      <c r="F450" s="3070" t="s">
        <v>6950</v>
      </c>
      <c r="G450" s="3070" t="s">
        <v>6951</v>
      </c>
      <c r="H450" s="3070">
        <v>1427493</v>
      </c>
      <c r="I450" s="3070">
        <v>1427493</v>
      </c>
      <c r="J450" s="3070">
        <v>105.02</v>
      </c>
      <c r="K450" s="3070">
        <v>79.66</v>
      </c>
      <c r="L450" s="3070">
        <v>0</v>
      </c>
      <c r="M450" s="3070">
        <v>0</v>
      </c>
      <c r="N450" s="3070">
        <v>15844.44</v>
      </c>
      <c r="O450" s="3070">
        <v>1663983</v>
      </c>
      <c r="P450" s="3070">
        <v>13592.58</v>
      </c>
      <c r="Q450" s="3070">
        <v>1427493</v>
      </c>
      <c r="R450" s="3070" t="s">
        <v>3227</v>
      </c>
      <c r="S450" s="3070" t="s">
        <v>6952</v>
      </c>
      <c r="T450" s="3070" t="s">
        <v>3246</v>
      </c>
      <c r="U450" s="3070" t="s">
        <v>3247</v>
      </c>
      <c r="V450" s="3070" t="s">
        <v>3230</v>
      </c>
      <c r="Y450" s="3070">
        <v>827493</v>
      </c>
      <c r="Z450" s="3070">
        <v>142749</v>
      </c>
      <c r="AA450" s="3070">
        <v>827493</v>
      </c>
      <c r="AB450" s="3070">
        <v>0</v>
      </c>
      <c r="AC450" s="3070">
        <v>600000</v>
      </c>
      <c r="AD450" s="3070">
        <v>600000</v>
      </c>
      <c r="AE450" s="3070">
        <v>0</v>
      </c>
      <c r="AI450" s="3070" t="s">
        <v>3227</v>
      </c>
      <c r="AJ450" s="3070">
        <v>0</v>
      </c>
      <c r="AK450" s="3070">
        <v>0</v>
      </c>
      <c r="AL450" s="3070">
        <v>0</v>
      </c>
      <c r="AM450" s="3070">
        <v>13592.58</v>
      </c>
      <c r="AN450" s="3070">
        <v>1427493</v>
      </c>
      <c r="AP450" s="3070">
        <v>1427493</v>
      </c>
      <c r="AQ450" s="3072">
        <v>45230</v>
      </c>
      <c r="AT450" s="3073">
        <v>45770</v>
      </c>
      <c r="AV450" s="3070" t="s">
        <v>6953</v>
      </c>
      <c r="AW450" s="3070" t="s">
        <v>6954</v>
      </c>
      <c r="AX450" s="3070" t="s">
        <v>6955</v>
      </c>
      <c r="AY450" s="3070" t="s">
        <v>3262</v>
      </c>
      <c r="BC450" s="3070" t="s">
        <v>6956</v>
      </c>
      <c r="BD450" s="3070" t="s">
        <v>3077</v>
      </c>
      <c r="BI450" s="3070" t="s">
        <v>3235</v>
      </c>
      <c r="BL450" s="3070" t="s">
        <v>6957</v>
      </c>
      <c r="BM450" s="3075">
        <v>44288</v>
      </c>
      <c r="BN450" s="3070">
        <v>-90</v>
      </c>
      <c r="BO450" s="3070" t="s">
        <v>3253</v>
      </c>
      <c r="BR450" s="3070">
        <v>947</v>
      </c>
      <c r="BS450" s="3070" t="s">
        <v>3238</v>
      </c>
      <c r="BZ450" s="3073">
        <v>44157.478472222225</v>
      </c>
      <c r="CA450" s="3070">
        <v>4</v>
      </c>
      <c r="CD450" s="3070" t="s">
        <v>3239</v>
      </c>
      <c r="CF450" s="3070" t="s">
        <v>3091</v>
      </c>
      <c r="CH450" s="3070" t="s">
        <v>3240</v>
      </c>
      <c r="CI450" s="3070">
        <v>0</v>
      </c>
      <c r="CK450" s="3070" t="s">
        <v>3262</v>
      </c>
      <c r="CL450" s="3070" t="s">
        <v>3262</v>
      </c>
      <c r="CM450" s="3070">
        <v>1309626.6100000001</v>
      </c>
      <c r="CV450" s="3070" t="s">
        <v>3246</v>
      </c>
      <c r="CW450" s="3070" t="s">
        <v>6958</v>
      </c>
      <c r="CZ450" s="3070">
        <v>213894.57</v>
      </c>
      <c r="DA450" s="3070">
        <v>159426.93</v>
      </c>
      <c r="DB450" s="3070">
        <v>0</v>
      </c>
      <c r="DC450" s="3070">
        <v>0</v>
      </c>
      <c r="DD450" s="3070">
        <v>3290547602</v>
      </c>
      <c r="DE450" s="3070">
        <v>2764253109</v>
      </c>
      <c r="DF450" s="3070">
        <v>1464966739</v>
      </c>
      <c r="DG450" s="3070">
        <v>14938370</v>
      </c>
      <c r="DH450" s="3070">
        <v>1284348000</v>
      </c>
      <c r="DI450" s="3070">
        <v>1278128000</v>
      </c>
      <c r="DJ450" s="3070">
        <v>6220000</v>
      </c>
      <c r="DK450" s="3070">
        <v>0</v>
      </c>
      <c r="DL450" s="3070">
        <v>0</v>
      </c>
      <c r="DM450" s="3070">
        <v>25491817.620000001</v>
      </c>
      <c r="DN450" s="3070">
        <v>2764253109</v>
      </c>
      <c r="DP450" s="3070">
        <v>2764253109</v>
      </c>
    </row>
    <row r="451" spans="1:120">
      <c r="A451" s="3070">
        <v>450</v>
      </c>
      <c r="B451" s="3070" t="s">
        <v>3224</v>
      </c>
      <c r="C451" s="3070">
        <v>4</v>
      </c>
      <c r="D451" s="3070">
        <v>2</v>
      </c>
      <c r="E451" s="3070">
        <v>906</v>
      </c>
      <c r="F451" s="3070" t="s">
        <v>6959</v>
      </c>
      <c r="G451" s="3070" t="s">
        <v>6960</v>
      </c>
      <c r="H451" s="3070">
        <v>1697261</v>
      </c>
      <c r="I451" s="3070">
        <v>1697261</v>
      </c>
      <c r="J451" s="3070">
        <v>132.62</v>
      </c>
      <c r="K451" s="3070">
        <v>100.59</v>
      </c>
      <c r="L451" s="3070">
        <v>0</v>
      </c>
      <c r="M451" s="3070">
        <v>0</v>
      </c>
      <c r="N451" s="3070">
        <v>15744.44</v>
      </c>
      <c r="O451" s="3070">
        <v>2088028</v>
      </c>
      <c r="P451" s="3070">
        <v>12797.93</v>
      </c>
      <c r="Q451" s="3070">
        <v>1697261</v>
      </c>
      <c r="R451" s="3070" t="s">
        <v>3227</v>
      </c>
      <c r="S451" s="3070" t="s">
        <v>6961</v>
      </c>
      <c r="T451" s="3070" t="s">
        <v>3246</v>
      </c>
      <c r="U451" s="3070" t="s">
        <v>3259</v>
      </c>
      <c r="V451" s="3070" t="s">
        <v>3230</v>
      </c>
      <c r="Y451" s="3070">
        <v>517261</v>
      </c>
      <c r="Z451" s="3070">
        <v>517261</v>
      </c>
      <c r="AA451" s="3070">
        <v>517261</v>
      </c>
      <c r="AB451" s="3070">
        <v>0</v>
      </c>
      <c r="AC451" s="3070">
        <v>1180000</v>
      </c>
      <c r="AD451" s="3070">
        <v>1180000</v>
      </c>
      <c r="AE451" s="3070">
        <v>0</v>
      </c>
      <c r="AI451" s="3070" t="s">
        <v>3227</v>
      </c>
      <c r="AJ451" s="3070">
        <v>0</v>
      </c>
      <c r="AK451" s="3070">
        <v>0</v>
      </c>
      <c r="AL451" s="3070">
        <v>0</v>
      </c>
      <c r="AM451" s="3070">
        <v>12797.93</v>
      </c>
      <c r="AN451" s="3070">
        <v>1697261</v>
      </c>
      <c r="AP451" s="3070">
        <v>1697261</v>
      </c>
      <c r="AQ451" s="3072">
        <v>45230</v>
      </c>
      <c r="AT451" s="3073">
        <v>45770</v>
      </c>
      <c r="AV451" s="3074">
        <v>3.21E+17</v>
      </c>
      <c r="AW451" s="3070" t="s">
        <v>6962</v>
      </c>
      <c r="AX451" s="3070" t="s">
        <v>6963</v>
      </c>
      <c r="AY451" s="3070" t="s">
        <v>3393</v>
      </c>
      <c r="BC451" s="3070" t="s">
        <v>3284</v>
      </c>
      <c r="BD451" s="3070" t="s">
        <v>3075</v>
      </c>
      <c r="BI451" s="3070" t="s">
        <v>3235</v>
      </c>
      <c r="BJ451" s="3070" t="s">
        <v>3296</v>
      </c>
      <c r="BL451" s="3070" t="s">
        <v>6964</v>
      </c>
      <c r="BM451" s="3075">
        <v>44288</v>
      </c>
      <c r="BN451" s="3070">
        <v>-90</v>
      </c>
      <c r="BO451" s="3070" t="s">
        <v>3253</v>
      </c>
      <c r="BR451" s="3070">
        <v>465</v>
      </c>
      <c r="BS451" s="3070" t="s">
        <v>3238</v>
      </c>
      <c r="BZ451" s="3073">
        <v>44142.616666666669</v>
      </c>
      <c r="CA451" s="3070">
        <v>4</v>
      </c>
      <c r="CD451" s="3070" t="s">
        <v>3239</v>
      </c>
      <c r="CF451" s="3070" t="s">
        <v>3091</v>
      </c>
      <c r="CH451" s="3070" t="s">
        <v>3240</v>
      </c>
      <c r="CI451" s="3070">
        <v>0</v>
      </c>
      <c r="CK451" s="3070" t="s">
        <v>3393</v>
      </c>
      <c r="CL451" s="3070" t="s">
        <v>3393</v>
      </c>
      <c r="CM451" s="3070">
        <v>1557120.18</v>
      </c>
      <c r="CV451" s="3070" t="s">
        <v>3246</v>
      </c>
      <c r="CW451" s="3070" t="s">
        <v>6965</v>
      </c>
      <c r="CX451" s="3070" t="s">
        <v>3311</v>
      </c>
      <c r="CZ451" s="3070">
        <v>213894.57</v>
      </c>
      <c r="DA451" s="3070">
        <v>159426.93</v>
      </c>
      <c r="DB451" s="3070">
        <v>0</v>
      </c>
      <c r="DC451" s="3070">
        <v>0</v>
      </c>
      <c r="DD451" s="3070">
        <v>3290547602</v>
      </c>
      <c r="DE451" s="3070">
        <v>2764253109</v>
      </c>
      <c r="DF451" s="3070">
        <v>1464966739</v>
      </c>
      <c r="DG451" s="3070">
        <v>14938370</v>
      </c>
      <c r="DH451" s="3070">
        <v>1284348000</v>
      </c>
      <c r="DI451" s="3070">
        <v>1278128000</v>
      </c>
      <c r="DJ451" s="3070">
        <v>6220000</v>
      </c>
      <c r="DK451" s="3070">
        <v>0</v>
      </c>
      <c r="DL451" s="3070">
        <v>0</v>
      </c>
      <c r="DM451" s="3070">
        <v>25491817.620000001</v>
      </c>
      <c r="DN451" s="3070">
        <v>2764253109</v>
      </c>
      <c r="DP451" s="3070">
        <v>2764253109</v>
      </c>
    </row>
    <row r="452" spans="1:120">
      <c r="A452" s="3070">
        <v>451</v>
      </c>
      <c r="B452" s="3070" t="s">
        <v>3224</v>
      </c>
      <c r="C452" s="3070">
        <v>5</v>
      </c>
      <c r="E452" s="3070">
        <v>1001</v>
      </c>
      <c r="F452" s="3070" t="s">
        <v>6966</v>
      </c>
      <c r="G452" s="3070" t="s">
        <v>6967</v>
      </c>
      <c r="H452" s="3070">
        <v>1426703</v>
      </c>
      <c r="I452" s="3070">
        <v>1426703</v>
      </c>
      <c r="J452" s="3070">
        <v>114.02</v>
      </c>
      <c r="K452" s="3070">
        <v>82.85</v>
      </c>
      <c r="L452" s="3070">
        <v>0</v>
      </c>
      <c r="M452" s="3070">
        <v>0</v>
      </c>
      <c r="N452" s="3070">
        <v>15444.44</v>
      </c>
      <c r="O452" s="3070">
        <v>1760975</v>
      </c>
      <c r="P452" s="3070">
        <v>12512.74</v>
      </c>
      <c r="Q452" s="3070">
        <v>1426703</v>
      </c>
      <c r="R452" s="3070" t="s">
        <v>3227</v>
      </c>
      <c r="S452" s="3070" t="s">
        <v>6968</v>
      </c>
      <c r="T452" s="3070" t="s">
        <v>3246</v>
      </c>
      <c r="U452" s="3070" t="s">
        <v>3467</v>
      </c>
      <c r="V452" s="3070" t="s">
        <v>3230</v>
      </c>
      <c r="Y452" s="3070">
        <v>436703</v>
      </c>
      <c r="Z452" s="3070">
        <v>436703</v>
      </c>
      <c r="AA452" s="3070">
        <v>436703</v>
      </c>
      <c r="AB452" s="3070">
        <v>0</v>
      </c>
      <c r="AC452" s="3070">
        <v>990000</v>
      </c>
      <c r="AD452" s="3070">
        <v>990000</v>
      </c>
      <c r="AE452" s="3070">
        <v>0</v>
      </c>
      <c r="AI452" s="3070" t="s">
        <v>3227</v>
      </c>
      <c r="AJ452" s="3070">
        <v>0</v>
      </c>
      <c r="AK452" s="3070">
        <v>0</v>
      </c>
      <c r="AL452" s="3070">
        <v>0</v>
      </c>
      <c r="AM452" s="3070">
        <v>12512.74</v>
      </c>
      <c r="AN452" s="3070">
        <v>1426703</v>
      </c>
      <c r="AP452" s="3070">
        <v>1426703</v>
      </c>
      <c r="AQ452" s="3072">
        <v>45138</v>
      </c>
      <c r="AT452" s="3073">
        <v>45678</v>
      </c>
      <c r="AV452" s="3070" t="s">
        <v>6969</v>
      </c>
      <c r="AW452" s="3070" t="s">
        <v>6970</v>
      </c>
      <c r="AX452" s="3070" t="s">
        <v>6971</v>
      </c>
      <c r="AY452" s="3070" t="s">
        <v>3283</v>
      </c>
      <c r="BC452" s="3070" t="s">
        <v>3284</v>
      </c>
      <c r="BD452" s="3070" t="s">
        <v>3077</v>
      </c>
      <c r="BI452" s="3070" t="s">
        <v>3235</v>
      </c>
      <c r="BJ452" s="3070" t="s">
        <v>3285</v>
      </c>
      <c r="BL452" s="3070" t="s">
        <v>6972</v>
      </c>
      <c r="BM452" s="3075">
        <v>44317</v>
      </c>
      <c r="BN452" s="3070">
        <v>1</v>
      </c>
      <c r="BO452" s="3070" t="s">
        <v>3253</v>
      </c>
      <c r="BR452" s="3070">
        <v>877</v>
      </c>
      <c r="BS452" s="3070" t="s">
        <v>3238</v>
      </c>
      <c r="BZ452" s="3073">
        <v>44142.632638888892</v>
      </c>
      <c r="CA452" s="3070">
        <v>5</v>
      </c>
      <c r="CD452" s="3070" t="s">
        <v>3239</v>
      </c>
      <c r="CF452" s="3070" t="s">
        <v>3091</v>
      </c>
      <c r="CH452" s="3070" t="s">
        <v>3240</v>
      </c>
      <c r="CI452" s="3070">
        <v>0</v>
      </c>
      <c r="CK452" s="3070" t="s">
        <v>3283</v>
      </c>
      <c r="CL452" s="3070" t="s">
        <v>3283</v>
      </c>
      <c r="CM452" s="3070">
        <v>1308901.83</v>
      </c>
      <c r="CV452" s="3070" t="s">
        <v>3246</v>
      </c>
      <c r="CW452" s="3070" t="s">
        <v>6973</v>
      </c>
      <c r="CX452" s="3070" t="s">
        <v>3267</v>
      </c>
      <c r="CZ452" s="3070">
        <v>213894.57</v>
      </c>
      <c r="DA452" s="3070">
        <v>159426.93</v>
      </c>
      <c r="DB452" s="3070">
        <v>0</v>
      </c>
      <c r="DC452" s="3070">
        <v>0</v>
      </c>
      <c r="DD452" s="3070">
        <v>3290547602</v>
      </c>
      <c r="DE452" s="3070">
        <v>2764253109</v>
      </c>
      <c r="DF452" s="3070">
        <v>1464966739</v>
      </c>
      <c r="DG452" s="3070">
        <v>14938370</v>
      </c>
      <c r="DH452" s="3070">
        <v>1284348000</v>
      </c>
      <c r="DI452" s="3070">
        <v>1278128000</v>
      </c>
      <c r="DJ452" s="3070">
        <v>6220000</v>
      </c>
      <c r="DK452" s="3070">
        <v>0</v>
      </c>
      <c r="DL452" s="3070">
        <v>0</v>
      </c>
      <c r="DM452" s="3070">
        <v>25491817.620000001</v>
      </c>
      <c r="DN452" s="3070">
        <v>2764253109</v>
      </c>
      <c r="DP452" s="3070">
        <v>2764253109</v>
      </c>
    </row>
    <row r="453" spans="1:120">
      <c r="A453" s="3070">
        <v>452</v>
      </c>
      <c r="B453" s="3070" t="s">
        <v>3224</v>
      </c>
      <c r="C453" s="3070">
        <v>5</v>
      </c>
      <c r="E453" s="3070">
        <v>1002</v>
      </c>
      <c r="F453" s="3070" t="s">
        <v>6974</v>
      </c>
      <c r="G453" s="3070" t="s">
        <v>6975</v>
      </c>
      <c r="H453" s="3070">
        <v>1304203</v>
      </c>
      <c r="I453" s="3070">
        <v>1304203</v>
      </c>
      <c r="J453" s="3070">
        <v>102.67</v>
      </c>
      <c r="K453" s="3070">
        <v>74.61</v>
      </c>
      <c r="L453" s="3070">
        <v>0</v>
      </c>
      <c r="M453" s="3070">
        <v>0</v>
      </c>
      <c r="N453" s="3070">
        <v>15644.44</v>
      </c>
      <c r="O453" s="3070">
        <v>1606215</v>
      </c>
      <c r="P453" s="3070">
        <v>12702.86</v>
      </c>
      <c r="Q453" s="3070">
        <v>1304203</v>
      </c>
      <c r="R453" s="3070" t="s">
        <v>3227</v>
      </c>
      <c r="S453" s="3070" t="s">
        <v>6976</v>
      </c>
      <c r="T453" s="3070" t="s">
        <v>3246</v>
      </c>
      <c r="U453" s="3070" t="s">
        <v>3247</v>
      </c>
      <c r="V453" s="3070" t="s">
        <v>3230</v>
      </c>
      <c r="Y453" s="3070">
        <v>424203</v>
      </c>
      <c r="Z453" s="3070">
        <v>424203</v>
      </c>
      <c r="AA453" s="3070">
        <v>424203</v>
      </c>
      <c r="AB453" s="3070">
        <v>0</v>
      </c>
      <c r="AC453" s="3070">
        <v>880000</v>
      </c>
      <c r="AD453" s="3070">
        <v>880000</v>
      </c>
      <c r="AE453" s="3070">
        <v>0</v>
      </c>
      <c r="AI453" s="3070" t="s">
        <v>3227</v>
      </c>
      <c r="AJ453" s="3070">
        <v>0</v>
      </c>
      <c r="AK453" s="3070">
        <v>0</v>
      </c>
      <c r="AL453" s="3070">
        <v>0</v>
      </c>
      <c r="AM453" s="3070">
        <v>12702.86</v>
      </c>
      <c r="AN453" s="3070">
        <v>1304203</v>
      </c>
      <c r="AP453" s="3070">
        <v>1304203</v>
      </c>
      <c r="AQ453" s="3072">
        <v>45138</v>
      </c>
      <c r="AT453" s="3073">
        <v>45678</v>
      </c>
      <c r="AV453" s="3070" t="s">
        <v>6977</v>
      </c>
      <c r="AW453" s="3070" t="s">
        <v>6978</v>
      </c>
      <c r="AX453" s="3070" t="s">
        <v>6979</v>
      </c>
      <c r="AY453" s="3070" t="s">
        <v>3648</v>
      </c>
      <c r="BC453" s="3070" t="s">
        <v>3284</v>
      </c>
      <c r="BD453" s="3070" t="s">
        <v>3077</v>
      </c>
      <c r="BI453" s="3070" t="s">
        <v>3235</v>
      </c>
      <c r="BL453" s="3070" t="s">
        <v>6980</v>
      </c>
      <c r="BM453" s="3075">
        <v>44317</v>
      </c>
      <c r="BN453" s="3070">
        <v>2</v>
      </c>
      <c r="BO453" s="3070" t="s">
        <v>3253</v>
      </c>
      <c r="BR453" s="3070">
        <v>178</v>
      </c>
      <c r="BS453" s="3070" t="s">
        <v>3238</v>
      </c>
      <c r="BZ453" s="3073">
        <v>44149.77847222222</v>
      </c>
      <c r="CA453" s="3070">
        <v>5</v>
      </c>
      <c r="CD453" s="3070" t="s">
        <v>3239</v>
      </c>
      <c r="CF453" s="3070" t="s">
        <v>3091</v>
      </c>
      <c r="CH453" s="3070" t="s">
        <v>3240</v>
      </c>
      <c r="CI453" s="3070">
        <v>0</v>
      </c>
      <c r="CK453" s="3070" t="s">
        <v>3648</v>
      </c>
      <c r="CL453" s="3070" t="s">
        <v>3648</v>
      </c>
      <c r="CM453" s="3070">
        <v>1196516.51</v>
      </c>
      <c r="CV453" s="3070" t="s">
        <v>3246</v>
      </c>
      <c r="CW453" s="3070" t="s">
        <v>6981</v>
      </c>
      <c r="CX453" s="3070" t="s">
        <v>3311</v>
      </c>
      <c r="CZ453" s="3070">
        <v>213894.57</v>
      </c>
      <c r="DA453" s="3070">
        <v>159426.93</v>
      </c>
      <c r="DB453" s="3070">
        <v>0</v>
      </c>
      <c r="DC453" s="3070">
        <v>0</v>
      </c>
      <c r="DD453" s="3070">
        <v>3290547602</v>
      </c>
      <c r="DE453" s="3070">
        <v>2764253109</v>
      </c>
      <c r="DF453" s="3070">
        <v>1464966739</v>
      </c>
      <c r="DG453" s="3070">
        <v>14938370</v>
      </c>
      <c r="DH453" s="3070">
        <v>1284348000</v>
      </c>
      <c r="DI453" s="3070">
        <v>1278128000</v>
      </c>
      <c r="DJ453" s="3070">
        <v>6220000</v>
      </c>
      <c r="DK453" s="3070">
        <v>0</v>
      </c>
      <c r="DL453" s="3070">
        <v>0</v>
      </c>
      <c r="DM453" s="3070">
        <v>25491817.620000001</v>
      </c>
      <c r="DN453" s="3070">
        <v>2764253109</v>
      </c>
      <c r="DP453" s="3070">
        <v>2764253109</v>
      </c>
    </row>
    <row r="454" spans="1:120">
      <c r="A454" s="3070">
        <v>453</v>
      </c>
      <c r="B454" s="3070" t="s">
        <v>3224</v>
      </c>
      <c r="C454" s="3070">
        <v>5</v>
      </c>
      <c r="E454" s="3070">
        <v>1003</v>
      </c>
      <c r="F454" s="3070" t="s">
        <v>6982</v>
      </c>
      <c r="G454" s="3070" t="s">
        <v>6983</v>
      </c>
      <c r="H454" s="3070">
        <v>1304203</v>
      </c>
      <c r="I454" s="3070">
        <v>1304203</v>
      </c>
      <c r="J454" s="3070">
        <v>102.67</v>
      </c>
      <c r="K454" s="3070">
        <v>74.61</v>
      </c>
      <c r="L454" s="3070">
        <v>0</v>
      </c>
      <c r="M454" s="3070">
        <v>0</v>
      </c>
      <c r="N454" s="3070">
        <v>15644.44</v>
      </c>
      <c r="O454" s="3070">
        <v>1606215</v>
      </c>
      <c r="P454" s="3070">
        <v>12702.86</v>
      </c>
      <c r="Q454" s="3070">
        <v>1304203</v>
      </c>
      <c r="R454" s="3070" t="s">
        <v>3227</v>
      </c>
      <c r="S454" s="3070" t="s">
        <v>6984</v>
      </c>
      <c r="T454" s="3070" t="s">
        <v>3246</v>
      </c>
      <c r="U454" s="3070" t="s">
        <v>3279</v>
      </c>
      <c r="V454" s="3070" t="s">
        <v>3230</v>
      </c>
      <c r="Y454" s="3070">
        <v>394203</v>
      </c>
      <c r="Z454" s="3070">
        <v>394203</v>
      </c>
      <c r="AA454" s="3070">
        <v>754203</v>
      </c>
      <c r="AB454" s="3070">
        <v>0</v>
      </c>
      <c r="AC454" s="3070">
        <v>550000</v>
      </c>
      <c r="AD454" s="3070">
        <v>550000</v>
      </c>
      <c r="AE454" s="3070">
        <v>0</v>
      </c>
      <c r="AI454" s="3070" t="s">
        <v>3227</v>
      </c>
      <c r="AJ454" s="3070">
        <v>0</v>
      </c>
      <c r="AK454" s="3070">
        <v>0</v>
      </c>
      <c r="AL454" s="3070">
        <v>0</v>
      </c>
      <c r="AM454" s="3070">
        <v>12702.86</v>
      </c>
      <c r="AN454" s="3070">
        <v>1304203</v>
      </c>
      <c r="AP454" s="3070">
        <v>1304203</v>
      </c>
      <c r="AQ454" s="3072">
        <v>45138</v>
      </c>
      <c r="AT454" s="3073">
        <v>45678</v>
      </c>
      <c r="AV454" s="3074">
        <v>3.21E+17</v>
      </c>
      <c r="AW454" s="3070" t="s">
        <v>6985</v>
      </c>
      <c r="AX454" s="3070" t="s">
        <v>6986</v>
      </c>
      <c r="AY454" s="3070" t="s">
        <v>3346</v>
      </c>
      <c r="BC454" s="3070" t="s">
        <v>3284</v>
      </c>
      <c r="BD454" s="3070" t="s">
        <v>3077</v>
      </c>
      <c r="BI454" s="3070" t="s">
        <v>3235</v>
      </c>
      <c r="BJ454" s="3070" t="s">
        <v>3338</v>
      </c>
      <c r="BL454" s="3070" t="s">
        <v>6987</v>
      </c>
      <c r="BM454" s="3075">
        <v>44317</v>
      </c>
      <c r="BN454" s="3070">
        <v>3</v>
      </c>
      <c r="BO454" s="3070" t="s">
        <v>3253</v>
      </c>
      <c r="BR454" s="3070">
        <v>542</v>
      </c>
      <c r="BS454" s="3070" t="s">
        <v>3238</v>
      </c>
      <c r="BZ454" s="3073">
        <v>44142.615277777775</v>
      </c>
      <c r="CA454" s="3070">
        <v>5</v>
      </c>
      <c r="CD454" s="3070" t="s">
        <v>3239</v>
      </c>
      <c r="CF454" s="3070" t="s">
        <v>3091</v>
      </c>
      <c r="CH454" s="3070" t="s">
        <v>3240</v>
      </c>
      <c r="CI454" s="3070">
        <v>0</v>
      </c>
      <c r="CK454" s="3070" t="s">
        <v>3346</v>
      </c>
      <c r="CL454" s="3070" t="s">
        <v>3346</v>
      </c>
      <c r="CM454" s="3070">
        <v>1196516.51</v>
      </c>
      <c r="CV454" s="3070" t="s">
        <v>3246</v>
      </c>
      <c r="CW454" s="3070" t="s">
        <v>6988</v>
      </c>
      <c r="CZ454" s="3070">
        <v>213894.57</v>
      </c>
      <c r="DA454" s="3070">
        <v>159426.93</v>
      </c>
      <c r="DB454" s="3070">
        <v>0</v>
      </c>
      <c r="DC454" s="3070">
        <v>0</v>
      </c>
      <c r="DD454" s="3070">
        <v>3290547602</v>
      </c>
      <c r="DE454" s="3070">
        <v>2764253109</v>
      </c>
      <c r="DF454" s="3070">
        <v>1464966739</v>
      </c>
      <c r="DG454" s="3070">
        <v>14938370</v>
      </c>
      <c r="DH454" s="3070">
        <v>1284348000</v>
      </c>
      <c r="DI454" s="3070">
        <v>1278128000</v>
      </c>
      <c r="DJ454" s="3070">
        <v>6220000</v>
      </c>
      <c r="DK454" s="3070">
        <v>0</v>
      </c>
      <c r="DL454" s="3070">
        <v>0</v>
      </c>
      <c r="DM454" s="3070">
        <v>25491817.620000001</v>
      </c>
      <c r="DN454" s="3070">
        <v>2764253109</v>
      </c>
      <c r="DP454" s="3070">
        <v>2764253109</v>
      </c>
    </row>
    <row r="455" spans="1:120">
      <c r="A455" s="3070">
        <v>454</v>
      </c>
      <c r="B455" s="3070" t="s">
        <v>3224</v>
      </c>
      <c r="C455" s="3070">
        <v>5</v>
      </c>
      <c r="E455" s="3070">
        <v>1004</v>
      </c>
      <c r="F455" s="3070" t="s">
        <v>6989</v>
      </c>
      <c r="G455" s="3070" t="s">
        <v>6990</v>
      </c>
      <c r="H455" s="3070">
        <v>1421284</v>
      </c>
      <c r="I455" s="3070">
        <v>1421284</v>
      </c>
      <c r="J455" s="3070">
        <v>114.02</v>
      </c>
      <c r="K455" s="3070">
        <v>82.85</v>
      </c>
      <c r="L455" s="3070">
        <v>0</v>
      </c>
      <c r="M455" s="3070">
        <v>0</v>
      </c>
      <c r="N455" s="3070">
        <v>15394.44</v>
      </c>
      <c r="O455" s="3070">
        <v>1755274</v>
      </c>
      <c r="P455" s="3070">
        <v>12465.22</v>
      </c>
      <c r="Q455" s="3070">
        <v>1421284</v>
      </c>
      <c r="R455" s="3070" t="s">
        <v>3227</v>
      </c>
      <c r="S455" s="3070" t="s">
        <v>6991</v>
      </c>
      <c r="T455" s="3070" t="s">
        <v>3246</v>
      </c>
      <c r="U455" s="3070" t="s">
        <v>3279</v>
      </c>
      <c r="V455" s="3070" t="s">
        <v>3230</v>
      </c>
      <c r="Y455" s="3070">
        <v>1221284</v>
      </c>
      <c r="Z455" s="3070">
        <v>142128</v>
      </c>
      <c r="AA455" s="3070">
        <v>1221284</v>
      </c>
      <c r="AB455" s="3070">
        <v>0</v>
      </c>
      <c r="AC455" s="3070">
        <v>200000</v>
      </c>
      <c r="AD455" s="3070">
        <v>200000</v>
      </c>
      <c r="AE455" s="3070">
        <v>0</v>
      </c>
      <c r="AI455" s="3070" t="s">
        <v>3227</v>
      </c>
      <c r="AJ455" s="3070">
        <v>0</v>
      </c>
      <c r="AK455" s="3070">
        <v>0</v>
      </c>
      <c r="AL455" s="3070">
        <v>0</v>
      </c>
      <c r="AM455" s="3070">
        <v>12465.22</v>
      </c>
      <c r="AN455" s="3070">
        <v>1421284</v>
      </c>
      <c r="AP455" s="3070">
        <v>1421284</v>
      </c>
      <c r="AQ455" s="3072">
        <v>45138</v>
      </c>
      <c r="AT455" s="3073">
        <v>45678</v>
      </c>
      <c r="AV455" s="3070" t="s">
        <v>6992</v>
      </c>
      <c r="AW455" s="3070" t="s">
        <v>6993</v>
      </c>
      <c r="AX455" s="3070" t="s">
        <v>6994</v>
      </c>
      <c r="AY455" s="3070" t="s">
        <v>3318</v>
      </c>
      <c r="BC455" s="3070" t="s">
        <v>3284</v>
      </c>
      <c r="BD455" s="3070" t="s">
        <v>3077</v>
      </c>
      <c r="BI455" s="3070" t="s">
        <v>3235</v>
      </c>
      <c r="BJ455" s="3070" t="s">
        <v>3598</v>
      </c>
      <c r="BL455" s="3070" t="s">
        <v>6995</v>
      </c>
      <c r="BM455" s="3075">
        <v>44317</v>
      </c>
      <c r="BN455" s="3070">
        <v>4</v>
      </c>
      <c r="BO455" s="3070" t="s">
        <v>3253</v>
      </c>
      <c r="BR455" s="3070">
        <v>0</v>
      </c>
      <c r="BS455" s="3070" t="s">
        <v>3238</v>
      </c>
      <c r="BZ455" s="3073">
        <v>44150.748611111114</v>
      </c>
      <c r="CA455" s="3070">
        <v>5</v>
      </c>
      <c r="CD455" s="3070" t="s">
        <v>3239</v>
      </c>
      <c r="CF455" s="3070" t="s">
        <v>3091</v>
      </c>
      <c r="CH455" s="3070" t="s">
        <v>3240</v>
      </c>
      <c r="CI455" s="3070">
        <v>0</v>
      </c>
      <c r="CK455" s="3070" t="s">
        <v>3318</v>
      </c>
      <c r="CL455" s="3070" t="s">
        <v>3318</v>
      </c>
      <c r="CM455" s="3070">
        <v>1303930.27</v>
      </c>
      <c r="CV455" s="3070" t="s">
        <v>3246</v>
      </c>
      <c r="CW455" s="3070" t="s">
        <v>6996</v>
      </c>
      <c r="CZ455" s="3070">
        <v>213894.57</v>
      </c>
      <c r="DA455" s="3070">
        <v>159426.93</v>
      </c>
      <c r="DB455" s="3070">
        <v>0</v>
      </c>
      <c r="DC455" s="3070">
        <v>0</v>
      </c>
      <c r="DD455" s="3070">
        <v>3290547602</v>
      </c>
      <c r="DE455" s="3070">
        <v>2764253109</v>
      </c>
      <c r="DF455" s="3070">
        <v>1464966739</v>
      </c>
      <c r="DG455" s="3070">
        <v>14938370</v>
      </c>
      <c r="DH455" s="3070">
        <v>1284348000</v>
      </c>
      <c r="DI455" s="3070">
        <v>1278128000</v>
      </c>
      <c r="DJ455" s="3070">
        <v>6220000</v>
      </c>
      <c r="DK455" s="3070">
        <v>0</v>
      </c>
      <c r="DL455" s="3070">
        <v>0</v>
      </c>
      <c r="DM455" s="3070">
        <v>25491817.620000001</v>
      </c>
      <c r="DN455" s="3070">
        <v>2764253109</v>
      </c>
      <c r="DP455" s="3070">
        <v>2764253109</v>
      </c>
    </row>
    <row r="456" spans="1:120">
      <c r="A456" s="3070">
        <v>455</v>
      </c>
      <c r="B456" s="3070" t="s">
        <v>3224</v>
      </c>
      <c r="C456" s="3070">
        <v>5</v>
      </c>
      <c r="E456" s="3070">
        <v>101</v>
      </c>
      <c r="F456" s="3070" t="s">
        <v>6997</v>
      </c>
      <c r="G456" s="3070" t="s">
        <v>6998</v>
      </c>
      <c r="H456" s="3070">
        <v>1470412</v>
      </c>
      <c r="I456" s="3070">
        <v>1470412</v>
      </c>
      <c r="J456" s="3070">
        <v>114.13</v>
      </c>
      <c r="K456" s="3070">
        <v>82.93</v>
      </c>
      <c r="L456" s="3070">
        <v>0</v>
      </c>
      <c r="M456" s="3070">
        <v>0</v>
      </c>
      <c r="N456" s="3070">
        <v>14894.44</v>
      </c>
      <c r="O456" s="3070">
        <v>1699902</v>
      </c>
      <c r="P456" s="3070">
        <v>12883.66</v>
      </c>
      <c r="Q456" s="3070">
        <v>1470412</v>
      </c>
      <c r="R456" s="3070" t="s">
        <v>3227</v>
      </c>
      <c r="S456" s="3070" t="s">
        <v>6999</v>
      </c>
      <c r="T456" s="3070" t="s">
        <v>4061</v>
      </c>
      <c r="V456" s="3070" t="s">
        <v>3230</v>
      </c>
      <c r="Y456" s="3070">
        <v>147041</v>
      </c>
      <c r="Z456" s="3070">
        <v>147041</v>
      </c>
      <c r="AA456" s="3070">
        <v>1470412</v>
      </c>
      <c r="AB456" s="3070">
        <v>0</v>
      </c>
      <c r="AC456" s="3070">
        <v>0</v>
      </c>
      <c r="AD456" s="3070">
        <v>0</v>
      </c>
      <c r="AE456" s="3070">
        <v>0</v>
      </c>
      <c r="AI456" s="3070" t="s">
        <v>3227</v>
      </c>
      <c r="AJ456" s="3070">
        <v>0</v>
      </c>
      <c r="AK456" s="3070">
        <v>0</v>
      </c>
      <c r="AL456" s="3070">
        <v>0</v>
      </c>
      <c r="AM456" s="3070">
        <v>12883.66</v>
      </c>
      <c r="AN456" s="3070">
        <v>1470412</v>
      </c>
      <c r="AP456" s="3070">
        <v>1470412</v>
      </c>
      <c r="AQ456" s="3072">
        <v>45138</v>
      </c>
      <c r="AT456" s="3073">
        <v>45678</v>
      </c>
      <c r="AV456" s="3074">
        <v>3.21E+17</v>
      </c>
      <c r="AW456" s="3070" t="s">
        <v>7000</v>
      </c>
      <c r="AX456" s="3070" t="s">
        <v>7001</v>
      </c>
      <c r="AY456" s="3070" t="s">
        <v>4265</v>
      </c>
      <c r="BC456" s="3070" t="s">
        <v>7002</v>
      </c>
      <c r="BD456" s="3070" t="s">
        <v>3077</v>
      </c>
      <c r="BI456" s="3070" t="s">
        <v>3235</v>
      </c>
      <c r="BL456" s="3070" t="s">
        <v>7003</v>
      </c>
      <c r="BM456" s="3075">
        <v>44317</v>
      </c>
      <c r="BN456" s="3070">
        <v>1</v>
      </c>
      <c r="BR456" s="3070">
        <v>0</v>
      </c>
      <c r="BS456" s="3070" t="s">
        <v>3238</v>
      </c>
      <c r="BV456" s="3070" t="s">
        <v>7004</v>
      </c>
      <c r="BW456" s="3070" t="s">
        <v>7005</v>
      </c>
      <c r="BX456" s="3070" t="s">
        <v>7006</v>
      </c>
      <c r="BZ456" s="3073">
        <v>44276.698611111111</v>
      </c>
      <c r="CA456" s="3070">
        <v>5</v>
      </c>
      <c r="CD456" s="3070" t="s">
        <v>3239</v>
      </c>
      <c r="CF456" s="3070" t="s">
        <v>3091</v>
      </c>
      <c r="CH456" s="3070" t="s">
        <v>3240</v>
      </c>
      <c r="CI456" s="3070">
        <v>0</v>
      </c>
      <c r="CK456" s="3070" t="s">
        <v>3883</v>
      </c>
      <c r="CL456" s="3070" t="s">
        <v>4265</v>
      </c>
      <c r="CM456" s="3070">
        <v>1349001.83</v>
      </c>
      <c r="CV456" s="3070" t="s">
        <v>3494</v>
      </c>
      <c r="CW456" s="3070" t="s">
        <v>7007</v>
      </c>
      <c r="CX456" s="3070" t="s">
        <v>3267</v>
      </c>
      <c r="CZ456" s="3070">
        <v>213894.57</v>
      </c>
      <c r="DA456" s="3070">
        <v>159426.93</v>
      </c>
      <c r="DB456" s="3070">
        <v>0</v>
      </c>
      <c r="DC456" s="3070">
        <v>0</v>
      </c>
      <c r="DD456" s="3070">
        <v>3290547602</v>
      </c>
      <c r="DE456" s="3070">
        <v>2764253109</v>
      </c>
      <c r="DF456" s="3070">
        <v>1464966739</v>
      </c>
      <c r="DG456" s="3070">
        <v>14938370</v>
      </c>
      <c r="DH456" s="3070">
        <v>1284348000</v>
      </c>
      <c r="DI456" s="3070">
        <v>1278128000</v>
      </c>
      <c r="DJ456" s="3070">
        <v>6220000</v>
      </c>
      <c r="DK456" s="3070">
        <v>0</v>
      </c>
      <c r="DL456" s="3070">
        <v>0</v>
      </c>
      <c r="DM456" s="3070">
        <v>25491817.620000001</v>
      </c>
      <c r="DN456" s="3070">
        <v>2764253109</v>
      </c>
      <c r="DP456" s="3070">
        <v>2764253109</v>
      </c>
    </row>
    <row r="457" spans="1:120">
      <c r="A457" s="3070">
        <v>456</v>
      </c>
      <c r="B457" s="3070" t="s">
        <v>3224</v>
      </c>
      <c r="C457" s="3070">
        <v>5</v>
      </c>
      <c r="E457" s="3070">
        <v>104</v>
      </c>
      <c r="F457" s="3070" t="s">
        <v>7008</v>
      </c>
      <c r="G457" s="3070" t="s">
        <v>7009</v>
      </c>
      <c r="H457" s="3070">
        <v>1086722</v>
      </c>
      <c r="I457" s="3070">
        <v>1086722</v>
      </c>
      <c r="J457" s="3070">
        <v>119.41</v>
      </c>
      <c r="K457" s="3070">
        <v>86.77</v>
      </c>
      <c r="L457" s="3070">
        <v>0</v>
      </c>
      <c r="M457" s="3070">
        <v>0</v>
      </c>
      <c r="N457" s="3070">
        <v>14844.44</v>
      </c>
      <c r="O457" s="3070">
        <v>1772575</v>
      </c>
      <c r="P457" s="3070">
        <v>9100.76</v>
      </c>
      <c r="Q457" s="3070">
        <v>1086722</v>
      </c>
      <c r="R457" s="3070" t="s">
        <v>3227</v>
      </c>
      <c r="S457" s="3070" t="s">
        <v>7010</v>
      </c>
      <c r="T457" s="3070" t="s">
        <v>3878</v>
      </c>
      <c r="U457" s="3070" t="s">
        <v>3279</v>
      </c>
      <c r="V457" s="3070" t="s">
        <v>3230</v>
      </c>
      <c r="Y457" s="3070">
        <v>546722</v>
      </c>
      <c r="Z457" s="3070">
        <v>546722</v>
      </c>
      <c r="AA457" s="3070">
        <v>546722</v>
      </c>
      <c r="AB457" s="3070">
        <v>0</v>
      </c>
      <c r="AC457" s="3070">
        <v>540000</v>
      </c>
      <c r="AD457" s="3070">
        <v>540000</v>
      </c>
      <c r="AE457" s="3070">
        <v>0</v>
      </c>
      <c r="AI457" s="3070" t="s">
        <v>3227</v>
      </c>
      <c r="AJ457" s="3070">
        <v>0</v>
      </c>
      <c r="AK457" s="3070">
        <v>0</v>
      </c>
      <c r="AL457" s="3070">
        <v>0</v>
      </c>
      <c r="AM457" s="3070">
        <v>9100.76</v>
      </c>
      <c r="AN457" s="3070">
        <v>1086722</v>
      </c>
      <c r="AP457" s="3070">
        <v>1086722</v>
      </c>
      <c r="AQ457" s="3072">
        <v>45138</v>
      </c>
      <c r="AT457" s="3073">
        <v>45678</v>
      </c>
      <c r="AV457" s="3070" t="s">
        <v>7011</v>
      </c>
      <c r="AW457" s="3070" t="s">
        <v>7012</v>
      </c>
      <c r="AX457" s="3070" t="s">
        <v>7013</v>
      </c>
      <c r="AY457" s="3070" t="s">
        <v>3587</v>
      </c>
      <c r="BC457" s="3070" t="s">
        <v>3881</v>
      </c>
      <c r="BD457" s="3070" t="s">
        <v>3077</v>
      </c>
      <c r="BI457" s="3070" t="s">
        <v>3235</v>
      </c>
      <c r="BJ457" s="3070" t="s">
        <v>3296</v>
      </c>
      <c r="BL457" s="3070" t="s">
        <v>7014</v>
      </c>
      <c r="BM457" s="3075">
        <v>44317</v>
      </c>
      <c r="BN457" s="3070">
        <v>4</v>
      </c>
      <c r="BO457" s="3070" t="s">
        <v>3253</v>
      </c>
      <c r="BR457" s="3070">
        <v>0</v>
      </c>
      <c r="BS457" s="3070" t="s">
        <v>3238</v>
      </c>
      <c r="BZ457" s="3073">
        <v>44265.431944444441</v>
      </c>
      <c r="CA457" s="3070">
        <v>5</v>
      </c>
      <c r="CD457" s="3070" t="s">
        <v>3239</v>
      </c>
      <c r="CF457" s="3070" t="s">
        <v>3091</v>
      </c>
      <c r="CH457" s="3070" t="s">
        <v>3240</v>
      </c>
      <c r="CI457" s="3070">
        <v>0</v>
      </c>
      <c r="CK457" s="3070" t="s">
        <v>4736</v>
      </c>
      <c r="CL457" s="3070" t="s">
        <v>3587</v>
      </c>
      <c r="CM457" s="3070">
        <v>996992.65</v>
      </c>
      <c r="CV457" s="3070" t="s">
        <v>3246</v>
      </c>
      <c r="CW457" s="3070" t="s">
        <v>7015</v>
      </c>
      <c r="CX457" s="3070" t="s">
        <v>3311</v>
      </c>
      <c r="CZ457" s="3070">
        <v>213894.57</v>
      </c>
      <c r="DA457" s="3070">
        <v>159426.93</v>
      </c>
      <c r="DB457" s="3070">
        <v>0</v>
      </c>
      <c r="DC457" s="3070">
        <v>0</v>
      </c>
      <c r="DD457" s="3070">
        <v>3290547602</v>
      </c>
      <c r="DE457" s="3070">
        <v>2764253109</v>
      </c>
      <c r="DF457" s="3070">
        <v>1464966739</v>
      </c>
      <c r="DG457" s="3070">
        <v>14938370</v>
      </c>
      <c r="DH457" s="3070">
        <v>1284348000</v>
      </c>
      <c r="DI457" s="3070">
        <v>1278128000</v>
      </c>
      <c r="DJ457" s="3070">
        <v>6220000</v>
      </c>
      <c r="DK457" s="3070">
        <v>0</v>
      </c>
      <c r="DL457" s="3070">
        <v>0</v>
      </c>
      <c r="DM457" s="3070">
        <v>25491817.620000001</v>
      </c>
      <c r="DN457" s="3070">
        <v>2764253109</v>
      </c>
      <c r="DP457" s="3070">
        <v>2764253109</v>
      </c>
    </row>
    <row r="458" spans="1:120">
      <c r="A458" s="3070">
        <v>457</v>
      </c>
      <c r="B458" s="3070" t="s">
        <v>3224</v>
      </c>
      <c r="C458" s="3070">
        <v>5</v>
      </c>
      <c r="E458" s="3070">
        <v>1101</v>
      </c>
      <c r="F458" s="3070" t="s">
        <v>7016</v>
      </c>
      <c r="G458" s="3070" t="s">
        <v>7017</v>
      </c>
      <c r="H458" s="3070">
        <v>1417802</v>
      </c>
      <c r="I458" s="3070">
        <v>1417802</v>
      </c>
      <c r="J458" s="3070">
        <v>114.02</v>
      </c>
      <c r="K458" s="3070">
        <v>82.85</v>
      </c>
      <c r="L458" s="3070">
        <v>0</v>
      </c>
      <c r="M458" s="3070">
        <v>0</v>
      </c>
      <c r="N458" s="3070">
        <v>15494.44</v>
      </c>
      <c r="O458" s="3070">
        <v>1766676</v>
      </c>
      <c r="P458" s="3070">
        <v>12434.68</v>
      </c>
      <c r="Q458" s="3070">
        <v>1417802</v>
      </c>
      <c r="R458" s="3070" t="s">
        <v>3227</v>
      </c>
      <c r="S458" s="3070" t="s">
        <v>7018</v>
      </c>
      <c r="T458" s="3070" t="s">
        <v>3229</v>
      </c>
      <c r="V458" s="3070" t="s">
        <v>3230</v>
      </c>
      <c r="Y458" s="3070">
        <v>427802</v>
      </c>
      <c r="Z458" s="3070">
        <v>427802</v>
      </c>
      <c r="AA458" s="3070">
        <v>1417802</v>
      </c>
      <c r="AB458" s="3070">
        <v>0</v>
      </c>
      <c r="AC458" s="3070">
        <v>0</v>
      </c>
      <c r="AD458" s="3070">
        <v>0</v>
      </c>
      <c r="AE458" s="3070">
        <v>0</v>
      </c>
      <c r="AI458" s="3070" t="s">
        <v>3227</v>
      </c>
      <c r="AJ458" s="3070">
        <v>0</v>
      </c>
      <c r="AK458" s="3070">
        <v>0</v>
      </c>
      <c r="AL458" s="3070">
        <v>0</v>
      </c>
      <c r="AM458" s="3070">
        <v>12434.68</v>
      </c>
      <c r="AN458" s="3070">
        <v>1417802</v>
      </c>
      <c r="AP458" s="3070">
        <v>1417802</v>
      </c>
      <c r="AQ458" s="3072">
        <v>45138</v>
      </c>
      <c r="AT458" s="3073">
        <v>45678</v>
      </c>
      <c r="AV458" s="3070" t="s">
        <v>7019</v>
      </c>
      <c r="AW458" s="3070" t="s">
        <v>7020</v>
      </c>
      <c r="AX458" s="3070" t="s">
        <v>7021</v>
      </c>
      <c r="AY458" s="3070" t="s">
        <v>3722</v>
      </c>
      <c r="BC458" s="3070" t="s">
        <v>3792</v>
      </c>
      <c r="BD458" s="3070" t="s">
        <v>3077</v>
      </c>
      <c r="BI458" s="3070" t="s">
        <v>3235</v>
      </c>
      <c r="BJ458" s="3070" t="s">
        <v>7022</v>
      </c>
      <c r="BL458" s="3070" t="s">
        <v>7023</v>
      </c>
      <c r="BM458" s="3075">
        <v>44317</v>
      </c>
      <c r="BN458" s="3070">
        <v>101</v>
      </c>
      <c r="BR458" s="3070">
        <v>202</v>
      </c>
      <c r="BS458" s="3070" t="s">
        <v>3238</v>
      </c>
      <c r="BZ458" s="3073">
        <v>44142.644444444442</v>
      </c>
      <c r="CA458" s="3070">
        <v>5</v>
      </c>
      <c r="CD458" s="3070" t="s">
        <v>3239</v>
      </c>
      <c r="CF458" s="3070" t="s">
        <v>3091</v>
      </c>
      <c r="CH458" s="3070" t="s">
        <v>3240</v>
      </c>
      <c r="CI458" s="3070">
        <v>0</v>
      </c>
      <c r="CK458" s="3070" t="s">
        <v>3722</v>
      </c>
      <c r="CL458" s="3070" t="s">
        <v>3722</v>
      </c>
      <c r="CM458" s="3070">
        <v>1300735.78</v>
      </c>
      <c r="CV458" s="3070" t="s">
        <v>3229</v>
      </c>
      <c r="CW458" s="3070" t="s">
        <v>7024</v>
      </c>
      <c r="CX458" s="3070" t="s">
        <v>3311</v>
      </c>
      <c r="CZ458" s="3070">
        <v>213894.57</v>
      </c>
      <c r="DA458" s="3070">
        <v>159426.93</v>
      </c>
      <c r="DB458" s="3070">
        <v>0</v>
      </c>
      <c r="DC458" s="3070">
        <v>0</v>
      </c>
      <c r="DD458" s="3070">
        <v>3290547602</v>
      </c>
      <c r="DE458" s="3070">
        <v>2764253109</v>
      </c>
      <c r="DF458" s="3070">
        <v>1464966739</v>
      </c>
      <c r="DG458" s="3070">
        <v>14938370</v>
      </c>
      <c r="DH458" s="3070">
        <v>1284348000</v>
      </c>
      <c r="DI458" s="3070">
        <v>1278128000</v>
      </c>
      <c r="DJ458" s="3070">
        <v>6220000</v>
      </c>
      <c r="DK458" s="3070">
        <v>0</v>
      </c>
      <c r="DL458" s="3070">
        <v>0</v>
      </c>
      <c r="DM458" s="3070">
        <v>25491817.620000001</v>
      </c>
      <c r="DN458" s="3070">
        <v>2764253109</v>
      </c>
      <c r="DP458" s="3070">
        <v>2764253109</v>
      </c>
    </row>
    <row r="459" spans="1:120">
      <c r="A459" s="3070">
        <v>458</v>
      </c>
      <c r="B459" s="3070" t="s">
        <v>3224</v>
      </c>
      <c r="C459" s="3070">
        <v>5</v>
      </c>
      <c r="E459" s="3070">
        <v>1102</v>
      </c>
      <c r="F459" s="3070" t="s">
        <v>7025</v>
      </c>
      <c r="G459" s="3070" t="s">
        <v>7026</v>
      </c>
      <c r="H459" s="3070">
        <v>1309084</v>
      </c>
      <c r="I459" s="3070">
        <v>1309084</v>
      </c>
      <c r="J459" s="3070">
        <v>102.67</v>
      </c>
      <c r="K459" s="3070">
        <v>74.61</v>
      </c>
      <c r="L459" s="3070">
        <v>0</v>
      </c>
      <c r="M459" s="3070">
        <v>0</v>
      </c>
      <c r="N459" s="3070">
        <v>15694.44</v>
      </c>
      <c r="O459" s="3070">
        <v>1611348</v>
      </c>
      <c r="P459" s="3070">
        <v>12750.4</v>
      </c>
      <c r="Q459" s="3070">
        <v>1309084</v>
      </c>
      <c r="R459" s="3070" t="s">
        <v>3227</v>
      </c>
      <c r="S459" s="3070" t="s">
        <v>7027</v>
      </c>
      <c r="T459" s="3070" t="s">
        <v>3258</v>
      </c>
      <c r="U459" s="3070" t="s">
        <v>3259</v>
      </c>
      <c r="V459" s="3070" t="s">
        <v>3230</v>
      </c>
      <c r="Y459" s="3070">
        <v>609084</v>
      </c>
      <c r="Z459" s="3070">
        <v>609084</v>
      </c>
      <c r="AA459" s="3070">
        <v>609084</v>
      </c>
      <c r="AB459" s="3070">
        <v>0</v>
      </c>
      <c r="AC459" s="3070">
        <v>700000</v>
      </c>
      <c r="AD459" s="3070">
        <v>700000</v>
      </c>
      <c r="AE459" s="3070">
        <v>0</v>
      </c>
      <c r="AI459" s="3070" t="s">
        <v>3227</v>
      </c>
      <c r="AJ459" s="3070">
        <v>0</v>
      </c>
      <c r="AK459" s="3070">
        <v>0</v>
      </c>
      <c r="AL459" s="3070">
        <v>0</v>
      </c>
      <c r="AM459" s="3070">
        <v>12750.4</v>
      </c>
      <c r="AN459" s="3070">
        <v>1309084</v>
      </c>
      <c r="AP459" s="3070">
        <v>1309084</v>
      </c>
      <c r="AQ459" s="3072">
        <v>45138</v>
      </c>
      <c r="AT459" s="3073">
        <v>45678</v>
      </c>
      <c r="AV459" s="3074">
        <v>3.21E+17</v>
      </c>
      <c r="AW459" s="3070" t="s">
        <v>7028</v>
      </c>
      <c r="AX459" s="3070" t="s">
        <v>7029</v>
      </c>
      <c r="AY459" s="3070" t="s">
        <v>3411</v>
      </c>
      <c r="BC459" s="3070" t="s">
        <v>3263</v>
      </c>
      <c r="BD459" s="3070" t="s">
        <v>3077</v>
      </c>
      <c r="BI459" s="3070" t="s">
        <v>3295</v>
      </c>
      <c r="BL459" s="3070" t="s">
        <v>7030</v>
      </c>
      <c r="BM459" s="3075">
        <v>44317</v>
      </c>
      <c r="BN459" s="3070">
        <v>102</v>
      </c>
      <c r="BO459" s="3070" t="s">
        <v>3253</v>
      </c>
      <c r="BP459" s="3070" t="s">
        <v>3253</v>
      </c>
      <c r="BR459" s="3070">
        <v>394</v>
      </c>
      <c r="BS459" s="3070" t="s">
        <v>3238</v>
      </c>
      <c r="BZ459" s="3073">
        <v>44142.625</v>
      </c>
      <c r="CA459" s="3070">
        <v>5</v>
      </c>
      <c r="CD459" s="3070" t="s">
        <v>3239</v>
      </c>
      <c r="CF459" s="3070" t="s">
        <v>3091</v>
      </c>
      <c r="CH459" s="3070" t="s">
        <v>3240</v>
      </c>
      <c r="CI459" s="3070">
        <v>0</v>
      </c>
      <c r="CJ459" s="3070" t="s">
        <v>3259</v>
      </c>
      <c r="CK459" s="3070" t="s">
        <v>3411</v>
      </c>
      <c r="CL459" s="3070" t="s">
        <v>3411</v>
      </c>
      <c r="CM459" s="3070">
        <v>1200994.5</v>
      </c>
      <c r="CV459" s="3070" t="s">
        <v>3258</v>
      </c>
      <c r="CW459" s="3070" t="s">
        <v>7031</v>
      </c>
      <c r="CZ459" s="3070">
        <v>213894.57</v>
      </c>
      <c r="DA459" s="3070">
        <v>159426.93</v>
      </c>
      <c r="DB459" s="3070">
        <v>0</v>
      </c>
      <c r="DC459" s="3070">
        <v>0</v>
      </c>
      <c r="DD459" s="3070">
        <v>3290547602</v>
      </c>
      <c r="DE459" s="3070">
        <v>2764253109</v>
      </c>
      <c r="DF459" s="3070">
        <v>1464966739</v>
      </c>
      <c r="DG459" s="3070">
        <v>14938370</v>
      </c>
      <c r="DH459" s="3070">
        <v>1284348000</v>
      </c>
      <c r="DI459" s="3070">
        <v>1278128000</v>
      </c>
      <c r="DJ459" s="3070">
        <v>6220000</v>
      </c>
      <c r="DK459" s="3070">
        <v>0</v>
      </c>
      <c r="DL459" s="3070">
        <v>0</v>
      </c>
      <c r="DM459" s="3070">
        <v>25491817.620000001</v>
      </c>
      <c r="DN459" s="3070">
        <v>2764253109</v>
      </c>
      <c r="DP459" s="3070">
        <v>2764253109</v>
      </c>
    </row>
    <row r="460" spans="1:120">
      <c r="A460" s="3070">
        <v>459</v>
      </c>
      <c r="B460" s="3070" t="s">
        <v>3224</v>
      </c>
      <c r="C460" s="3070">
        <v>5</v>
      </c>
      <c r="E460" s="3070">
        <v>1103</v>
      </c>
      <c r="F460" s="3070" t="s">
        <v>7032</v>
      </c>
      <c r="G460" s="3070" t="s">
        <v>7033</v>
      </c>
      <c r="H460" s="3070">
        <v>1309084</v>
      </c>
      <c r="I460" s="3070">
        <v>1309084</v>
      </c>
      <c r="J460" s="3070">
        <v>102.67</v>
      </c>
      <c r="K460" s="3070">
        <v>74.61</v>
      </c>
      <c r="L460" s="3070">
        <v>0</v>
      </c>
      <c r="M460" s="3070">
        <v>0</v>
      </c>
      <c r="N460" s="3070">
        <v>15694.44</v>
      </c>
      <c r="O460" s="3070">
        <v>1611348</v>
      </c>
      <c r="P460" s="3070">
        <v>12750.4</v>
      </c>
      <c r="Q460" s="3070">
        <v>1309084</v>
      </c>
      <c r="R460" s="3070" t="s">
        <v>3227</v>
      </c>
      <c r="S460" s="3070" t="s">
        <v>7034</v>
      </c>
      <c r="T460" s="3070" t="s">
        <v>3258</v>
      </c>
      <c r="U460" s="3070" t="s">
        <v>3259</v>
      </c>
      <c r="V460" s="3070" t="s">
        <v>3230</v>
      </c>
      <c r="Y460" s="3070">
        <v>419084</v>
      </c>
      <c r="Z460" s="3070">
        <v>419084</v>
      </c>
      <c r="AA460" s="3070">
        <v>419084</v>
      </c>
      <c r="AB460" s="3070">
        <v>0</v>
      </c>
      <c r="AC460" s="3070">
        <v>890000</v>
      </c>
      <c r="AD460" s="3070">
        <v>890000</v>
      </c>
      <c r="AE460" s="3070">
        <v>0</v>
      </c>
      <c r="AI460" s="3070" t="s">
        <v>3227</v>
      </c>
      <c r="AJ460" s="3070">
        <v>0</v>
      </c>
      <c r="AK460" s="3070">
        <v>0</v>
      </c>
      <c r="AL460" s="3070">
        <v>0</v>
      </c>
      <c r="AM460" s="3070">
        <v>12750.4</v>
      </c>
      <c r="AN460" s="3070">
        <v>1309084</v>
      </c>
      <c r="AP460" s="3070">
        <v>1309084</v>
      </c>
      <c r="AQ460" s="3072">
        <v>45138</v>
      </c>
      <c r="AT460" s="3073">
        <v>45678</v>
      </c>
      <c r="AV460" s="3070" t="s">
        <v>7035</v>
      </c>
      <c r="AW460" s="3070" t="s">
        <v>7036</v>
      </c>
      <c r="AX460" s="3070" t="s">
        <v>7037</v>
      </c>
      <c r="AY460" s="3070" t="s">
        <v>3250</v>
      </c>
      <c r="BC460" s="3070" t="s">
        <v>3263</v>
      </c>
      <c r="BD460" s="3070" t="s">
        <v>3077</v>
      </c>
      <c r="BI460" s="3070" t="s">
        <v>3235</v>
      </c>
      <c r="BL460" s="3070" t="s">
        <v>7038</v>
      </c>
      <c r="BM460" s="3075">
        <v>44317</v>
      </c>
      <c r="BN460" s="3070">
        <v>103</v>
      </c>
      <c r="BO460" s="3070" t="s">
        <v>3253</v>
      </c>
      <c r="BP460" s="3070" t="s">
        <v>3253</v>
      </c>
      <c r="BR460" s="3070">
        <v>323</v>
      </c>
      <c r="BS460" s="3070" t="s">
        <v>3238</v>
      </c>
      <c r="BZ460" s="3073">
        <v>44142.624305555553</v>
      </c>
      <c r="CA460" s="3070">
        <v>5</v>
      </c>
      <c r="CD460" s="3070" t="s">
        <v>3239</v>
      </c>
      <c r="CF460" s="3070" t="s">
        <v>3091</v>
      </c>
      <c r="CH460" s="3070" t="s">
        <v>3240</v>
      </c>
      <c r="CI460" s="3070">
        <v>0</v>
      </c>
      <c r="CJ460" s="3070" t="s">
        <v>3259</v>
      </c>
      <c r="CK460" s="3070" t="s">
        <v>3250</v>
      </c>
      <c r="CL460" s="3070" t="s">
        <v>3250</v>
      </c>
      <c r="CM460" s="3070">
        <v>1200994.49</v>
      </c>
      <c r="CV460" s="3070" t="s">
        <v>3258</v>
      </c>
      <c r="CW460" s="3070" t="s">
        <v>7039</v>
      </c>
      <c r="CZ460" s="3070">
        <v>213894.57</v>
      </c>
      <c r="DA460" s="3070">
        <v>159426.93</v>
      </c>
      <c r="DB460" s="3070">
        <v>0</v>
      </c>
      <c r="DC460" s="3070">
        <v>0</v>
      </c>
      <c r="DD460" s="3070">
        <v>3290547602</v>
      </c>
      <c r="DE460" s="3070">
        <v>2764253109</v>
      </c>
      <c r="DF460" s="3070">
        <v>1464966739</v>
      </c>
      <c r="DG460" s="3070">
        <v>14938370</v>
      </c>
      <c r="DH460" s="3070">
        <v>1284348000</v>
      </c>
      <c r="DI460" s="3070">
        <v>1278128000</v>
      </c>
      <c r="DJ460" s="3070">
        <v>6220000</v>
      </c>
      <c r="DK460" s="3070">
        <v>0</v>
      </c>
      <c r="DL460" s="3070">
        <v>0</v>
      </c>
      <c r="DM460" s="3070">
        <v>25491817.620000001</v>
      </c>
      <c r="DN460" s="3070">
        <v>2764253109</v>
      </c>
      <c r="DP460" s="3070">
        <v>2764253109</v>
      </c>
    </row>
    <row r="461" spans="1:120">
      <c r="A461" s="3070">
        <v>460</v>
      </c>
      <c r="B461" s="3070" t="s">
        <v>3224</v>
      </c>
      <c r="C461" s="3070">
        <v>5</v>
      </c>
      <c r="E461" s="3070">
        <v>1104</v>
      </c>
      <c r="F461" s="3070" t="s">
        <v>7040</v>
      </c>
      <c r="G461" s="3070" t="s">
        <v>7041</v>
      </c>
      <c r="H461" s="3070">
        <v>1513655</v>
      </c>
      <c r="I461" s="3070">
        <v>1513655</v>
      </c>
      <c r="J461" s="3070">
        <v>114.02</v>
      </c>
      <c r="K461" s="3070">
        <v>82.85</v>
      </c>
      <c r="L461" s="3070">
        <v>0</v>
      </c>
      <c r="M461" s="3070">
        <v>0</v>
      </c>
      <c r="N461" s="3070">
        <v>15444.44</v>
      </c>
      <c r="O461" s="3070">
        <v>1760975</v>
      </c>
      <c r="P461" s="3070">
        <v>13275.35</v>
      </c>
      <c r="Q461" s="3070">
        <v>1513655</v>
      </c>
      <c r="R461" s="3070" t="s">
        <v>3227</v>
      </c>
      <c r="S461" s="3070" t="s">
        <v>7042</v>
      </c>
      <c r="T461" s="3070" t="s">
        <v>3246</v>
      </c>
      <c r="U461" s="3070" t="s">
        <v>3247</v>
      </c>
      <c r="V461" s="3070" t="s">
        <v>3230</v>
      </c>
      <c r="Y461" s="3070">
        <v>513655</v>
      </c>
      <c r="Z461" s="3070">
        <v>513655</v>
      </c>
      <c r="AA461" s="3070">
        <v>513655</v>
      </c>
      <c r="AB461" s="3070">
        <v>0</v>
      </c>
      <c r="AC461" s="3070">
        <v>1000000</v>
      </c>
      <c r="AD461" s="3070">
        <v>1000000</v>
      </c>
      <c r="AE461" s="3070">
        <v>0</v>
      </c>
      <c r="AI461" s="3070" t="s">
        <v>3227</v>
      </c>
      <c r="AJ461" s="3070">
        <v>0</v>
      </c>
      <c r="AK461" s="3070">
        <v>0</v>
      </c>
      <c r="AL461" s="3070">
        <v>0</v>
      </c>
      <c r="AM461" s="3070">
        <v>13275.35</v>
      </c>
      <c r="AN461" s="3070">
        <v>1513655</v>
      </c>
      <c r="AP461" s="3070">
        <v>1513655</v>
      </c>
      <c r="AQ461" s="3072">
        <v>45138</v>
      </c>
      <c r="AT461" s="3073">
        <v>45678</v>
      </c>
      <c r="AV461" s="3074">
        <v>3.21E+17</v>
      </c>
      <c r="AW461" s="3070" t="s">
        <v>7043</v>
      </c>
      <c r="AX461" s="3070" t="s">
        <v>7044</v>
      </c>
      <c r="AY461" s="3070" t="s">
        <v>3250</v>
      </c>
      <c r="BA461" s="3070" t="s">
        <v>3250</v>
      </c>
      <c r="BC461" s="3070" t="s">
        <v>7045</v>
      </c>
      <c r="BD461" s="3070" t="s">
        <v>3077</v>
      </c>
      <c r="BI461" s="3070" t="s">
        <v>3235</v>
      </c>
      <c r="BJ461" s="3070" t="s">
        <v>3338</v>
      </c>
      <c r="BL461" s="3070" t="s">
        <v>7046</v>
      </c>
      <c r="BM461" s="3075">
        <v>44317</v>
      </c>
      <c r="BN461" s="3070">
        <v>104</v>
      </c>
      <c r="BO461" s="3070" t="s">
        <v>3253</v>
      </c>
      <c r="BR461" s="3070">
        <v>0</v>
      </c>
      <c r="BS461" s="3070" t="s">
        <v>3238</v>
      </c>
      <c r="BU461" s="3070" t="s">
        <v>3250</v>
      </c>
      <c r="BZ461" s="3073">
        <v>44167.479166666664</v>
      </c>
      <c r="CA461" s="3070">
        <v>5</v>
      </c>
      <c r="CD461" s="3070" t="s">
        <v>3239</v>
      </c>
      <c r="CF461" s="3070" t="s">
        <v>3091</v>
      </c>
      <c r="CH461" s="3070" t="s">
        <v>3240</v>
      </c>
      <c r="CI461" s="3070">
        <v>0</v>
      </c>
      <c r="CK461" s="3070" t="s">
        <v>3250</v>
      </c>
      <c r="CL461" s="3070" t="s">
        <v>3250</v>
      </c>
      <c r="CM461" s="3070">
        <v>1388674.31</v>
      </c>
      <c r="CV461" s="3070" t="s">
        <v>3246</v>
      </c>
      <c r="CW461" s="3070" t="s">
        <v>7047</v>
      </c>
      <c r="CZ461" s="3070">
        <v>213894.57</v>
      </c>
      <c r="DA461" s="3070">
        <v>159426.93</v>
      </c>
      <c r="DB461" s="3070">
        <v>0</v>
      </c>
      <c r="DC461" s="3070">
        <v>0</v>
      </c>
      <c r="DD461" s="3070">
        <v>3290547602</v>
      </c>
      <c r="DE461" s="3070">
        <v>2764253109</v>
      </c>
      <c r="DF461" s="3070">
        <v>1464966739</v>
      </c>
      <c r="DG461" s="3070">
        <v>14938370</v>
      </c>
      <c r="DH461" s="3070">
        <v>1284348000</v>
      </c>
      <c r="DI461" s="3070">
        <v>1278128000</v>
      </c>
      <c r="DJ461" s="3070">
        <v>6220000</v>
      </c>
      <c r="DK461" s="3070">
        <v>0</v>
      </c>
      <c r="DL461" s="3070">
        <v>0</v>
      </c>
      <c r="DM461" s="3070">
        <v>25491817.620000001</v>
      </c>
      <c r="DN461" s="3070">
        <v>2764253109</v>
      </c>
      <c r="DP461" s="3070">
        <v>2764253109</v>
      </c>
    </row>
    <row r="462" spans="1:120">
      <c r="A462" s="3070">
        <v>461</v>
      </c>
      <c r="B462" s="3070" t="s">
        <v>3224</v>
      </c>
      <c r="C462" s="3070">
        <v>5</v>
      </c>
      <c r="E462" s="3070">
        <v>1201</v>
      </c>
      <c r="F462" s="3070" t="s">
        <v>7048</v>
      </c>
      <c r="G462" s="3070" t="s">
        <v>7049</v>
      </c>
      <c r="H462" s="3070">
        <v>1437542</v>
      </c>
      <c r="I462" s="3070">
        <v>1437542</v>
      </c>
      <c r="J462" s="3070">
        <v>114.02</v>
      </c>
      <c r="K462" s="3070">
        <v>82.85</v>
      </c>
      <c r="L462" s="3070">
        <v>0</v>
      </c>
      <c r="M462" s="3070">
        <v>0</v>
      </c>
      <c r="N462" s="3070">
        <v>15544.44</v>
      </c>
      <c r="O462" s="3070">
        <v>1772377</v>
      </c>
      <c r="P462" s="3070">
        <v>12607.81</v>
      </c>
      <c r="Q462" s="3070">
        <v>1437542</v>
      </c>
      <c r="R462" s="3070" t="s">
        <v>3227</v>
      </c>
      <c r="S462" s="3070" t="s">
        <v>7050</v>
      </c>
      <c r="T462" s="3070" t="s">
        <v>3246</v>
      </c>
      <c r="U462" s="3070" t="s">
        <v>3381</v>
      </c>
      <c r="V462" s="3070" t="s">
        <v>3230</v>
      </c>
      <c r="Y462" s="3070">
        <v>737542</v>
      </c>
      <c r="Z462" s="3070">
        <v>737542</v>
      </c>
      <c r="AA462" s="3070">
        <v>737542</v>
      </c>
      <c r="AB462" s="3070">
        <v>0</v>
      </c>
      <c r="AC462" s="3070">
        <v>700000</v>
      </c>
      <c r="AD462" s="3070">
        <v>700000</v>
      </c>
      <c r="AE462" s="3070">
        <v>0</v>
      </c>
      <c r="AI462" s="3070" t="s">
        <v>3227</v>
      </c>
      <c r="AJ462" s="3070">
        <v>0</v>
      </c>
      <c r="AK462" s="3070">
        <v>0</v>
      </c>
      <c r="AL462" s="3070">
        <v>0</v>
      </c>
      <c r="AM462" s="3070">
        <v>12607.81</v>
      </c>
      <c r="AN462" s="3070">
        <v>1437542</v>
      </c>
      <c r="AP462" s="3070">
        <v>1437542</v>
      </c>
      <c r="AQ462" s="3072">
        <v>45138</v>
      </c>
      <c r="AT462" s="3073">
        <v>45678</v>
      </c>
      <c r="AV462" s="3074">
        <v>3.21E+17</v>
      </c>
      <c r="AW462" s="3070" t="s">
        <v>7051</v>
      </c>
      <c r="AX462" s="3070" t="s">
        <v>7052</v>
      </c>
      <c r="AY462" s="3070" t="s">
        <v>3411</v>
      </c>
      <c r="BC462" s="3070" t="s">
        <v>3284</v>
      </c>
      <c r="BD462" s="3070" t="s">
        <v>3077</v>
      </c>
      <c r="BI462" s="3070" t="s">
        <v>3295</v>
      </c>
      <c r="BJ462" s="3070" t="s">
        <v>3296</v>
      </c>
      <c r="BL462" s="3070" t="s">
        <v>7053</v>
      </c>
      <c r="BM462" s="3075">
        <v>44317</v>
      </c>
      <c r="BN462" s="3070">
        <v>201</v>
      </c>
      <c r="BO462" s="3070" t="s">
        <v>3253</v>
      </c>
      <c r="BR462" s="3070">
        <v>48</v>
      </c>
      <c r="BS462" s="3070" t="s">
        <v>3238</v>
      </c>
      <c r="BZ462" s="3073">
        <v>44144.466666666667</v>
      </c>
      <c r="CA462" s="3070">
        <v>5</v>
      </c>
      <c r="CD462" s="3070" t="s">
        <v>3239</v>
      </c>
      <c r="CF462" s="3070" t="s">
        <v>3091</v>
      </c>
      <c r="CH462" s="3070" t="s">
        <v>3240</v>
      </c>
      <c r="CI462" s="3070">
        <v>0</v>
      </c>
      <c r="CK462" s="3070" t="s">
        <v>3411</v>
      </c>
      <c r="CL462" s="3070" t="s">
        <v>3411</v>
      </c>
      <c r="CM462" s="3070">
        <v>1318845.8700000001</v>
      </c>
      <c r="CV462" s="3070" t="s">
        <v>3246</v>
      </c>
      <c r="CW462" s="3070" t="s">
        <v>7054</v>
      </c>
      <c r="CZ462" s="3070">
        <v>213894.57</v>
      </c>
      <c r="DA462" s="3070">
        <v>159426.93</v>
      </c>
      <c r="DB462" s="3070">
        <v>0</v>
      </c>
      <c r="DC462" s="3070">
        <v>0</v>
      </c>
      <c r="DD462" s="3070">
        <v>3290547602</v>
      </c>
      <c r="DE462" s="3070">
        <v>2764253109</v>
      </c>
      <c r="DF462" s="3070">
        <v>1464966739</v>
      </c>
      <c r="DG462" s="3070">
        <v>14938370</v>
      </c>
      <c r="DH462" s="3070">
        <v>1284348000</v>
      </c>
      <c r="DI462" s="3070">
        <v>1278128000</v>
      </c>
      <c r="DJ462" s="3070">
        <v>6220000</v>
      </c>
      <c r="DK462" s="3070">
        <v>0</v>
      </c>
      <c r="DL462" s="3070">
        <v>0</v>
      </c>
      <c r="DM462" s="3070">
        <v>25491817.620000001</v>
      </c>
      <c r="DN462" s="3070">
        <v>2764253109</v>
      </c>
      <c r="DP462" s="3070">
        <v>2764253109</v>
      </c>
    </row>
    <row r="463" spans="1:120">
      <c r="A463" s="3070">
        <v>462</v>
      </c>
      <c r="B463" s="3070" t="s">
        <v>3224</v>
      </c>
      <c r="C463" s="3070">
        <v>5</v>
      </c>
      <c r="E463" s="3070">
        <v>1202</v>
      </c>
      <c r="F463" s="3070" t="s">
        <v>7055</v>
      </c>
      <c r="G463" s="3070" t="s">
        <v>7056</v>
      </c>
      <c r="H463" s="3070">
        <v>1371930</v>
      </c>
      <c r="I463" s="3070">
        <v>1371930</v>
      </c>
      <c r="J463" s="3070">
        <v>102.67</v>
      </c>
      <c r="K463" s="3070">
        <v>74.61</v>
      </c>
      <c r="L463" s="3070">
        <v>0</v>
      </c>
      <c r="M463" s="3070">
        <v>0</v>
      </c>
      <c r="N463" s="3070">
        <v>15744.44</v>
      </c>
      <c r="O463" s="3070">
        <v>1616482</v>
      </c>
      <c r="P463" s="3070">
        <v>13362.52</v>
      </c>
      <c r="Q463" s="3070">
        <v>1371930</v>
      </c>
      <c r="R463" s="3070" t="s">
        <v>3227</v>
      </c>
      <c r="S463" s="3070" t="s">
        <v>7057</v>
      </c>
      <c r="T463" s="3070" t="s">
        <v>3246</v>
      </c>
      <c r="U463" s="3070" t="s">
        <v>3247</v>
      </c>
      <c r="V463" s="3070" t="s">
        <v>3230</v>
      </c>
      <c r="Y463" s="3070">
        <v>411930</v>
      </c>
      <c r="Z463" s="3070">
        <v>137193</v>
      </c>
      <c r="AA463" s="3070">
        <v>411930</v>
      </c>
      <c r="AB463" s="3070">
        <v>0</v>
      </c>
      <c r="AC463" s="3070">
        <v>960000</v>
      </c>
      <c r="AD463" s="3070">
        <v>960000</v>
      </c>
      <c r="AE463" s="3070">
        <v>0</v>
      </c>
      <c r="AI463" s="3070" t="s">
        <v>3227</v>
      </c>
      <c r="AJ463" s="3070">
        <v>0</v>
      </c>
      <c r="AK463" s="3070">
        <v>0</v>
      </c>
      <c r="AL463" s="3070">
        <v>0</v>
      </c>
      <c r="AM463" s="3070">
        <v>13362.52</v>
      </c>
      <c r="AN463" s="3070">
        <v>1371930</v>
      </c>
      <c r="AP463" s="3070">
        <v>1371930</v>
      </c>
      <c r="AQ463" s="3072">
        <v>45138</v>
      </c>
      <c r="AT463" s="3073">
        <v>45678</v>
      </c>
      <c r="AV463" s="3074">
        <v>3.21E+17</v>
      </c>
      <c r="AW463" s="3070" t="s">
        <v>7058</v>
      </c>
      <c r="AX463" s="3070" t="s">
        <v>7059</v>
      </c>
      <c r="AY463" s="3070" t="s">
        <v>3429</v>
      </c>
      <c r="BC463" s="3070" t="s">
        <v>7060</v>
      </c>
      <c r="BD463" s="3070" t="s">
        <v>3077</v>
      </c>
      <c r="BI463" s="3070" t="s">
        <v>3295</v>
      </c>
      <c r="BJ463" s="3070" t="s">
        <v>3296</v>
      </c>
      <c r="BL463" s="3070" t="s">
        <v>7061</v>
      </c>
      <c r="BM463" s="3075">
        <v>44317</v>
      </c>
      <c r="BN463" s="3070">
        <v>202</v>
      </c>
      <c r="BO463" s="3070" t="s">
        <v>3253</v>
      </c>
      <c r="BR463" s="3070">
        <v>0</v>
      </c>
      <c r="BS463" s="3070" t="s">
        <v>3238</v>
      </c>
      <c r="BZ463" s="3073">
        <v>44157.669444444444</v>
      </c>
      <c r="CA463" s="3070">
        <v>5</v>
      </c>
      <c r="CD463" s="3070" t="s">
        <v>3239</v>
      </c>
      <c r="CF463" s="3070" t="s">
        <v>3091</v>
      </c>
      <c r="CH463" s="3070" t="s">
        <v>3240</v>
      </c>
      <c r="CI463" s="3070">
        <v>0</v>
      </c>
      <c r="CK463" s="3070" t="s">
        <v>3429</v>
      </c>
      <c r="CL463" s="3070" t="s">
        <v>3429</v>
      </c>
      <c r="CM463" s="3070">
        <v>1258651.3700000001</v>
      </c>
      <c r="CV463" s="3070" t="s">
        <v>3246</v>
      </c>
      <c r="CW463" s="3070" t="s">
        <v>7062</v>
      </c>
      <c r="CZ463" s="3070">
        <v>213894.57</v>
      </c>
      <c r="DA463" s="3070">
        <v>159426.93</v>
      </c>
      <c r="DB463" s="3070">
        <v>0</v>
      </c>
      <c r="DC463" s="3070">
        <v>0</v>
      </c>
      <c r="DD463" s="3070">
        <v>3290547602</v>
      </c>
      <c r="DE463" s="3070">
        <v>2764253109</v>
      </c>
      <c r="DF463" s="3070">
        <v>1464966739</v>
      </c>
      <c r="DG463" s="3070">
        <v>14938370</v>
      </c>
      <c r="DH463" s="3070">
        <v>1284348000</v>
      </c>
      <c r="DI463" s="3070">
        <v>1278128000</v>
      </c>
      <c r="DJ463" s="3070">
        <v>6220000</v>
      </c>
      <c r="DK463" s="3070">
        <v>0</v>
      </c>
      <c r="DL463" s="3070">
        <v>0</v>
      </c>
      <c r="DM463" s="3070">
        <v>25491817.620000001</v>
      </c>
      <c r="DN463" s="3070">
        <v>2764253109</v>
      </c>
      <c r="DP463" s="3070">
        <v>2764253109</v>
      </c>
    </row>
    <row r="464" spans="1:120">
      <c r="A464" s="3070">
        <v>463</v>
      </c>
      <c r="B464" s="3070" t="s">
        <v>3224</v>
      </c>
      <c r="C464" s="3070">
        <v>5</v>
      </c>
      <c r="E464" s="3070">
        <v>1203</v>
      </c>
      <c r="F464" s="3070" t="s">
        <v>7063</v>
      </c>
      <c r="G464" s="3070" t="s">
        <v>7064</v>
      </c>
      <c r="H464" s="3070">
        <v>1313963</v>
      </c>
      <c r="I464" s="3070">
        <v>1313963</v>
      </c>
      <c r="J464" s="3070">
        <v>102.67</v>
      </c>
      <c r="K464" s="3070">
        <v>74.61</v>
      </c>
      <c r="L464" s="3070">
        <v>0</v>
      </c>
      <c r="M464" s="3070">
        <v>0</v>
      </c>
      <c r="N464" s="3070">
        <v>15744.44</v>
      </c>
      <c r="O464" s="3070">
        <v>1616482</v>
      </c>
      <c r="P464" s="3070">
        <v>12797.93</v>
      </c>
      <c r="Q464" s="3070">
        <v>1313963</v>
      </c>
      <c r="R464" s="3070" t="s">
        <v>3227</v>
      </c>
      <c r="S464" s="3070" t="s">
        <v>7065</v>
      </c>
      <c r="T464" s="3070" t="s">
        <v>3258</v>
      </c>
      <c r="U464" s="3070" t="s">
        <v>3259</v>
      </c>
      <c r="V464" s="3070" t="s">
        <v>3230</v>
      </c>
      <c r="Y464" s="3070">
        <v>753963</v>
      </c>
      <c r="Z464" s="3070">
        <v>753963</v>
      </c>
      <c r="AA464" s="3070">
        <v>753963</v>
      </c>
      <c r="AB464" s="3070">
        <v>0</v>
      </c>
      <c r="AC464" s="3070">
        <v>560000</v>
      </c>
      <c r="AD464" s="3070">
        <v>560000</v>
      </c>
      <c r="AE464" s="3070">
        <v>0</v>
      </c>
      <c r="AI464" s="3070" t="s">
        <v>3227</v>
      </c>
      <c r="AJ464" s="3070">
        <v>0</v>
      </c>
      <c r="AK464" s="3070">
        <v>0</v>
      </c>
      <c r="AL464" s="3070">
        <v>0</v>
      </c>
      <c r="AM464" s="3070">
        <v>12797.93</v>
      </c>
      <c r="AN464" s="3070">
        <v>1313963</v>
      </c>
      <c r="AP464" s="3070">
        <v>1313963</v>
      </c>
      <c r="AQ464" s="3072">
        <v>45138</v>
      </c>
      <c r="AT464" s="3073">
        <v>45678</v>
      </c>
      <c r="AV464" s="3070" t="s">
        <v>7066</v>
      </c>
      <c r="AW464" s="3070" t="s">
        <v>7067</v>
      </c>
      <c r="AX464" s="3070" t="s">
        <v>7068</v>
      </c>
      <c r="AY464" s="3070" t="s">
        <v>3393</v>
      </c>
      <c r="BC464" s="3070" t="s">
        <v>3365</v>
      </c>
      <c r="BD464" s="3070" t="s">
        <v>3077</v>
      </c>
      <c r="BI464" s="3070" t="s">
        <v>3235</v>
      </c>
      <c r="BJ464" s="3070" t="s">
        <v>3296</v>
      </c>
      <c r="BL464" s="3070" t="s">
        <v>7069</v>
      </c>
      <c r="BM464" s="3075">
        <v>44317</v>
      </c>
      <c r="BN464" s="3070">
        <v>203</v>
      </c>
      <c r="BO464" s="3070" t="s">
        <v>3253</v>
      </c>
      <c r="BP464" s="3070" t="s">
        <v>3253</v>
      </c>
      <c r="BR464" s="3070">
        <v>544</v>
      </c>
      <c r="BS464" s="3070" t="s">
        <v>3238</v>
      </c>
      <c r="BZ464" s="3073">
        <v>44142.655555555553</v>
      </c>
      <c r="CA464" s="3070">
        <v>5</v>
      </c>
      <c r="CD464" s="3070" t="s">
        <v>3239</v>
      </c>
      <c r="CF464" s="3070" t="s">
        <v>3091</v>
      </c>
      <c r="CH464" s="3070" t="s">
        <v>3240</v>
      </c>
      <c r="CI464" s="3070">
        <v>0</v>
      </c>
      <c r="CJ464" s="3070" t="s">
        <v>3259</v>
      </c>
      <c r="CK464" s="3070" t="s">
        <v>3393</v>
      </c>
      <c r="CL464" s="3070" t="s">
        <v>3393</v>
      </c>
      <c r="CM464" s="3070">
        <v>1205470.6399999999</v>
      </c>
      <c r="CV464" s="3070" t="s">
        <v>3258</v>
      </c>
      <c r="CW464" s="3070" t="s">
        <v>7070</v>
      </c>
      <c r="CX464" s="3070" t="s">
        <v>3510</v>
      </c>
      <c r="CZ464" s="3070">
        <v>213894.57</v>
      </c>
      <c r="DA464" s="3070">
        <v>159426.93</v>
      </c>
      <c r="DB464" s="3070">
        <v>0</v>
      </c>
      <c r="DC464" s="3070">
        <v>0</v>
      </c>
      <c r="DD464" s="3070">
        <v>3290547602</v>
      </c>
      <c r="DE464" s="3070">
        <v>2764253109</v>
      </c>
      <c r="DF464" s="3070">
        <v>1464966739</v>
      </c>
      <c r="DG464" s="3070">
        <v>14938370</v>
      </c>
      <c r="DH464" s="3070">
        <v>1284348000</v>
      </c>
      <c r="DI464" s="3070">
        <v>1278128000</v>
      </c>
      <c r="DJ464" s="3070">
        <v>6220000</v>
      </c>
      <c r="DK464" s="3070">
        <v>0</v>
      </c>
      <c r="DL464" s="3070">
        <v>0</v>
      </c>
      <c r="DM464" s="3070">
        <v>25491817.620000001</v>
      </c>
      <c r="DN464" s="3070">
        <v>2764253109</v>
      </c>
      <c r="DP464" s="3070">
        <v>2764253109</v>
      </c>
    </row>
    <row r="465" spans="1:120">
      <c r="A465" s="3070">
        <v>464</v>
      </c>
      <c r="B465" s="3070" t="s">
        <v>3224</v>
      </c>
      <c r="C465" s="3070">
        <v>5</v>
      </c>
      <c r="E465" s="3070">
        <v>1204</v>
      </c>
      <c r="F465" s="3070" t="s">
        <v>7071</v>
      </c>
      <c r="G465" s="3070" t="s">
        <v>7072</v>
      </c>
      <c r="H465" s="3070">
        <v>1432123</v>
      </c>
      <c r="I465" s="3070">
        <v>1432123</v>
      </c>
      <c r="J465" s="3070">
        <v>114.02</v>
      </c>
      <c r="K465" s="3070">
        <v>82.85</v>
      </c>
      <c r="L465" s="3070">
        <v>0</v>
      </c>
      <c r="M465" s="3070">
        <v>0</v>
      </c>
      <c r="N465" s="3070">
        <v>15494.44</v>
      </c>
      <c r="O465" s="3070">
        <v>1766676</v>
      </c>
      <c r="P465" s="3070">
        <v>12560.28</v>
      </c>
      <c r="Q465" s="3070">
        <v>1432123</v>
      </c>
      <c r="R465" s="3070" t="s">
        <v>3227</v>
      </c>
      <c r="S465" s="3070" t="s">
        <v>7073</v>
      </c>
      <c r="T465" s="3070" t="s">
        <v>3246</v>
      </c>
      <c r="U465" s="3070" t="s">
        <v>3259</v>
      </c>
      <c r="V465" s="3070" t="s">
        <v>3230</v>
      </c>
      <c r="Y465" s="3070">
        <v>1102123</v>
      </c>
      <c r="Z465" s="3070">
        <v>1102123</v>
      </c>
      <c r="AA465" s="3070">
        <v>1102123</v>
      </c>
      <c r="AB465" s="3070">
        <v>0</v>
      </c>
      <c r="AC465" s="3070">
        <v>330000</v>
      </c>
      <c r="AD465" s="3070">
        <v>330000</v>
      </c>
      <c r="AE465" s="3070">
        <v>0</v>
      </c>
      <c r="AI465" s="3070" t="s">
        <v>3227</v>
      </c>
      <c r="AJ465" s="3070">
        <v>0</v>
      </c>
      <c r="AK465" s="3070">
        <v>0</v>
      </c>
      <c r="AL465" s="3070">
        <v>0</v>
      </c>
      <c r="AM465" s="3070">
        <v>12560.28</v>
      </c>
      <c r="AN465" s="3070">
        <v>1432123</v>
      </c>
      <c r="AP465" s="3070">
        <v>1432123</v>
      </c>
      <c r="AQ465" s="3072">
        <v>45138</v>
      </c>
      <c r="AT465" s="3073">
        <v>45678</v>
      </c>
      <c r="AV465" s="3070" t="s">
        <v>7074</v>
      </c>
      <c r="AW465" s="3070" t="s">
        <v>7075</v>
      </c>
      <c r="AX465" s="3070" t="s">
        <v>7076</v>
      </c>
      <c r="AY465" s="3070" t="s">
        <v>3429</v>
      </c>
      <c r="BC465" s="3070" t="s">
        <v>3284</v>
      </c>
      <c r="BD465" s="3070" t="s">
        <v>3077</v>
      </c>
      <c r="BI465" s="3070" t="s">
        <v>3235</v>
      </c>
      <c r="BL465" s="3070" t="s">
        <v>7077</v>
      </c>
      <c r="BM465" s="3075">
        <v>44317</v>
      </c>
      <c r="BN465" s="3070">
        <v>204</v>
      </c>
      <c r="BO465" s="3070" t="s">
        <v>3253</v>
      </c>
      <c r="BR465" s="3070">
        <v>703</v>
      </c>
      <c r="BS465" s="3070" t="s">
        <v>3238</v>
      </c>
      <c r="BZ465" s="3073">
        <v>44142.652083333334</v>
      </c>
      <c r="CA465" s="3070">
        <v>5</v>
      </c>
      <c r="CD465" s="3070" t="s">
        <v>3239</v>
      </c>
      <c r="CF465" s="3070" t="s">
        <v>3091</v>
      </c>
      <c r="CH465" s="3070" t="s">
        <v>3240</v>
      </c>
      <c r="CI465" s="3070">
        <v>0</v>
      </c>
      <c r="CK465" s="3070" t="s">
        <v>3429</v>
      </c>
      <c r="CL465" s="3070" t="s">
        <v>3429</v>
      </c>
      <c r="CM465" s="3070">
        <v>1313874.31</v>
      </c>
      <c r="CV465" s="3070" t="s">
        <v>3246</v>
      </c>
      <c r="CW465" s="3070" t="s">
        <v>7078</v>
      </c>
      <c r="CX465" s="3070" t="s">
        <v>3267</v>
      </c>
      <c r="CZ465" s="3070">
        <v>213894.57</v>
      </c>
      <c r="DA465" s="3070">
        <v>159426.93</v>
      </c>
      <c r="DB465" s="3070">
        <v>0</v>
      </c>
      <c r="DC465" s="3070">
        <v>0</v>
      </c>
      <c r="DD465" s="3070">
        <v>3290547602</v>
      </c>
      <c r="DE465" s="3070">
        <v>2764253109</v>
      </c>
      <c r="DF465" s="3070">
        <v>1464966739</v>
      </c>
      <c r="DG465" s="3070">
        <v>14938370</v>
      </c>
      <c r="DH465" s="3070">
        <v>1284348000</v>
      </c>
      <c r="DI465" s="3070">
        <v>1278128000</v>
      </c>
      <c r="DJ465" s="3070">
        <v>6220000</v>
      </c>
      <c r="DK465" s="3070">
        <v>0</v>
      </c>
      <c r="DL465" s="3070">
        <v>0</v>
      </c>
      <c r="DM465" s="3070">
        <v>25491817.620000001</v>
      </c>
      <c r="DN465" s="3070">
        <v>2764253109</v>
      </c>
      <c r="DP465" s="3070">
        <v>2764253109</v>
      </c>
    </row>
    <row r="466" spans="1:120">
      <c r="A466" s="3070">
        <v>465</v>
      </c>
      <c r="B466" s="3070" t="s">
        <v>3224</v>
      </c>
      <c r="C466" s="3070">
        <v>5</v>
      </c>
      <c r="E466" s="3070">
        <v>1301</v>
      </c>
      <c r="F466" s="3070" t="s">
        <v>7079</v>
      </c>
      <c r="G466" s="3070" t="s">
        <v>7080</v>
      </c>
      <c r="H466" s="3070">
        <v>1437542</v>
      </c>
      <c r="I466" s="3070">
        <v>1437542</v>
      </c>
      <c r="J466" s="3070">
        <v>114.02</v>
      </c>
      <c r="K466" s="3070">
        <v>82.85</v>
      </c>
      <c r="L466" s="3070">
        <v>0</v>
      </c>
      <c r="M466" s="3070">
        <v>0</v>
      </c>
      <c r="N466" s="3070">
        <v>15544.44</v>
      </c>
      <c r="O466" s="3070">
        <v>1772377</v>
      </c>
      <c r="P466" s="3070">
        <v>12607.81</v>
      </c>
      <c r="Q466" s="3070">
        <v>1437542</v>
      </c>
      <c r="R466" s="3070" t="s">
        <v>3227</v>
      </c>
      <c r="S466" s="3070" t="s">
        <v>7081</v>
      </c>
      <c r="T466" s="3070" t="s">
        <v>3258</v>
      </c>
      <c r="U466" s="3070" t="s">
        <v>3259</v>
      </c>
      <c r="V466" s="3070" t="s">
        <v>3230</v>
      </c>
      <c r="Y466" s="3070">
        <v>437542</v>
      </c>
      <c r="Z466" s="3070">
        <v>437542</v>
      </c>
      <c r="AA466" s="3070">
        <v>437542</v>
      </c>
      <c r="AB466" s="3070">
        <v>0</v>
      </c>
      <c r="AC466" s="3070">
        <v>1000000</v>
      </c>
      <c r="AD466" s="3070">
        <v>1000000</v>
      </c>
      <c r="AE466" s="3070">
        <v>0</v>
      </c>
      <c r="AI466" s="3070" t="s">
        <v>3227</v>
      </c>
      <c r="AJ466" s="3070">
        <v>0</v>
      </c>
      <c r="AK466" s="3070">
        <v>0</v>
      </c>
      <c r="AL466" s="3070">
        <v>0</v>
      </c>
      <c r="AM466" s="3070">
        <v>12607.81</v>
      </c>
      <c r="AN466" s="3070">
        <v>1437542</v>
      </c>
      <c r="AP466" s="3070">
        <v>1437542</v>
      </c>
      <c r="AQ466" s="3072">
        <v>45138</v>
      </c>
      <c r="AT466" s="3073">
        <v>45678</v>
      </c>
      <c r="AV466" s="3074">
        <v>3.21E+17</v>
      </c>
      <c r="AW466" s="3070" t="s">
        <v>7082</v>
      </c>
      <c r="AX466" s="3070" t="s">
        <v>7083</v>
      </c>
      <c r="AY466" s="3070" t="s">
        <v>3306</v>
      </c>
      <c r="BC466" s="3070" t="s">
        <v>3365</v>
      </c>
      <c r="BD466" s="3070" t="s">
        <v>3077</v>
      </c>
      <c r="BI466" s="3070" t="s">
        <v>3235</v>
      </c>
      <c r="BJ466" s="3070" t="s">
        <v>3338</v>
      </c>
      <c r="BL466" s="3070" t="s">
        <v>7084</v>
      </c>
      <c r="BM466" s="3075">
        <v>44317</v>
      </c>
      <c r="BN466" s="3070">
        <v>301</v>
      </c>
      <c r="BO466" s="3070" t="s">
        <v>3253</v>
      </c>
      <c r="BP466" s="3070" t="s">
        <v>3253</v>
      </c>
      <c r="BR466" s="3070">
        <v>625</v>
      </c>
      <c r="BS466" s="3070" t="s">
        <v>3238</v>
      </c>
      <c r="BZ466" s="3073">
        <v>44142.627083333333</v>
      </c>
      <c r="CA466" s="3070">
        <v>5</v>
      </c>
      <c r="CD466" s="3070" t="s">
        <v>3239</v>
      </c>
      <c r="CF466" s="3070" t="s">
        <v>3091</v>
      </c>
      <c r="CH466" s="3070" t="s">
        <v>3240</v>
      </c>
      <c r="CI466" s="3070">
        <v>0</v>
      </c>
      <c r="CJ466" s="3070" t="s">
        <v>3259</v>
      </c>
      <c r="CK466" s="3070" t="s">
        <v>3306</v>
      </c>
      <c r="CL466" s="3070" t="s">
        <v>3306</v>
      </c>
      <c r="CM466" s="3070">
        <v>1318845.8700000001</v>
      </c>
      <c r="CV466" s="3070" t="s">
        <v>3258</v>
      </c>
      <c r="CW466" s="3070" t="s">
        <v>7085</v>
      </c>
      <c r="CZ466" s="3070">
        <v>213894.57</v>
      </c>
      <c r="DA466" s="3070">
        <v>159426.93</v>
      </c>
      <c r="DB466" s="3070">
        <v>0</v>
      </c>
      <c r="DC466" s="3070">
        <v>0</v>
      </c>
      <c r="DD466" s="3070">
        <v>3290547602</v>
      </c>
      <c r="DE466" s="3070">
        <v>2764253109</v>
      </c>
      <c r="DF466" s="3070">
        <v>1464966739</v>
      </c>
      <c r="DG466" s="3070">
        <v>14938370</v>
      </c>
      <c r="DH466" s="3070">
        <v>1284348000</v>
      </c>
      <c r="DI466" s="3070">
        <v>1278128000</v>
      </c>
      <c r="DJ466" s="3070">
        <v>6220000</v>
      </c>
      <c r="DK466" s="3070">
        <v>0</v>
      </c>
      <c r="DL466" s="3070">
        <v>0</v>
      </c>
      <c r="DM466" s="3070">
        <v>25491817.620000001</v>
      </c>
      <c r="DN466" s="3070">
        <v>2764253109</v>
      </c>
      <c r="DP466" s="3070">
        <v>2764253109</v>
      </c>
    </row>
    <row r="467" spans="1:120">
      <c r="A467" s="3070">
        <v>466</v>
      </c>
      <c r="B467" s="3070" t="s">
        <v>3224</v>
      </c>
      <c r="C467" s="3070">
        <v>5</v>
      </c>
      <c r="E467" s="3070">
        <v>1302</v>
      </c>
      <c r="F467" s="3070" t="s">
        <v>7086</v>
      </c>
      <c r="G467" s="3070" t="s">
        <v>7087</v>
      </c>
      <c r="H467" s="3070">
        <v>1313323</v>
      </c>
      <c r="I467" s="3070">
        <v>1313323</v>
      </c>
      <c r="J467" s="3070">
        <v>102.62</v>
      </c>
      <c r="K467" s="3070">
        <v>74.569999999999993</v>
      </c>
      <c r="L467" s="3070">
        <v>0</v>
      </c>
      <c r="M467" s="3070">
        <v>0</v>
      </c>
      <c r="N467" s="3070">
        <v>15744.44</v>
      </c>
      <c r="O467" s="3070">
        <v>1615694</v>
      </c>
      <c r="P467" s="3070">
        <v>12797.92</v>
      </c>
      <c r="Q467" s="3070">
        <v>1313323</v>
      </c>
      <c r="R467" s="3070" t="s">
        <v>3227</v>
      </c>
      <c r="S467" s="3070" t="s">
        <v>7088</v>
      </c>
      <c r="T467" s="3070" t="s">
        <v>3246</v>
      </c>
      <c r="U467" s="3070" t="s">
        <v>3279</v>
      </c>
      <c r="V467" s="3070" t="s">
        <v>3230</v>
      </c>
      <c r="Y467" s="3070">
        <v>403323</v>
      </c>
      <c r="Z467" s="3070">
        <v>403323</v>
      </c>
      <c r="AA467" s="3070">
        <v>403323</v>
      </c>
      <c r="AB467" s="3070">
        <v>0</v>
      </c>
      <c r="AC467" s="3070">
        <v>910000</v>
      </c>
      <c r="AD467" s="3070">
        <v>910000</v>
      </c>
      <c r="AE467" s="3070">
        <v>0</v>
      </c>
      <c r="AI467" s="3070" t="s">
        <v>3227</v>
      </c>
      <c r="AJ467" s="3070">
        <v>0</v>
      </c>
      <c r="AK467" s="3070">
        <v>0</v>
      </c>
      <c r="AL467" s="3070">
        <v>0</v>
      </c>
      <c r="AM467" s="3070">
        <v>12797.92</v>
      </c>
      <c r="AN467" s="3070">
        <v>1313323</v>
      </c>
      <c r="AP467" s="3070">
        <v>1313323</v>
      </c>
      <c r="AQ467" s="3072">
        <v>45138</v>
      </c>
      <c r="AT467" s="3073">
        <v>45678</v>
      </c>
      <c r="AV467" s="3070" t="s">
        <v>7089</v>
      </c>
      <c r="AW467" s="3070" t="s">
        <v>7090</v>
      </c>
      <c r="AX467" s="3070" t="s">
        <v>7091</v>
      </c>
      <c r="AY467" s="3070" t="s">
        <v>3656</v>
      </c>
      <c r="BC467" s="3070" t="s">
        <v>3284</v>
      </c>
      <c r="BD467" s="3070" t="s">
        <v>3077</v>
      </c>
      <c r="BI467" s="3070" t="s">
        <v>3235</v>
      </c>
      <c r="BJ467" s="3070" t="s">
        <v>3296</v>
      </c>
      <c r="BL467" s="3070" t="s">
        <v>7092</v>
      </c>
      <c r="BM467" s="3075">
        <v>44317</v>
      </c>
      <c r="BN467" s="3070">
        <v>302</v>
      </c>
      <c r="BO467" s="3070" t="s">
        <v>3253</v>
      </c>
      <c r="BR467" s="3070">
        <v>922</v>
      </c>
      <c r="BS467" s="3070" t="s">
        <v>3238</v>
      </c>
      <c r="BZ467" s="3073">
        <v>44142.637499999997</v>
      </c>
      <c r="CA467" s="3070">
        <v>5</v>
      </c>
      <c r="CD467" s="3070" t="s">
        <v>3239</v>
      </c>
      <c r="CF467" s="3070" t="s">
        <v>3091</v>
      </c>
      <c r="CH467" s="3070" t="s">
        <v>3240</v>
      </c>
      <c r="CI467" s="3070">
        <v>0</v>
      </c>
      <c r="CK467" s="3070" t="s">
        <v>3656</v>
      </c>
      <c r="CL467" s="3070" t="s">
        <v>3656</v>
      </c>
      <c r="CM467" s="3070">
        <v>1204883.49</v>
      </c>
      <c r="CV467" s="3070" t="s">
        <v>3246</v>
      </c>
      <c r="CW467" s="3070" t="s">
        <v>7093</v>
      </c>
      <c r="CZ467" s="3070">
        <v>213894.57</v>
      </c>
      <c r="DA467" s="3070">
        <v>159426.93</v>
      </c>
      <c r="DB467" s="3070">
        <v>0</v>
      </c>
      <c r="DC467" s="3070">
        <v>0</v>
      </c>
      <c r="DD467" s="3070">
        <v>3290547602</v>
      </c>
      <c r="DE467" s="3070">
        <v>2764253109</v>
      </c>
      <c r="DF467" s="3070">
        <v>1464966739</v>
      </c>
      <c r="DG467" s="3070">
        <v>14938370</v>
      </c>
      <c r="DH467" s="3070">
        <v>1284348000</v>
      </c>
      <c r="DI467" s="3070">
        <v>1278128000</v>
      </c>
      <c r="DJ467" s="3070">
        <v>6220000</v>
      </c>
      <c r="DK467" s="3070">
        <v>0</v>
      </c>
      <c r="DL467" s="3070">
        <v>0</v>
      </c>
      <c r="DM467" s="3070">
        <v>25491817.620000001</v>
      </c>
      <c r="DN467" s="3070">
        <v>2764253109</v>
      </c>
      <c r="DP467" s="3070">
        <v>2764253109</v>
      </c>
    </row>
    <row r="468" spans="1:120">
      <c r="A468" s="3070">
        <v>467</v>
      </c>
      <c r="B468" s="3070" t="s">
        <v>3224</v>
      </c>
      <c r="C468" s="3070">
        <v>5</v>
      </c>
      <c r="E468" s="3070">
        <v>1303</v>
      </c>
      <c r="F468" s="3070" t="s">
        <v>7094</v>
      </c>
      <c r="G468" s="3070" t="s">
        <v>7095</v>
      </c>
      <c r="H468" s="3070">
        <v>1312555</v>
      </c>
      <c r="I468" s="3070">
        <v>1312555</v>
      </c>
      <c r="J468" s="3070">
        <v>102.56</v>
      </c>
      <c r="K468" s="3070">
        <v>74.53</v>
      </c>
      <c r="L468" s="3070">
        <v>0</v>
      </c>
      <c r="M468" s="3070">
        <v>0</v>
      </c>
      <c r="N468" s="3070">
        <v>15744.44</v>
      </c>
      <c r="O468" s="3070">
        <v>1614750</v>
      </c>
      <c r="P468" s="3070">
        <v>12797.92</v>
      </c>
      <c r="Q468" s="3070">
        <v>1312555</v>
      </c>
      <c r="R468" s="3070" t="s">
        <v>3227</v>
      </c>
      <c r="S468" s="3070" t="s">
        <v>7096</v>
      </c>
      <c r="T468" s="3070" t="s">
        <v>3246</v>
      </c>
      <c r="U468" s="3070" t="s">
        <v>3247</v>
      </c>
      <c r="V468" s="3070" t="s">
        <v>3230</v>
      </c>
      <c r="Y468" s="3070">
        <v>402555</v>
      </c>
      <c r="Z468" s="3070">
        <v>402555</v>
      </c>
      <c r="AA468" s="3070">
        <v>402555</v>
      </c>
      <c r="AB468" s="3070">
        <v>0</v>
      </c>
      <c r="AC468" s="3070">
        <v>910000</v>
      </c>
      <c r="AD468" s="3070">
        <v>910000</v>
      </c>
      <c r="AE468" s="3070">
        <v>0</v>
      </c>
      <c r="AI468" s="3070" t="s">
        <v>3227</v>
      </c>
      <c r="AJ468" s="3070">
        <v>0</v>
      </c>
      <c r="AK468" s="3070">
        <v>0</v>
      </c>
      <c r="AL468" s="3070">
        <v>0</v>
      </c>
      <c r="AM468" s="3070">
        <v>12797.92</v>
      </c>
      <c r="AN468" s="3070">
        <v>1312555</v>
      </c>
      <c r="AP468" s="3070">
        <v>1312555</v>
      </c>
      <c r="AQ468" s="3072">
        <v>45138</v>
      </c>
      <c r="AT468" s="3073">
        <v>45678</v>
      </c>
      <c r="AV468" s="3070" t="s">
        <v>7097</v>
      </c>
      <c r="AW468" s="3070" t="s">
        <v>7098</v>
      </c>
      <c r="AX468" s="3070" t="s">
        <v>7099</v>
      </c>
      <c r="AY468" s="3070" t="s">
        <v>3722</v>
      </c>
      <c r="BC468" s="3070" t="s">
        <v>3284</v>
      </c>
      <c r="BD468" s="3070" t="s">
        <v>3077</v>
      </c>
      <c r="BI468" s="3070" t="s">
        <v>3235</v>
      </c>
      <c r="BJ468" s="3070" t="s">
        <v>3682</v>
      </c>
      <c r="BL468" s="3070" t="s">
        <v>7100</v>
      </c>
      <c r="BM468" s="3075">
        <v>44317</v>
      </c>
      <c r="BN468" s="3070">
        <v>303</v>
      </c>
      <c r="BO468" s="3070" t="s">
        <v>3253</v>
      </c>
      <c r="BR468" s="3070">
        <v>34</v>
      </c>
      <c r="BS468" s="3070" t="s">
        <v>3238</v>
      </c>
      <c r="BZ468" s="3073">
        <v>44145.48333333333</v>
      </c>
      <c r="CA468" s="3070">
        <v>5</v>
      </c>
      <c r="CD468" s="3070" t="s">
        <v>3239</v>
      </c>
      <c r="CF468" s="3070" t="s">
        <v>3091</v>
      </c>
      <c r="CH468" s="3070" t="s">
        <v>3240</v>
      </c>
      <c r="CI468" s="3070">
        <v>0</v>
      </c>
      <c r="CK468" s="3070" t="s">
        <v>3722</v>
      </c>
      <c r="CL468" s="3070" t="s">
        <v>3722</v>
      </c>
      <c r="CM468" s="3070">
        <v>1204178.8999999999</v>
      </c>
      <c r="CV468" s="3070" t="s">
        <v>3246</v>
      </c>
      <c r="CW468" s="3070" t="s">
        <v>7101</v>
      </c>
      <c r="CX468" s="3070" t="s">
        <v>3510</v>
      </c>
      <c r="CZ468" s="3070">
        <v>213894.57</v>
      </c>
      <c r="DA468" s="3070">
        <v>159426.93</v>
      </c>
      <c r="DB468" s="3070">
        <v>0</v>
      </c>
      <c r="DC468" s="3070">
        <v>0</v>
      </c>
      <c r="DD468" s="3070">
        <v>3290547602</v>
      </c>
      <c r="DE468" s="3070">
        <v>2764253109</v>
      </c>
      <c r="DF468" s="3070">
        <v>1464966739</v>
      </c>
      <c r="DG468" s="3070">
        <v>14938370</v>
      </c>
      <c r="DH468" s="3070">
        <v>1284348000</v>
      </c>
      <c r="DI468" s="3070">
        <v>1278128000</v>
      </c>
      <c r="DJ468" s="3070">
        <v>6220000</v>
      </c>
      <c r="DK468" s="3070">
        <v>0</v>
      </c>
      <c r="DL468" s="3070">
        <v>0</v>
      </c>
      <c r="DM468" s="3070">
        <v>25491817.620000001</v>
      </c>
      <c r="DN468" s="3070">
        <v>2764253109</v>
      </c>
      <c r="DP468" s="3070">
        <v>2764253109</v>
      </c>
    </row>
    <row r="469" spans="1:120">
      <c r="A469" s="3070">
        <v>468</v>
      </c>
      <c r="B469" s="3070" t="s">
        <v>3224</v>
      </c>
      <c r="C469" s="3070">
        <v>5</v>
      </c>
      <c r="E469" s="3070">
        <v>1304</v>
      </c>
      <c r="F469" s="3070" t="s">
        <v>7102</v>
      </c>
      <c r="G469" s="3070" t="s">
        <v>7103</v>
      </c>
      <c r="H469" s="3070">
        <v>1432123</v>
      </c>
      <c r="I469" s="3070">
        <v>1432123</v>
      </c>
      <c r="J469" s="3070">
        <v>114.02</v>
      </c>
      <c r="K469" s="3070">
        <v>82.85</v>
      </c>
      <c r="L469" s="3070">
        <v>0</v>
      </c>
      <c r="M469" s="3070">
        <v>0</v>
      </c>
      <c r="N469" s="3070">
        <v>15494.44</v>
      </c>
      <c r="O469" s="3070">
        <v>1766676</v>
      </c>
      <c r="P469" s="3070">
        <v>12560.28</v>
      </c>
      <c r="Q469" s="3070">
        <v>1432123</v>
      </c>
      <c r="R469" s="3070" t="s">
        <v>3227</v>
      </c>
      <c r="S469" s="3070" t="s">
        <v>7104</v>
      </c>
      <c r="T469" s="3070" t="s">
        <v>3258</v>
      </c>
      <c r="U469" s="3070" t="s">
        <v>3259</v>
      </c>
      <c r="V469" s="3070" t="s">
        <v>3230</v>
      </c>
      <c r="Y469" s="3070">
        <v>832123</v>
      </c>
      <c r="Z469" s="3070">
        <v>832123</v>
      </c>
      <c r="AA469" s="3070">
        <v>832123</v>
      </c>
      <c r="AB469" s="3070">
        <v>0</v>
      </c>
      <c r="AC469" s="3070">
        <v>600000</v>
      </c>
      <c r="AD469" s="3070">
        <v>600000</v>
      </c>
      <c r="AE469" s="3070">
        <v>0</v>
      </c>
      <c r="AI469" s="3070" t="s">
        <v>3227</v>
      </c>
      <c r="AJ469" s="3070">
        <v>0</v>
      </c>
      <c r="AK469" s="3070">
        <v>0</v>
      </c>
      <c r="AL469" s="3070">
        <v>0</v>
      </c>
      <c r="AM469" s="3070">
        <v>12560.28</v>
      </c>
      <c r="AN469" s="3070">
        <v>1432123</v>
      </c>
      <c r="AP469" s="3070">
        <v>1432123</v>
      </c>
      <c r="AQ469" s="3072">
        <v>45138</v>
      </c>
      <c r="AT469" s="3073">
        <v>45678</v>
      </c>
      <c r="AV469" s="3070" t="s">
        <v>7105</v>
      </c>
      <c r="AW469" s="3070" t="s">
        <v>7106</v>
      </c>
      <c r="AX469" s="3070" t="s">
        <v>7107</v>
      </c>
      <c r="AY469" s="3070" t="s">
        <v>5106</v>
      </c>
      <c r="BC469" s="3070" t="s">
        <v>3263</v>
      </c>
      <c r="BD469" s="3070" t="s">
        <v>3077</v>
      </c>
      <c r="BI469" s="3070" t="s">
        <v>3235</v>
      </c>
      <c r="BL469" s="3070" t="s">
        <v>7108</v>
      </c>
      <c r="BM469" s="3075">
        <v>44317</v>
      </c>
      <c r="BN469" s="3070">
        <v>304</v>
      </c>
      <c r="BO469" s="3070" t="s">
        <v>3253</v>
      </c>
      <c r="BP469" s="3070" t="s">
        <v>3253</v>
      </c>
      <c r="BR469" s="3070">
        <v>134</v>
      </c>
      <c r="BS469" s="3070" t="s">
        <v>3238</v>
      </c>
      <c r="BZ469" s="3073">
        <v>44150.731944444444</v>
      </c>
      <c r="CA469" s="3070">
        <v>5</v>
      </c>
      <c r="CD469" s="3070" t="s">
        <v>3239</v>
      </c>
      <c r="CF469" s="3070" t="s">
        <v>3091</v>
      </c>
      <c r="CH469" s="3070" t="s">
        <v>3240</v>
      </c>
      <c r="CI469" s="3070">
        <v>0</v>
      </c>
      <c r="CJ469" s="3070" t="s">
        <v>3259</v>
      </c>
      <c r="CK469" s="3070" t="s">
        <v>5106</v>
      </c>
      <c r="CL469" s="3070" t="s">
        <v>5106</v>
      </c>
      <c r="CM469" s="3070">
        <v>1313874.31</v>
      </c>
      <c r="CV469" s="3070" t="s">
        <v>3258</v>
      </c>
      <c r="CW469" s="3070" t="s">
        <v>7109</v>
      </c>
      <c r="CX469" s="3070" t="s">
        <v>3267</v>
      </c>
      <c r="CZ469" s="3070">
        <v>213894.57</v>
      </c>
      <c r="DA469" s="3070">
        <v>159426.93</v>
      </c>
      <c r="DB469" s="3070">
        <v>0</v>
      </c>
      <c r="DC469" s="3070">
        <v>0</v>
      </c>
      <c r="DD469" s="3070">
        <v>3290547602</v>
      </c>
      <c r="DE469" s="3070">
        <v>2764253109</v>
      </c>
      <c r="DF469" s="3070">
        <v>1464966739</v>
      </c>
      <c r="DG469" s="3070">
        <v>14938370</v>
      </c>
      <c r="DH469" s="3070">
        <v>1284348000</v>
      </c>
      <c r="DI469" s="3070">
        <v>1278128000</v>
      </c>
      <c r="DJ469" s="3070">
        <v>6220000</v>
      </c>
      <c r="DK469" s="3070">
        <v>0</v>
      </c>
      <c r="DL469" s="3070">
        <v>0</v>
      </c>
      <c r="DM469" s="3070">
        <v>25491817.620000001</v>
      </c>
      <c r="DN469" s="3070">
        <v>2764253109</v>
      </c>
      <c r="DP469" s="3070">
        <v>2764253109</v>
      </c>
    </row>
    <row r="470" spans="1:120">
      <c r="A470" s="3070">
        <v>469</v>
      </c>
      <c r="B470" s="3070" t="s">
        <v>3224</v>
      </c>
      <c r="C470" s="3070">
        <v>5</v>
      </c>
      <c r="E470" s="3070">
        <v>1401</v>
      </c>
      <c r="F470" s="3070" t="s">
        <v>7110</v>
      </c>
      <c r="G470" s="3070" t="s">
        <v>7111</v>
      </c>
      <c r="H470" s="3070">
        <v>1426703</v>
      </c>
      <c r="I470" s="3070">
        <v>1426703</v>
      </c>
      <c r="J470" s="3070">
        <v>114.02</v>
      </c>
      <c r="K470" s="3070">
        <v>82.85</v>
      </c>
      <c r="L470" s="3070">
        <v>0</v>
      </c>
      <c r="M470" s="3070">
        <v>0</v>
      </c>
      <c r="N470" s="3070">
        <v>15444.44</v>
      </c>
      <c r="O470" s="3070">
        <v>1760975</v>
      </c>
      <c r="P470" s="3070">
        <v>12512.74</v>
      </c>
      <c r="Q470" s="3070">
        <v>1426703</v>
      </c>
      <c r="R470" s="3070" t="s">
        <v>3227</v>
      </c>
      <c r="S470" s="3070" t="s">
        <v>7112</v>
      </c>
      <c r="T470" s="3070" t="s">
        <v>3246</v>
      </c>
      <c r="U470" s="3070" t="s">
        <v>3371</v>
      </c>
      <c r="V470" s="3070" t="s">
        <v>3230</v>
      </c>
      <c r="Y470" s="3070">
        <v>706703</v>
      </c>
      <c r="Z470" s="3070">
        <v>706703</v>
      </c>
      <c r="AA470" s="3070">
        <v>706703</v>
      </c>
      <c r="AB470" s="3070">
        <v>0</v>
      </c>
      <c r="AC470" s="3070">
        <v>720000</v>
      </c>
      <c r="AD470" s="3070">
        <v>720000</v>
      </c>
      <c r="AE470" s="3070">
        <v>0</v>
      </c>
      <c r="AI470" s="3070" t="s">
        <v>3227</v>
      </c>
      <c r="AJ470" s="3070">
        <v>0</v>
      </c>
      <c r="AK470" s="3070">
        <v>0</v>
      </c>
      <c r="AL470" s="3070">
        <v>0</v>
      </c>
      <c r="AM470" s="3070">
        <v>12512.74</v>
      </c>
      <c r="AN470" s="3070">
        <v>1426703</v>
      </c>
      <c r="AP470" s="3070">
        <v>1426703</v>
      </c>
      <c r="AQ470" s="3072">
        <v>45138</v>
      </c>
      <c r="AT470" s="3073">
        <v>45678</v>
      </c>
      <c r="AV470" s="3074">
        <v>3.21E+17</v>
      </c>
      <c r="AW470" s="3070" t="s">
        <v>7113</v>
      </c>
      <c r="AX470" s="3070" t="s">
        <v>7114</v>
      </c>
      <c r="AY470" s="3070" t="s">
        <v>3306</v>
      </c>
      <c r="BC470" s="3070" t="s">
        <v>3284</v>
      </c>
      <c r="BD470" s="3070" t="s">
        <v>3077</v>
      </c>
      <c r="BI470" s="3070" t="s">
        <v>3235</v>
      </c>
      <c r="BL470" s="3070" t="s">
        <v>7115</v>
      </c>
      <c r="BM470" s="3075">
        <v>44317</v>
      </c>
      <c r="BN470" s="3070">
        <v>401</v>
      </c>
      <c r="BO470" s="3070" t="s">
        <v>3253</v>
      </c>
      <c r="BR470" s="3070">
        <v>562</v>
      </c>
      <c r="BS470" s="3070" t="s">
        <v>3238</v>
      </c>
      <c r="BZ470" s="3073">
        <v>44153.845833333333</v>
      </c>
      <c r="CA470" s="3070">
        <v>5</v>
      </c>
      <c r="CD470" s="3070" t="s">
        <v>3239</v>
      </c>
      <c r="CF470" s="3070" t="s">
        <v>3091</v>
      </c>
      <c r="CH470" s="3070" t="s">
        <v>3240</v>
      </c>
      <c r="CI470" s="3070">
        <v>0</v>
      </c>
      <c r="CK470" s="3070" t="s">
        <v>3306</v>
      </c>
      <c r="CL470" s="3070" t="s">
        <v>3306</v>
      </c>
      <c r="CM470" s="3070">
        <v>1308901.83</v>
      </c>
      <c r="CV470" s="3070" t="s">
        <v>3246</v>
      </c>
      <c r="CW470" s="3070" t="s">
        <v>7116</v>
      </c>
      <c r="CZ470" s="3070">
        <v>213894.57</v>
      </c>
      <c r="DA470" s="3070">
        <v>159426.93</v>
      </c>
      <c r="DB470" s="3070">
        <v>0</v>
      </c>
      <c r="DC470" s="3070">
        <v>0</v>
      </c>
      <c r="DD470" s="3070">
        <v>3290547602</v>
      </c>
      <c r="DE470" s="3070">
        <v>2764253109</v>
      </c>
      <c r="DF470" s="3070">
        <v>1464966739</v>
      </c>
      <c r="DG470" s="3070">
        <v>14938370</v>
      </c>
      <c r="DH470" s="3070">
        <v>1284348000</v>
      </c>
      <c r="DI470" s="3070">
        <v>1278128000</v>
      </c>
      <c r="DJ470" s="3070">
        <v>6220000</v>
      </c>
      <c r="DK470" s="3070">
        <v>0</v>
      </c>
      <c r="DL470" s="3070">
        <v>0</v>
      </c>
      <c r="DM470" s="3070">
        <v>25491817.620000001</v>
      </c>
      <c r="DN470" s="3070">
        <v>2764253109</v>
      </c>
      <c r="DP470" s="3070">
        <v>2764253109</v>
      </c>
    </row>
    <row r="471" spans="1:120">
      <c r="A471" s="3070">
        <v>470</v>
      </c>
      <c r="B471" s="3070" t="s">
        <v>3224</v>
      </c>
      <c r="C471" s="3070">
        <v>5</v>
      </c>
      <c r="E471" s="3070">
        <v>1402</v>
      </c>
      <c r="F471" s="3070" t="s">
        <v>7117</v>
      </c>
      <c r="G471" s="3070" t="s">
        <v>7118</v>
      </c>
      <c r="H471" s="3070">
        <v>1303568</v>
      </c>
      <c r="I471" s="3070">
        <v>1303568</v>
      </c>
      <c r="J471" s="3070">
        <v>102.62</v>
      </c>
      <c r="K471" s="3070">
        <v>74.569999999999993</v>
      </c>
      <c r="L471" s="3070">
        <v>0</v>
      </c>
      <c r="M471" s="3070">
        <v>0</v>
      </c>
      <c r="N471" s="3070">
        <v>15644.44</v>
      </c>
      <c r="O471" s="3070">
        <v>1605432</v>
      </c>
      <c r="P471" s="3070">
        <v>12702.86</v>
      </c>
      <c r="Q471" s="3070">
        <v>1303568</v>
      </c>
      <c r="R471" s="3070" t="s">
        <v>3227</v>
      </c>
      <c r="S471" s="3070" t="s">
        <v>7119</v>
      </c>
      <c r="T471" s="3070" t="s">
        <v>3258</v>
      </c>
      <c r="U471" s="3070" t="s">
        <v>3259</v>
      </c>
      <c r="V471" s="3070" t="s">
        <v>3230</v>
      </c>
      <c r="Y471" s="3070">
        <v>393568</v>
      </c>
      <c r="Z471" s="3070">
        <v>130357</v>
      </c>
      <c r="AA471" s="3070">
        <v>393568</v>
      </c>
      <c r="AB471" s="3070">
        <v>0</v>
      </c>
      <c r="AC471" s="3070">
        <v>910000</v>
      </c>
      <c r="AD471" s="3070">
        <v>910000</v>
      </c>
      <c r="AE471" s="3070">
        <v>0</v>
      </c>
      <c r="AI471" s="3070" t="s">
        <v>3227</v>
      </c>
      <c r="AJ471" s="3070">
        <v>0</v>
      </c>
      <c r="AK471" s="3070">
        <v>0</v>
      </c>
      <c r="AL471" s="3070">
        <v>0</v>
      </c>
      <c r="AM471" s="3070">
        <v>12702.86</v>
      </c>
      <c r="AN471" s="3070">
        <v>1303568</v>
      </c>
      <c r="AP471" s="3070">
        <v>1303568</v>
      </c>
      <c r="AQ471" s="3072">
        <v>45138</v>
      </c>
      <c r="AT471" s="3073">
        <v>45678</v>
      </c>
      <c r="AV471" s="3070" t="s">
        <v>7120</v>
      </c>
      <c r="AW471" s="3070" t="s">
        <v>7121</v>
      </c>
      <c r="AX471" s="3070" t="s">
        <v>7122</v>
      </c>
      <c r="AY471" s="3070" t="s">
        <v>3273</v>
      </c>
      <c r="BC471" s="3070" t="s">
        <v>3263</v>
      </c>
      <c r="BD471" s="3070" t="s">
        <v>3077</v>
      </c>
      <c r="BI471" s="3070" t="s">
        <v>3235</v>
      </c>
      <c r="BJ471" s="3070" t="s">
        <v>3338</v>
      </c>
      <c r="BL471" s="3070" t="s">
        <v>7123</v>
      </c>
      <c r="BM471" s="3075">
        <v>44317</v>
      </c>
      <c r="BN471" s="3070">
        <v>402</v>
      </c>
      <c r="BO471" s="3070" t="s">
        <v>3253</v>
      </c>
      <c r="BP471" s="3070" t="s">
        <v>3253</v>
      </c>
      <c r="BR471" s="3070">
        <v>189</v>
      </c>
      <c r="BS471" s="3070" t="s">
        <v>3238</v>
      </c>
      <c r="BZ471" s="3073">
        <v>44150.734027777777</v>
      </c>
      <c r="CA471" s="3070">
        <v>5</v>
      </c>
      <c r="CD471" s="3070" t="s">
        <v>3239</v>
      </c>
      <c r="CF471" s="3070" t="s">
        <v>3091</v>
      </c>
      <c r="CH471" s="3070" t="s">
        <v>3240</v>
      </c>
      <c r="CI471" s="3070">
        <v>0</v>
      </c>
      <c r="CJ471" s="3070" t="s">
        <v>3259</v>
      </c>
      <c r="CK471" s="3070" t="s">
        <v>3273</v>
      </c>
      <c r="CL471" s="3070" t="s">
        <v>3273</v>
      </c>
      <c r="CM471" s="3070">
        <v>1195933.94</v>
      </c>
      <c r="CV471" s="3070" t="s">
        <v>3258</v>
      </c>
      <c r="CW471" s="3070" t="s">
        <v>7124</v>
      </c>
      <c r="CZ471" s="3070">
        <v>213894.57</v>
      </c>
      <c r="DA471" s="3070">
        <v>159426.93</v>
      </c>
      <c r="DB471" s="3070">
        <v>0</v>
      </c>
      <c r="DC471" s="3070">
        <v>0</v>
      </c>
      <c r="DD471" s="3070">
        <v>3290547602</v>
      </c>
      <c r="DE471" s="3070">
        <v>2764253109</v>
      </c>
      <c r="DF471" s="3070">
        <v>1464966739</v>
      </c>
      <c r="DG471" s="3070">
        <v>14938370</v>
      </c>
      <c r="DH471" s="3070">
        <v>1284348000</v>
      </c>
      <c r="DI471" s="3070">
        <v>1278128000</v>
      </c>
      <c r="DJ471" s="3070">
        <v>6220000</v>
      </c>
      <c r="DK471" s="3070">
        <v>0</v>
      </c>
      <c r="DL471" s="3070">
        <v>0</v>
      </c>
      <c r="DM471" s="3070">
        <v>25491817.620000001</v>
      </c>
      <c r="DN471" s="3070">
        <v>2764253109</v>
      </c>
      <c r="DP471" s="3070">
        <v>2764253109</v>
      </c>
    </row>
    <row r="472" spans="1:120">
      <c r="A472" s="3070">
        <v>471</v>
      </c>
      <c r="B472" s="3070" t="s">
        <v>3224</v>
      </c>
      <c r="C472" s="3070">
        <v>5</v>
      </c>
      <c r="E472" s="3070">
        <v>1403</v>
      </c>
      <c r="F472" s="3070" t="s">
        <v>7125</v>
      </c>
      <c r="G472" s="3070" t="s">
        <v>7126</v>
      </c>
      <c r="H472" s="3070">
        <v>1302806</v>
      </c>
      <c r="I472" s="3070">
        <v>1302806</v>
      </c>
      <c r="J472" s="3070">
        <v>102.56</v>
      </c>
      <c r="K472" s="3070">
        <v>74.53</v>
      </c>
      <c r="L472" s="3070">
        <v>0</v>
      </c>
      <c r="M472" s="3070">
        <v>0</v>
      </c>
      <c r="N472" s="3070">
        <v>15644.44</v>
      </c>
      <c r="O472" s="3070">
        <v>1604494</v>
      </c>
      <c r="P472" s="3070">
        <v>12702.87</v>
      </c>
      <c r="Q472" s="3070">
        <v>1302806</v>
      </c>
      <c r="R472" s="3070" t="s">
        <v>3227</v>
      </c>
      <c r="S472" s="3070" t="s">
        <v>7127</v>
      </c>
      <c r="T472" s="3070" t="s">
        <v>3258</v>
      </c>
      <c r="U472" s="3070" t="s">
        <v>3259</v>
      </c>
      <c r="V472" s="3070" t="s">
        <v>3230</v>
      </c>
      <c r="Y472" s="3070">
        <v>622806</v>
      </c>
      <c r="Z472" s="3070">
        <v>622806</v>
      </c>
      <c r="AA472" s="3070">
        <v>622806</v>
      </c>
      <c r="AB472" s="3070">
        <v>0</v>
      </c>
      <c r="AC472" s="3070">
        <v>680000</v>
      </c>
      <c r="AD472" s="3070">
        <v>680000</v>
      </c>
      <c r="AE472" s="3070">
        <v>0</v>
      </c>
      <c r="AI472" s="3070" t="s">
        <v>3227</v>
      </c>
      <c r="AJ472" s="3070">
        <v>0</v>
      </c>
      <c r="AK472" s="3070">
        <v>0</v>
      </c>
      <c r="AL472" s="3070">
        <v>0</v>
      </c>
      <c r="AM472" s="3070">
        <v>12702.87</v>
      </c>
      <c r="AN472" s="3070">
        <v>1302806</v>
      </c>
      <c r="AP472" s="3070">
        <v>1302806</v>
      </c>
      <c r="AQ472" s="3072">
        <v>45138</v>
      </c>
      <c r="AT472" s="3073">
        <v>45678</v>
      </c>
      <c r="AV472" s="3070" t="s">
        <v>7128</v>
      </c>
      <c r="AW472" s="3070" t="s">
        <v>7129</v>
      </c>
      <c r="AX472" s="3070" t="s">
        <v>7130</v>
      </c>
      <c r="AY472" s="3070" t="s">
        <v>3681</v>
      </c>
      <c r="BC472" s="3070" t="s">
        <v>3263</v>
      </c>
      <c r="BD472" s="3070" t="s">
        <v>3077</v>
      </c>
      <c r="BI472" s="3070" t="s">
        <v>3235</v>
      </c>
      <c r="BJ472" s="3070" t="s">
        <v>3285</v>
      </c>
      <c r="BL472" s="3070" t="s">
        <v>7131</v>
      </c>
      <c r="BM472" s="3075">
        <v>44317</v>
      </c>
      <c r="BN472" s="3070">
        <v>403</v>
      </c>
      <c r="BO472" s="3070" t="s">
        <v>3253</v>
      </c>
      <c r="BP472" s="3070" t="s">
        <v>3253</v>
      </c>
      <c r="BR472" s="3070">
        <v>437</v>
      </c>
      <c r="BS472" s="3070" t="s">
        <v>3238</v>
      </c>
      <c r="BZ472" s="3073">
        <v>44143.751388888886</v>
      </c>
      <c r="CA472" s="3070">
        <v>5</v>
      </c>
      <c r="CD472" s="3070" t="s">
        <v>3239</v>
      </c>
      <c r="CF472" s="3070" t="s">
        <v>3091</v>
      </c>
      <c r="CH472" s="3070" t="s">
        <v>3240</v>
      </c>
      <c r="CI472" s="3070">
        <v>0</v>
      </c>
      <c r="CJ472" s="3070" t="s">
        <v>3259</v>
      </c>
      <c r="CK472" s="3070" t="s">
        <v>3681</v>
      </c>
      <c r="CL472" s="3070" t="s">
        <v>3681</v>
      </c>
      <c r="CM472" s="3070">
        <v>1195234.8600000001</v>
      </c>
      <c r="CV472" s="3070" t="s">
        <v>3258</v>
      </c>
      <c r="CW472" s="3070" t="s">
        <v>7132</v>
      </c>
      <c r="CX472" s="3070" t="s">
        <v>3242</v>
      </c>
      <c r="CZ472" s="3070">
        <v>213894.57</v>
      </c>
      <c r="DA472" s="3070">
        <v>159426.93</v>
      </c>
      <c r="DB472" s="3070">
        <v>0</v>
      </c>
      <c r="DC472" s="3070">
        <v>0</v>
      </c>
      <c r="DD472" s="3070">
        <v>3290547602</v>
      </c>
      <c r="DE472" s="3070">
        <v>2764253109</v>
      </c>
      <c r="DF472" s="3070">
        <v>1464966739</v>
      </c>
      <c r="DG472" s="3070">
        <v>14938370</v>
      </c>
      <c r="DH472" s="3070">
        <v>1284348000</v>
      </c>
      <c r="DI472" s="3070">
        <v>1278128000</v>
      </c>
      <c r="DJ472" s="3070">
        <v>6220000</v>
      </c>
      <c r="DK472" s="3070">
        <v>0</v>
      </c>
      <c r="DL472" s="3070">
        <v>0</v>
      </c>
      <c r="DM472" s="3070">
        <v>25491817.620000001</v>
      </c>
      <c r="DN472" s="3070">
        <v>2764253109</v>
      </c>
      <c r="DP472" s="3070">
        <v>2764253109</v>
      </c>
    </row>
    <row r="473" spans="1:120">
      <c r="A473" s="3070">
        <v>472</v>
      </c>
      <c r="B473" s="3070" t="s">
        <v>3224</v>
      </c>
      <c r="C473" s="3070">
        <v>5</v>
      </c>
      <c r="E473" s="3070">
        <v>1404</v>
      </c>
      <c r="F473" s="3070" t="s">
        <v>7133</v>
      </c>
      <c r="G473" s="3070" t="s">
        <v>7134</v>
      </c>
      <c r="H473" s="3070">
        <v>1369889</v>
      </c>
      <c r="I473" s="3070">
        <v>1369889</v>
      </c>
      <c r="J473" s="3070">
        <v>114.02</v>
      </c>
      <c r="K473" s="3070">
        <v>82.85</v>
      </c>
      <c r="L473" s="3070">
        <v>0</v>
      </c>
      <c r="M473" s="3070">
        <v>0</v>
      </c>
      <c r="N473" s="3070">
        <v>15394.44</v>
      </c>
      <c r="O473" s="3070">
        <v>1755274</v>
      </c>
      <c r="P473" s="3070">
        <v>12014.46</v>
      </c>
      <c r="Q473" s="3070">
        <v>1369889</v>
      </c>
      <c r="R473" s="3070" t="s">
        <v>3227</v>
      </c>
      <c r="S473" s="3070" t="s">
        <v>7135</v>
      </c>
      <c r="T473" s="3070" t="s">
        <v>3991</v>
      </c>
      <c r="V473" s="3070" t="s">
        <v>3230</v>
      </c>
      <c r="Y473" s="3070">
        <v>410967</v>
      </c>
      <c r="Z473" s="3070">
        <v>136989</v>
      </c>
      <c r="AA473" s="3070">
        <v>1369889</v>
      </c>
      <c r="AB473" s="3070">
        <v>0</v>
      </c>
      <c r="AC473" s="3070">
        <v>0</v>
      </c>
      <c r="AD473" s="3070">
        <v>0</v>
      </c>
      <c r="AE473" s="3070">
        <v>0</v>
      </c>
      <c r="AI473" s="3070" t="s">
        <v>3227</v>
      </c>
      <c r="AJ473" s="3070">
        <v>0</v>
      </c>
      <c r="AK473" s="3070">
        <v>0</v>
      </c>
      <c r="AL473" s="3070">
        <v>0</v>
      </c>
      <c r="AM473" s="3070">
        <v>12014.46</v>
      </c>
      <c r="AN473" s="3070">
        <v>1369889</v>
      </c>
      <c r="AP473" s="3070">
        <v>1369889</v>
      </c>
      <c r="AQ473" s="3072">
        <v>45138</v>
      </c>
      <c r="AT473" s="3073">
        <v>45678</v>
      </c>
      <c r="AV473" s="3074">
        <v>3.21E+17</v>
      </c>
      <c r="AW473" s="3070" t="s">
        <v>7136</v>
      </c>
      <c r="AX473" s="3070" t="s">
        <v>7137</v>
      </c>
      <c r="AY473" s="3070" t="s">
        <v>3892</v>
      </c>
      <c r="BA473" s="3070" t="s">
        <v>4527</v>
      </c>
      <c r="BC473" s="3070" t="s">
        <v>3995</v>
      </c>
      <c r="BD473" s="3070" t="s">
        <v>3077</v>
      </c>
      <c r="BI473" s="3070" t="s">
        <v>3295</v>
      </c>
      <c r="BL473" s="3070" t="s">
        <v>7138</v>
      </c>
      <c r="BM473" s="3075">
        <v>44317</v>
      </c>
      <c r="BN473" s="3070">
        <v>404</v>
      </c>
      <c r="BR473" s="3070">
        <v>16</v>
      </c>
      <c r="BS473" s="3070" t="s">
        <v>3238</v>
      </c>
      <c r="BU473" s="3070" t="s">
        <v>4527</v>
      </c>
      <c r="BZ473" s="3073">
        <v>44200.836805555555</v>
      </c>
      <c r="CA473" s="3070">
        <v>5</v>
      </c>
      <c r="CD473" s="3070" t="s">
        <v>3239</v>
      </c>
      <c r="CF473" s="3070" t="s">
        <v>3091</v>
      </c>
      <c r="CH473" s="3070" t="s">
        <v>3240</v>
      </c>
      <c r="CI473" s="3070">
        <v>0</v>
      </c>
      <c r="CK473" s="3070" t="s">
        <v>4056</v>
      </c>
      <c r="CL473" s="3070" t="s">
        <v>4056</v>
      </c>
      <c r="CM473" s="3070">
        <v>1256778.8999999999</v>
      </c>
      <c r="CV473" s="3070" t="s">
        <v>3494</v>
      </c>
      <c r="CW473" s="3070" t="s">
        <v>7139</v>
      </c>
      <c r="CZ473" s="3070">
        <v>213894.57</v>
      </c>
      <c r="DA473" s="3070">
        <v>159426.93</v>
      </c>
      <c r="DB473" s="3070">
        <v>0</v>
      </c>
      <c r="DC473" s="3070">
        <v>0</v>
      </c>
      <c r="DD473" s="3070">
        <v>3290547602</v>
      </c>
      <c r="DE473" s="3070">
        <v>2764253109</v>
      </c>
      <c r="DF473" s="3070">
        <v>1464966739</v>
      </c>
      <c r="DG473" s="3070">
        <v>14938370</v>
      </c>
      <c r="DH473" s="3070">
        <v>1284348000</v>
      </c>
      <c r="DI473" s="3070">
        <v>1278128000</v>
      </c>
      <c r="DJ473" s="3070">
        <v>6220000</v>
      </c>
      <c r="DK473" s="3070">
        <v>0</v>
      </c>
      <c r="DL473" s="3070">
        <v>0</v>
      </c>
      <c r="DM473" s="3070">
        <v>25491817.620000001</v>
      </c>
      <c r="DN473" s="3070">
        <v>2764253109</v>
      </c>
      <c r="DP473" s="3070">
        <v>2764253109</v>
      </c>
    </row>
    <row r="474" spans="1:120">
      <c r="A474" s="3070">
        <v>473</v>
      </c>
      <c r="B474" s="3070" t="s">
        <v>3224</v>
      </c>
      <c r="C474" s="3070">
        <v>5</v>
      </c>
      <c r="E474" s="3070">
        <v>1501</v>
      </c>
      <c r="F474" s="3070" t="s">
        <v>7140</v>
      </c>
      <c r="G474" s="3070" t="s">
        <v>7141</v>
      </c>
      <c r="H474" s="3070">
        <v>1432123</v>
      </c>
      <c r="I474" s="3070">
        <v>1432123</v>
      </c>
      <c r="J474" s="3070">
        <v>114.02</v>
      </c>
      <c r="K474" s="3070">
        <v>82.85</v>
      </c>
      <c r="L474" s="3070">
        <v>0</v>
      </c>
      <c r="M474" s="3070">
        <v>0</v>
      </c>
      <c r="N474" s="3070">
        <v>15494.44</v>
      </c>
      <c r="O474" s="3070">
        <v>1766676</v>
      </c>
      <c r="P474" s="3070">
        <v>12560.28</v>
      </c>
      <c r="Q474" s="3070">
        <v>1432123</v>
      </c>
      <c r="R474" s="3070" t="s">
        <v>3227</v>
      </c>
      <c r="S474" s="3070" t="s">
        <v>7142</v>
      </c>
      <c r="T474" s="3070" t="s">
        <v>3302</v>
      </c>
      <c r="V474" s="3070" t="s">
        <v>3230</v>
      </c>
      <c r="Y474" s="3070">
        <v>143212</v>
      </c>
      <c r="Z474" s="3070">
        <v>143212</v>
      </c>
      <c r="AA474" s="3070">
        <v>1432123</v>
      </c>
      <c r="AB474" s="3070">
        <v>0</v>
      </c>
      <c r="AC474" s="3070">
        <v>0</v>
      </c>
      <c r="AD474" s="3070">
        <v>0</v>
      </c>
      <c r="AE474" s="3070">
        <v>0</v>
      </c>
      <c r="AI474" s="3070" t="s">
        <v>3227</v>
      </c>
      <c r="AJ474" s="3070">
        <v>0</v>
      </c>
      <c r="AK474" s="3070">
        <v>0</v>
      </c>
      <c r="AL474" s="3070">
        <v>0</v>
      </c>
      <c r="AM474" s="3070">
        <v>12560.28</v>
      </c>
      <c r="AN474" s="3070">
        <v>1432123</v>
      </c>
      <c r="AP474" s="3070">
        <v>1432123</v>
      </c>
      <c r="AQ474" s="3072">
        <v>45138</v>
      </c>
      <c r="AT474" s="3073">
        <v>45678</v>
      </c>
      <c r="AV474" s="3070" t="s">
        <v>7143</v>
      </c>
      <c r="AW474" s="3070" t="s">
        <v>7144</v>
      </c>
      <c r="AX474" s="3070" t="s">
        <v>7145</v>
      </c>
      <c r="AY474" s="3070" t="s">
        <v>3429</v>
      </c>
      <c r="BC474" s="3070" t="s">
        <v>3307</v>
      </c>
      <c r="BD474" s="3070" t="s">
        <v>3077</v>
      </c>
      <c r="BI474" s="3070" t="s">
        <v>3235</v>
      </c>
      <c r="BL474" s="3070" t="s">
        <v>7146</v>
      </c>
      <c r="BM474" s="3075">
        <v>44317</v>
      </c>
      <c r="BN474" s="3070">
        <v>501</v>
      </c>
      <c r="BR474" s="3070">
        <v>798</v>
      </c>
      <c r="BS474" s="3070" t="s">
        <v>3238</v>
      </c>
      <c r="BZ474" s="3073">
        <v>44142.602083333331</v>
      </c>
      <c r="CA474" s="3070">
        <v>5</v>
      </c>
      <c r="CD474" s="3070" t="s">
        <v>3239</v>
      </c>
      <c r="CF474" s="3070" t="s">
        <v>3091</v>
      </c>
      <c r="CH474" s="3070" t="s">
        <v>3240</v>
      </c>
      <c r="CI474" s="3070">
        <v>0</v>
      </c>
      <c r="CK474" s="3070" t="s">
        <v>3429</v>
      </c>
      <c r="CL474" s="3070" t="s">
        <v>3429</v>
      </c>
      <c r="CM474" s="3070">
        <v>1313874.31</v>
      </c>
      <c r="CV474" s="3070" t="s">
        <v>3309</v>
      </c>
      <c r="CW474" s="3070" t="s">
        <v>7147</v>
      </c>
      <c r="CX474" s="3070" t="s">
        <v>3510</v>
      </c>
      <c r="CZ474" s="3070">
        <v>213894.57</v>
      </c>
      <c r="DA474" s="3070">
        <v>159426.93</v>
      </c>
      <c r="DB474" s="3070">
        <v>0</v>
      </c>
      <c r="DC474" s="3070">
        <v>0</v>
      </c>
      <c r="DD474" s="3070">
        <v>3290547602</v>
      </c>
      <c r="DE474" s="3070">
        <v>2764253109</v>
      </c>
      <c r="DF474" s="3070">
        <v>1464966739</v>
      </c>
      <c r="DG474" s="3070">
        <v>14938370</v>
      </c>
      <c r="DH474" s="3070">
        <v>1284348000</v>
      </c>
      <c r="DI474" s="3070">
        <v>1278128000</v>
      </c>
      <c r="DJ474" s="3070">
        <v>6220000</v>
      </c>
      <c r="DK474" s="3070">
        <v>0</v>
      </c>
      <c r="DL474" s="3070">
        <v>0</v>
      </c>
      <c r="DM474" s="3070">
        <v>25491817.620000001</v>
      </c>
      <c r="DN474" s="3070">
        <v>2764253109</v>
      </c>
      <c r="DP474" s="3070">
        <v>2764253109</v>
      </c>
    </row>
    <row r="475" spans="1:120">
      <c r="A475" s="3070">
        <v>474</v>
      </c>
      <c r="B475" s="3070" t="s">
        <v>3224</v>
      </c>
      <c r="C475" s="3070">
        <v>5</v>
      </c>
      <c r="E475" s="3070">
        <v>1502</v>
      </c>
      <c r="F475" s="3070" t="s">
        <v>7148</v>
      </c>
      <c r="G475" s="3070" t="s">
        <v>7149</v>
      </c>
      <c r="H475" s="3070">
        <v>1308446</v>
      </c>
      <c r="I475" s="3070">
        <v>1308446</v>
      </c>
      <c r="J475" s="3070">
        <v>102.62</v>
      </c>
      <c r="K475" s="3070">
        <v>74.569999999999993</v>
      </c>
      <c r="L475" s="3070">
        <v>0</v>
      </c>
      <c r="M475" s="3070">
        <v>0</v>
      </c>
      <c r="N475" s="3070">
        <v>15694.44</v>
      </c>
      <c r="O475" s="3070">
        <v>1610563</v>
      </c>
      <c r="P475" s="3070">
        <v>12750.4</v>
      </c>
      <c r="Q475" s="3070">
        <v>1308446</v>
      </c>
      <c r="R475" s="3070" t="s">
        <v>3227</v>
      </c>
      <c r="S475" s="3070" t="s">
        <v>7150</v>
      </c>
      <c r="T475" s="3070" t="s">
        <v>3246</v>
      </c>
      <c r="U475" s="3070" t="s">
        <v>3371</v>
      </c>
      <c r="V475" s="3070" t="s">
        <v>3230</v>
      </c>
      <c r="Y475" s="3070">
        <v>508446</v>
      </c>
      <c r="Z475" s="3070">
        <v>508446</v>
      </c>
      <c r="AA475" s="3070">
        <v>508446</v>
      </c>
      <c r="AB475" s="3070">
        <v>0</v>
      </c>
      <c r="AC475" s="3070">
        <v>800000</v>
      </c>
      <c r="AD475" s="3070">
        <v>800000</v>
      </c>
      <c r="AE475" s="3070">
        <v>0</v>
      </c>
      <c r="AI475" s="3070" t="s">
        <v>3227</v>
      </c>
      <c r="AJ475" s="3070">
        <v>0</v>
      </c>
      <c r="AK475" s="3070">
        <v>0</v>
      </c>
      <c r="AL475" s="3070">
        <v>0</v>
      </c>
      <c r="AM475" s="3070">
        <v>12750.4</v>
      </c>
      <c r="AN475" s="3070">
        <v>1308446</v>
      </c>
      <c r="AP475" s="3070">
        <v>1308446</v>
      </c>
      <c r="AQ475" s="3072">
        <v>45138</v>
      </c>
      <c r="AT475" s="3073">
        <v>45678</v>
      </c>
      <c r="AV475" s="3074">
        <v>3.21E+17</v>
      </c>
      <c r="AW475" s="3070" t="s">
        <v>7151</v>
      </c>
      <c r="AX475" s="3070" t="s">
        <v>7152</v>
      </c>
      <c r="AY475" s="3070" t="s">
        <v>3283</v>
      </c>
      <c r="BC475" s="3070" t="s">
        <v>3284</v>
      </c>
      <c r="BD475" s="3070" t="s">
        <v>3077</v>
      </c>
      <c r="BI475" s="3070" t="s">
        <v>3235</v>
      </c>
      <c r="BL475" s="3070" t="s">
        <v>7153</v>
      </c>
      <c r="BM475" s="3075">
        <v>44317</v>
      </c>
      <c r="BN475" s="3070">
        <v>502</v>
      </c>
      <c r="BO475" s="3070" t="s">
        <v>3253</v>
      </c>
      <c r="BR475" s="3070">
        <v>851</v>
      </c>
      <c r="BS475" s="3070" t="s">
        <v>3238</v>
      </c>
      <c r="BZ475" s="3073">
        <v>44142.613888888889</v>
      </c>
      <c r="CA475" s="3070">
        <v>5</v>
      </c>
      <c r="CD475" s="3070" t="s">
        <v>3239</v>
      </c>
      <c r="CF475" s="3070" t="s">
        <v>3091</v>
      </c>
      <c r="CH475" s="3070" t="s">
        <v>3240</v>
      </c>
      <c r="CI475" s="3070">
        <v>0</v>
      </c>
      <c r="CK475" s="3070" t="s">
        <v>3273</v>
      </c>
      <c r="CL475" s="3070" t="s">
        <v>3283</v>
      </c>
      <c r="CM475" s="3070">
        <v>1200409.17</v>
      </c>
      <c r="CV475" s="3070" t="s">
        <v>3246</v>
      </c>
      <c r="CW475" s="3070" t="s">
        <v>7154</v>
      </c>
      <c r="CX475" s="3070" t="s">
        <v>3267</v>
      </c>
      <c r="CZ475" s="3070">
        <v>213894.57</v>
      </c>
      <c r="DA475" s="3070">
        <v>159426.93</v>
      </c>
      <c r="DB475" s="3070">
        <v>0</v>
      </c>
      <c r="DC475" s="3070">
        <v>0</v>
      </c>
      <c r="DD475" s="3070">
        <v>3290547602</v>
      </c>
      <c r="DE475" s="3070">
        <v>2764253109</v>
      </c>
      <c r="DF475" s="3070">
        <v>1464966739</v>
      </c>
      <c r="DG475" s="3070">
        <v>14938370</v>
      </c>
      <c r="DH475" s="3070">
        <v>1284348000</v>
      </c>
      <c r="DI475" s="3070">
        <v>1278128000</v>
      </c>
      <c r="DJ475" s="3070">
        <v>6220000</v>
      </c>
      <c r="DK475" s="3070">
        <v>0</v>
      </c>
      <c r="DL475" s="3070">
        <v>0</v>
      </c>
      <c r="DM475" s="3070">
        <v>25491817.620000001</v>
      </c>
      <c r="DN475" s="3070">
        <v>2764253109</v>
      </c>
      <c r="DP475" s="3070">
        <v>2764253109</v>
      </c>
    </row>
    <row r="476" spans="1:120">
      <c r="A476" s="3070">
        <v>475</v>
      </c>
      <c r="B476" s="3070" t="s">
        <v>3224</v>
      </c>
      <c r="C476" s="3070">
        <v>5</v>
      </c>
      <c r="E476" s="3070">
        <v>1503</v>
      </c>
      <c r="F476" s="3070" t="s">
        <v>7155</v>
      </c>
      <c r="G476" s="3070" t="s">
        <v>7156</v>
      </c>
      <c r="H476" s="3070">
        <v>1307681</v>
      </c>
      <c r="I476" s="3070">
        <v>1307681</v>
      </c>
      <c r="J476" s="3070">
        <v>102.56</v>
      </c>
      <c r="K476" s="3070">
        <v>74.53</v>
      </c>
      <c r="L476" s="3070">
        <v>0</v>
      </c>
      <c r="M476" s="3070">
        <v>0</v>
      </c>
      <c r="N476" s="3070">
        <v>15694.44</v>
      </c>
      <c r="O476" s="3070">
        <v>1609622</v>
      </c>
      <c r="P476" s="3070">
        <v>12750.4</v>
      </c>
      <c r="Q476" s="3070">
        <v>1307681</v>
      </c>
      <c r="R476" s="3070" t="s">
        <v>3227</v>
      </c>
      <c r="S476" s="3070" t="s">
        <v>7157</v>
      </c>
      <c r="T476" s="3070" t="s">
        <v>3246</v>
      </c>
      <c r="U476" s="3070" t="s">
        <v>3279</v>
      </c>
      <c r="V476" s="3070" t="s">
        <v>3230</v>
      </c>
      <c r="Y476" s="3070">
        <v>747681</v>
      </c>
      <c r="Z476" s="3070">
        <v>747681</v>
      </c>
      <c r="AA476" s="3070">
        <v>747681</v>
      </c>
      <c r="AB476" s="3070">
        <v>0</v>
      </c>
      <c r="AC476" s="3070">
        <v>560000</v>
      </c>
      <c r="AD476" s="3070">
        <v>560000</v>
      </c>
      <c r="AE476" s="3070">
        <v>0</v>
      </c>
      <c r="AI476" s="3070" t="s">
        <v>3227</v>
      </c>
      <c r="AJ476" s="3070">
        <v>0</v>
      </c>
      <c r="AK476" s="3070">
        <v>0</v>
      </c>
      <c r="AL476" s="3070">
        <v>0</v>
      </c>
      <c r="AM476" s="3070">
        <v>12750.4</v>
      </c>
      <c r="AN476" s="3070">
        <v>1307681</v>
      </c>
      <c r="AP476" s="3070">
        <v>1307681</v>
      </c>
      <c r="AQ476" s="3072">
        <v>45138</v>
      </c>
      <c r="AT476" s="3073">
        <v>45678</v>
      </c>
      <c r="AV476" s="3074">
        <v>3.21E+17</v>
      </c>
      <c r="AW476" s="3070" t="s">
        <v>7158</v>
      </c>
      <c r="AX476" s="3070" t="s">
        <v>7159</v>
      </c>
      <c r="AY476" s="3070" t="s">
        <v>3497</v>
      </c>
      <c r="BC476" s="3070" t="s">
        <v>3284</v>
      </c>
      <c r="BD476" s="3070" t="s">
        <v>3077</v>
      </c>
      <c r="BI476" s="3070" t="s">
        <v>3295</v>
      </c>
      <c r="BL476" s="3070" t="s">
        <v>7160</v>
      </c>
      <c r="BM476" s="3075">
        <v>44317</v>
      </c>
      <c r="BN476" s="3070">
        <v>503</v>
      </c>
      <c r="BO476" s="3070" t="s">
        <v>3253</v>
      </c>
      <c r="BR476" s="3070">
        <v>722</v>
      </c>
      <c r="BS476" s="3070" t="s">
        <v>3238</v>
      </c>
      <c r="BZ476" s="3073">
        <v>44142.647222222222</v>
      </c>
      <c r="CA476" s="3070">
        <v>5</v>
      </c>
      <c r="CD476" s="3070" t="s">
        <v>3239</v>
      </c>
      <c r="CF476" s="3070" t="s">
        <v>3091</v>
      </c>
      <c r="CH476" s="3070" t="s">
        <v>3240</v>
      </c>
      <c r="CI476" s="3070">
        <v>0</v>
      </c>
      <c r="CK476" s="3070" t="s">
        <v>3497</v>
      </c>
      <c r="CL476" s="3070" t="s">
        <v>3497</v>
      </c>
      <c r="CM476" s="3070">
        <v>1199707.3400000001</v>
      </c>
      <c r="CV476" s="3070" t="s">
        <v>3246</v>
      </c>
      <c r="CW476" s="3070" t="s">
        <v>7161</v>
      </c>
      <c r="CZ476" s="3070">
        <v>213894.57</v>
      </c>
      <c r="DA476" s="3070">
        <v>159426.93</v>
      </c>
      <c r="DB476" s="3070">
        <v>0</v>
      </c>
      <c r="DC476" s="3070">
        <v>0</v>
      </c>
      <c r="DD476" s="3070">
        <v>3290547602</v>
      </c>
      <c r="DE476" s="3070">
        <v>2764253109</v>
      </c>
      <c r="DF476" s="3070">
        <v>1464966739</v>
      </c>
      <c r="DG476" s="3070">
        <v>14938370</v>
      </c>
      <c r="DH476" s="3070">
        <v>1284348000</v>
      </c>
      <c r="DI476" s="3070">
        <v>1278128000</v>
      </c>
      <c r="DJ476" s="3070">
        <v>6220000</v>
      </c>
      <c r="DK476" s="3070">
        <v>0</v>
      </c>
      <c r="DL476" s="3070">
        <v>0</v>
      </c>
      <c r="DM476" s="3070">
        <v>25491817.620000001</v>
      </c>
      <c r="DN476" s="3070">
        <v>2764253109</v>
      </c>
      <c r="DP476" s="3070">
        <v>2764253109</v>
      </c>
    </row>
    <row r="477" spans="1:120">
      <c r="A477" s="3070">
        <v>476</v>
      </c>
      <c r="B477" s="3070" t="s">
        <v>3224</v>
      </c>
      <c r="C477" s="3070">
        <v>5</v>
      </c>
      <c r="E477" s="3070">
        <v>1504</v>
      </c>
      <c r="F477" s="3070" t="s">
        <v>7162</v>
      </c>
      <c r="G477" s="3070" t="s">
        <v>7163</v>
      </c>
      <c r="H477" s="3070">
        <v>1426703</v>
      </c>
      <c r="I477" s="3070">
        <v>1426703</v>
      </c>
      <c r="J477" s="3070">
        <v>114.02</v>
      </c>
      <c r="K477" s="3070">
        <v>82.85</v>
      </c>
      <c r="L477" s="3070">
        <v>0</v>
      </c>
      <c r="M477" s="3070">
        <v>0</v>
      </c>
      <c r="N477" s="3070">
        <v>15444.44</v>
      </c>
      <c r="O477" s="3070">
        <v>1760975</v>
      </c>
      <c r="P477" s="3070">
        <v>12512.74</v>
      </c>
      <c r="Q477" s="3070">
        <v>1426703</v>
      </c>
      <c r="R477" s="3070" t="s">
        <v>3227</v>
      </c>
      <c r="S477" s="3070" t="s">
        <v>7164</v>
      </c>
      <c r="T477" s="3070" t="s">
        <v>3246</v>
      </c>
      <c r="U477" s="3070" t="s">
        <v>3371</v>
      </c>
      <c r="V477" s="3070" t="s">
        <v>3230</v>
      </c>
      <c r="Y477" s="3070">
        <v>506703</v>
      </c>
      <c r="Z477" s="3070">
        <v>506703</v>
      </c>
      <c r="AA477" s="3070">
        <v>506703</v>
      </c>
      <c r="AB477" s="3070">
        <v>0</v>
      </c>
      <c r="AC477" s="3070">
        <v>920000</v>
      </c>
      <c r="AD477" s="3070">
        <v>920000</v>
      </c>
      <c r="AE477" s="3070">
        <v>0</v>
      </c>
      <c r="AI477" s="3070" t="s">
        <v>3227</v>
      </c>
      <c r="AJ477" s="3070">
        <v>0</v>
      </c>
      <c r="AK477" s="3070">
        <v>0</v>
      </c>
      <c r="AL477" s="3070">
        <v>0</v>
      </c>
      <c r="AM477" s="3070">
        <v>12512.74</v>
      </c>
      <c r="AN477" s="3070">
        <v>1426703</v>
      </c>
      <c r="AP477" s="3070">
        <v>1426703</v>
      </c>
      <c r="AQ477" s="3072">
        <v>45138</v>
      </c>
      <c r="AT477" s="3073">
        <v>45678</v>
      </c>
      <c r="AV477" s="3070" t="s">
        <v>7165</v>
      </c>
      <c r="AW477" s="3070" t="s">
        <v>7166</v>
      </c>
      <c r="AX477" s="3070" t="s">
        <v>7167</v>
      </c>
      <c r="AY477" s="3070" t="s">
        <v>4084</v>
      </c>
      <c r="BA477" s="3070" t="s">
        <v>4084</v>
      </c>
      <c r="BC477" s="3070" t="s">
        <v>3284</v>
      </c>
      <c r="BD477" s="3070" t="s">
        <v>3077</v>
      </c>
      <c r="BI477" s="3070" t="s">
        <v>3235</v>
      </c>
      <c r="BJ477" s="3070" t="s">
        <v>3338</v>
      </c>
      <c r="BL477" s="3070" t="s">
        <v>7168</v>
      </c>
      <c r="BM477" s="3075">
        <v>44317</v>
      </c>
      <c r="BN477" s="3070">
        <v>504</v>
      </c>
      <c r="BO477" s="3070" t="s">
        <v>3253</v>
      </c>
      <c r="BR477" s="3070">
        <v>215</v>
      </c>
      <c r="BS477" s="3070" t="s">
        <v>3238</v>
      </c>
      <c r="BU477" s="3070" t="s">
        <v>4084</v>
      </c>
      <c r="BZ477" s="3073">
        <v>44149.776388888888</v>
      </c>
      <c r="CA477" s="3070">
        <v>5</v>
      </c>
      <c r="CD477" s="3070" t="s">
        <v>3239</v>
      </c>
      <c r="CF477" s="3070" t="s">
        <v>3091</v>
      </c>
      <c r="CH477" s="3070" t="s">
        <v>3240</v>
      </c>
      <c r="CI477" s="3070">
        <v>0</v>
      </c>
      <c r="CK477" s="3070" t="s">
        <v>4084</v>
      </c>
      <c r="CL477" s="3070" t="s">
        <v>4084</v>
      </c>
      <c r="CM477" s="3070">
        <v>1308901.83</v>
      </c>
      <c r="CV477" s="3070" t="s">
        <v>3246</v>
      </c>
      <c r="CW477" s="3070" t="s">
        <v>7169</v>
      </c>
      <c r="CZ477" s="3070">
        <v>213894.57</v>
      </c>
      <c r="DA477" s="3070">
        <v>159426.93</v>
      </c>
      <c r="DB477" s="3070">
        <v>0</v>
      </c>
      <c r="DC477" s="3070">
        <v>0</v>
      </c>
      <c r="DD477" s="3070">
        <v>3290547602</v>
      </c>
      <c r="DE477" s="3070">
        <v>2764253109</v>
      </c>
      <c r="DF477" s="3070">
        <v>1464966739</v>
      </c>
      <c r="DG477" s="3070">
        <v>14938370</v>
      </c>
      <c r="DH477" s="3070">
        <v>1284348000</v>
      </c>
      <c r="DI477" s="3070">
        <v>1278128000</v>
      </c>
      <c r="DJ477" s="3070">
        <v>6220000</v>
      </c>
      <c r="DK477" s="3070">
        <v>0</v>
      </c>
      <c r="DL477" s="3070">
        <v>0</v>
      </c>
      <c r="DM477" s="3070">
        <v>25491817.620000001</v>
      </c>
      <c r="DN477" s="3070">
        <v>2764253109</v>
      </c>
      <c r="DP477" s="3070">
        <v>2764253109</v>
      </c>
    </row>
    <row r="478" spans="1:120">
      <c r="A478" s="3070">
        <v>477</v>
      </c>
      <c r="B478" s="3070" t="s">
        <v>3224</v>
      </c>
      <c r="C478" s="3070">
        <v>5</v>
      </c>
      <c r="E478" s="3070">
        <v>1601</v>
      </c>
      <c r="F478" s="3070" t="s">
        <v>7170</v>
      </c>
      <c r="G478" s="3070" t="s">
        <v>7171</v>
      </c>
      <c r="H478" s="3070">
        <v>1432123</v>
      </c>
      <c r="I478" s="3070">
        <v>1432123</v>
      </c>
      <c r="J478" s="3070">
        <v>114.02</v>
      </c>
      <c r="K478" s="3070">
        <v>82.85</v>
      </c>
      <c r="L478" s="3070">
        <v>0</v>
      </c>
      <c r="M478" s="3070">
        <v>0</v>
      </c>
      <c r="N478" s="3070">
        <v>15494.44</v>
      </c>
      <c r="O478" s="3070">
        <v>1766676</v>
      </c>
      <c r="P478" s="3070">
        <v>12560.28</v>
      </c>
      <c r="Q478" s="3070">
        <v>1432123</v>
      </c>
      <c r="R478" s="3070" t="s">
        <v>3227</v>
      </c>
      <c r="S478" s="3070" t="s">
        <v>7172</v>
      </c>
      <c r="T478" s="3070" t="s">
        <v>3258</v>
      </c>
      <c r="U478" s="3070" t="s">
        <v>3259</v>
      </c>
      <c r="V478" s="3070" t="s">
        <v>3230</v>
      </c>
      <c r="Y478" s="3070">
        <v>672123</v>
      </c>
      <c r="Z478" s="3070">
        <v>622123</v>
      </c>
      <c r="AA478" s="3070">
        <v>672123</v>
      </c>
      <c r="AB478" s="3070">
        <v>0</v>
      </c>
      <c r="AC478" s="3070">
        <v>760000</v>
      </c>
      <c r="AD478" s="3070">
        <v>760000</v>
      </c>
      <c r="AE478" s="3070">
        <v>0</v>
      </c>
      <c r="AI478" s="3070" t="s">
        <v>3227</v>
      </c>
      <c r="AJ478" s="3070">
        <v>0</v>
      </c>
      <c r="AK478" s="3070">
        <v>0</v>
      </c>
      <c r="AL478" s="3070">
        <v>0</v>
      </c>
      <c r="AM478" s="3070">
        <v>12560.28</v>
      </c>
      <c r="AN478" s="3070">
        <v>1432123</v>
      </c>
      <c r="AP478" s="3070">
        <v>1432123</v>
      </c>
      <c r="AQ478" s="3072">
        <v>45138</v>
      </c>
      <c r="AT478" s="3073">
        <v>45678</v>
      </c>
      <c r="AV478" s="3070" t="s">
        <v>7173</v>
      </c>
      <c r="AW478" s="3070" t="s">
        <v>7174</v>
      </c>
      <c r="AX478" s="3070" t="s">
        <v>7175</v>
      </c>
      <c r="AY478" s="3070" t="s">
        <v>3429</v>
      </c>
      <c r="BC478" s="3070" t="s">
        <v>3263</v>
      </c>
      <c r="BD478" s="3070" t="s">
        <v>3077</v>
      </c>
      <c r="BI478" s="3070" t="s">
        <v>3235</v>
      </c>
      <c r="BJ478" s="3070" t="s">
        <v>3338</v>
      </c>
      <c r="BL478" s="3070" t="s">
        <v>7176</v>
      </c>
      <c r="BM478" s="3075">
        <v>44317</v>
      </c>
      <c r="BN478" s="3070">
        <v>601</v>
      </c>
      <c r="BO478" s="3070" t="s">
        <v>3253</v>
      </c>
      <c r="BP478" s="3070" t="s">
        <v>3253</v>
      </c>
      <c r="BR478" s="3070">
        <v>324</v>
      </c>
      <c r="BS478" s="3070" t="s">
        <v>3238</v>
      </c>
      <c r="BZ478" s="3073">
        <v>44142.632638888892</v>
      </c>
      <c r="CA478" s="3070">
        <v>5</v>
      </c>
      <c r="CD478" s="3070" t="s">
        <v>3239</v>
      </c>
      <c r="CF478" s="3070" t="s">
        <v>3091</v>
      </c>
      <c r="CH478" s="3070" t="s">
        <v>3240</v>
      </c>
      <c r="CI478" s="3070">
        <v>0</v>
      </c>
      <c r="CJ478" s="3070" t="s">
        <v>3259</v>
      </c>
      <c r="CK478" s="3070" t="s">
        <v>3429</v>
      </c>
      <c r="CL478" s="3070" t="s">
        <v>3429</v>
      </c>
      <c r="CM478" s="3070">
        <v>1313874.3</v>
      </c>
      <c r="CV478" s="3070" t="s">
        <v>3258</v>
      </c>
      <c r="CW478" s="3070" t="s">
        <v>7177</v>
      </c>
      <c r="CZ478" s="3070">
        <v>213894.57</v>
      </c>
      <c r="DA478" s="3070">
        <v>159426.93</v>
      </c>
      <c r="DB478" s="3070">
        <v>0</v>
      </c>
      <c r="DC478" s="3070">
        <v>0</v>
      </c>
      <c r="DD478" s="3070">
        <v>3290547602</v>
      </c>
      <c r="DE478" s="3070">
        <v>2764253109</v>
      </c>
      <c r="DF478" s="3070">
        <v>1464966739</v>
      </c>
      <c r="DG478" s="3070">
        <v>14938370</v>
      </c>
      <c r="DH478" s="3070">
        <v>1284348000</v>
      </c>
      <c r="DI478" s="3070">
        <v>1278128000</v>
      </c>
      <c r="DJ478" s="3070">
        <v>6220000</v>
      </c>
      <c r="DK478" s="3070">
        <v>0</v>
      </c>
      <c r="DL478" s="3070">
        <v>0</v>
      </c>
      <c r="DM478" s="3070">
        <v>25491817.620000001</v>
      </c>
      <c r="DN478" s="3070">
        <v>2764253109</v>
      </c>
      <c r="DP478" s="3070">
        <v>2764253109</v>
      </c>
    </row>
    <row r="479" spans="1:120">
      <c r="A479" s="3070">
        <v>478</v>
      </c>
      <c r="B479" s="3070" t="s">
        <v>3224</v>
      </c>
      <c r="C479" s="3070">
        <v>5</v>
      </c>
      <c r="E479" s="3070">
        <v>1602</v>
      </c>
      <c r="F479" s="3070" t="s">
        <v>7178</v>
      </c>
      <c r="G479" s="3070" t="s">
        <v>7179</v>
      </c>
      <c r="H479" s="3070">
        <v>1308446</v>
      </c>
      <c r="I479" s="3070">
        <v>1308446</v>
      </c>
      <c r="J479" s="3070">
        <v>102.62</v>
      </c>
      <c r="K479" s="3070">
        <v>74.569999999999993</v>
      </c>
      <c r="L479" s="3070">
        <v>0</v>
      </c>
      <c r="M479" s="3070">
        <v>0</v>
      </c>
      <c r="N479" s="3070">
        <v>15694.44</v>
      </c>
      <c r="O479" s="3070">
        <v>1610563</v>
      </c>
      <c r="P479" s="3070">
        <v>12750.4</v>
      </c>
      <c r="Q479" s="3070">
        <v>1308446</v>
      </c>
      <c r="R479" s="3070" t="s">
        <v>3227</v>
      </c>
      <c r="S479" s="3070" t="s">
        <v>7180</v>
      </c>
      <c r="T479" s="3070" t="s">
        <v>3246</v>
      </c>
      <c r="U479" s="3070" t="s">
        <v>3279</v>
      </c>
      <c r="V479" s="3070" t="s">
        <v>3230</v>
      </c>
      <c r="Y479" s="3070">
        <v>398446</v>
      </c>
      <c r="Z479" s="3070">
        <v>398446</v>
      </c>
      <c r="AA479" s="3070">
        <v>398446</v>
      </c>
      <c r="AB479" s="3070">
        <v>0</v>
      </c>
      <c r="AC479" s="3070">
        <v>910000</v>
      </c>
      <c r="AD479" s="3070">
        <v>910000</v>
      </c>
      <c r="AE479" s="3070">
        <v>0</v>
      </c>
      <c r="AI479" s="3070" t="s">
        <v>3227</v>
      </c>
      <c r="AJ479" s="3070">
        <v>0</v>
      </c>
      <c r="AK479" s="3070">
        <v>0</v>
      </c>
      <c r="AL479" s="3070">
        <v>0</v>
      </c>
      <c r="AM479" s="3070">
        <v>12750.4</v>
      </c>
      <c r="AN479" s="3070">
        <v>1308446</v>
      </c>
      <c r="AP479" s="3070">
        <v>1308446</v>
      </c>
      <c r="AQ479" s="3072">
        <v>45138</v>
      </c>
      <c r="AT479" s="3073">
        <v>45678</v>
      </c>
      <c r="AV479" s="3070" t="s">
        <v>7181</v>
      </c>
      <c r="AW479" s="3070" t="s">
        <v>7182</v>
      </c>
      <c r="AX479" s="3070" t="s">
        <v>7183</v>
      </c>
      <c r="AY479" s="3070" t="s">
        <v>4084</v>
      </c>
      <c r="BC479" s="3070" t="s">
        <v>3284</v>
      </c>
      <c r="BD479" s="3070" t="s">
        <v>3077</v>
      </c>
      <c r="BI479" s="3070" t="s">
        <v>3235</v>
      </c>
      <c r="BJ479" s="3070" t="s">
        <v>3328</v>
      </c>
      <c r="BL479" s="3070" t="s">
        <v>7184</v>
      </c>
      <c r="BM479" s="3075">
        <v>44317</v>
      </c>
      <c r="BN479" s="3070">
        <v>602</v>
      </c>
      <c r="BO479" s="3070" t="s">
        <v>3253</v>
      </c>
      <c r="BR479" s="3070">
        <v>206</v>
      </c>
      <c r="BS479" s="3070" t="s">
        <v>3238</v>
      </c>
      <c r="BZ479" s="3073">
        <v>44142.627083333333</v>
      </c>
      <c r="CA479" s="3070">
        <v>5</v>
      </c>
      <c r="CD479" s="3070" t="s">
        <v>3239</v>
      </c>
      <c r="CF479" s="3070" t="s">
        <v>3091</v>
      </c>
      <c r="CH479" s="3070" t="s">
        <v>3240</v>
      </c>
      <c r="CI479" s="3070">
        <v>0</v>
      </c>
      <c r="CK479" s="3070" t="s">
        <v>4084</v>
      </c>
      <c r="CL479" s="3070" t="s">
        <v>4084</v>
      </c>
      <c r="CM479" s="3070">
        <v>1200409.18</v>
      </c>
      <c r="CV479" s="3070" t="s">
        <v>3246</v>
      </c>
      <c r="CW479" s="3070" t="s">
        <v>7185</v>
      </c>
      <c r="CX479" s="3070" t="s">
        <v>3267</v>
      </c>
      <c r="CZ479" s="3070">
        <v>213894.57</v>
      </c>
      <c r="DA479" s="3070">
        <v>159426.93</v>
      </c>
      <c r="DB479" s="3070">
        <v>0</v>
      </c>
      <c r="DC479" s="3070">
        <v>0</v>
      </c>
      <c r="DD479" s="3070">
        <v>3290547602</v>
      </c>
      <c r="DE479" s="3070">
        <v>2764253109</v>
      </c>
      <c r="DF479" s="3070">
        <v>1464966739</v>
      </c>
      <c r="DG479" s="3070">
        <v>14938370</v>
      </c>
      <c r="DH479" s="3070">
        <v>1284348000</v>
      </c>
      <c r="DI479" s="3070">
        <v>1278128000</v>
      </c>
      <c r="DJ479" s="3070">
        <v>6220000</v>
      </c>
      <c r="DK479" s="3070">
        <v>0</v>
      </c>
      <c r="DL479" s="3070">
        <v>0</v>
      </c>
      <c r="DM479" s="3070">
        <v>25491817.620000001</v>
      </c>
      <c r="DN479" s="3070">
        <v>2764253109</v>
      </c>
      <c r="DP479" s="3070">
        <v>2764253109</v>
      </c>
    </row>
    <row r="480" spans="1:120">
      <c r="A480" s="3070">
        <v>479</v>
      </c>
      <c r="B480" s="3070" t="s">
        <v>3224</v>
      </c>
      <c r="C480" s="3070">
        <v>5</v>
      </c>
      <c r="E480" s="3070">
        <v>1603</v>
      </c>
      <c r="F480" s="3070" t="s">
        <v>7186</v>
      </c>
      <c r="G480" s="3070" t="s">
        <v>7187</v>
      </c>
      <c r="H480" s="3070">
        <v>1348124</v>
      </c>
      <c r="I480" s="3070">
        <v>1348124</v>
      </c>
      <c r="J480" s="3070">
        <v>102.56</v>
      </c>
      <c r="K480" s="3070">
        <v>74.53</v>
      </c>
      <c r="L480" s="3070">
        <v>0</v>
      </c>
      <c r="M480" s="3070">
        <v>0</v>
      </c>
      <c r="N480" s="3070">
        <v>15694.44</v>
      </c>
      <c r="O480" s="3070">
        <v>1609622</v>
      </c>
      <c r="P480" s="3070">
        <v>13144.73</v>
      </c>
      <c r="Q480" s="3070">
        <v>1348124</v>
      </c>
      <c r="R480" s="3070" t="s">
        <v>3227</v>
      </c>
      <c r="S480" s="3070" t="s">
        <v>3353</v>
      </c>
      <c r="T480" s="3070" t="s">
        <v>3494</v>
      </c>
      <c r="V480" s="3070" t="s">
        <v>3230</v>
      </c>
      <c r="Y480" s="3070">
        <v>134812</v>
      </c>
      <c r="Z480" s="3070">
        <v>134812</v>
      </c>
      <c r="AA480" s="3070">
        <v>1348124</v>
      </c>
      <c r="AB480" s="3070">
        <v>0</v>
      </c>
      <c r="AC480" s="3070">
        <v>0</v>
      </c>
      <c r="AD480" s="3070">
        <v>0</v>
      </c>
      <c r="AE480" s="3070">
        <v>0</v>
      </c>
      <c r="AI480" s="3070" t="s">
        <v>3227</v>
      </c>
      <c r="AJ480" s="3070">
        <v>0</v>
      </c>
      <c r="AK480" s="3070">
        <v>0</v>
      </c>
      <c r="AL480" s="3070">
        <v>0</v>
      </c>
      <c r="AM480" s="3070">
        <v>13144.73</v>
      </c>
      <c r="AN480" s="3070">
        <v>1348124</v>
      </c>
      <c r="AP480" s="3070">
        <v>1348124</v>
      </c>
      <c r="AQ480" s="3072">
        <v>45138</v>
      </c>
      <c r="AT480" s="3073">
        <v>45678</v>
      </c>
      <c r="AV480" s="3070" t="s">
        <v>7188</v>
      </c>
      <c r="AW480" s="3070" t="s">
        <v>7189</v>
      </c>
      <c r="AX480" s="3070" t="s">
        <v>7190</v>
      </c>
      <c r="AY480" s="3070" t="s">
        <v>3306</v>
      </c>
      <c r="BC480" s="3070" t="s">
        <v>5050</v>
      </c>
      <c r="BD480" s="3070" t="s">
        <v>3077</v>
      </c>
      <c r="BI480" s="3070" t="s">
        <v>3235</v>
      </c>
      <c r="BL480" s="3070" t="s">
        <v>7191</v>
      </c>
      <c r="BM480" s="3075">
        <v>44317</v>
      </c>
      <c r="BN480" s="3070">
        <v>603</v>
      </c>
      <c r="BR480" s="3070">
        <v>0</v>
      </c>
      <c r="BS480" s="3070" t="s">
        <v>3238</v>
      </c>
      <c r="BZ480" s="3073">
        <v>44160.470833333333</v>
      </c>
      <c r="CA480" s="3070">
        <v>5</v>
      </c>
      <c r="CD480" s="3070" t="s">
        <v>3239</v>
      </c>
      <c r="CF480" s="3070" t="s">
        <v>3091</v>
      </c>
      <c r="CH480" s="3070" t="s">
        <v>3240</v>
      </c>
      <c r="CI480" s="3070">
        <v>0</v>
      </c>
      <c r="CK480" s="3070" t="s">
        <v>3306</v>
      </c>
      <c r="CL480" s="3070" t="s">
        <v>3306</v>
      </c>
      <c r="CM480" s="3070">
        <v>1236811.01</v>
      </c>
      <c r="CV480" s="3070" t="s">
        <v>3494</v>
      </c>
      <c r="CW480" s="3070" t="s">
        <v>7192</v>
      </c>
      <c r="CX480" s="3070" t="s">
        <v>3242</v>
      </c>
      <c r="CZ480" s="3070">
        <v>213894.57</v>
      </c>
      <c r="DA480" s="3070">
        <v>159426.93</v>
      </c>
      <c r="DB480" s="3070">
        <v>0</v>
      </c>
      <c r="DC480" s="3070">
        <v>0</v>
      </c>
      <c r="DD480" s="3070">
        <v>3290547602</v>
      </c>
      <c r="DE480" s="3070">
        <v>2764253109</v>
      </c>
      <c r="DF480" s="3070">
        <v>1464966739</v>
      </c>
      <c r="DG480" s="3070">
        <v>14938370</v>
      </c>
      <c r="DH480" s="3070">
        <v>1284348000</v>
      </c>
      <c r="DI480" s="3070">
        <v>1278128000</v>
      </c>
      <c r="DJ480" s="3070">
        <v>6220000</v>
      </c>
      <c r="DK480" s="3070">
        <v>0</v>
      </c>
      <c r="DL480" s="3070">
        <v>0</v>
      </c>
      <c r="DM480" s="3070">
        <v>25491817.620000001</v>
      </c>
      <c r="DN480" s="3070">
        <v>2764253109</v>
      </c>
      <c r="DP480" s="3070">
        <v>2764253109</v>
      </c>
    </row>
    <row r="481" spans="1:120">
      <c r="A481" s="3070">
        <v>480</v>
      </c>
      <c r="B481" s="3070" t="s">
        <v>3224</v>
      </c>
      <c r="C481" s="3070">
        <v>5</v>
      </c>
      <c r="E481" s="3070">
        <v>1604</v>
      </c>
      <c r="F481" s="3070" t="s">
        <v>7193</v>
      </c>
      <c r="G481" s="3070" t="s">
        <v>7194</v>
      </c>
      <c r="H481" s="3070">
        <v>1426703</v>
      </c>
      <c r="I481" s="3070">
        <v>1426703</v>
      </c>
      <c r="J481" s="3070">
        <v>114.02</v>
      </c>
      <c r="K481" s="3070">
        <v>82.85</v>
      </c>
      <c r="L481" s="3070">
        <v>0</v>
      </c>
      <c r="M481" s="3070">
        <v>0</v>
      </c>
      <c r="N481" s="3070">
        <v>15444.44</v>
      </c>
      <c r="O481" s="3070">
        <v>1760975</v>
      </c>
      <c r="P481" s="3070">
        <v>12512.74</v>
      </c>
      <c r="Q481" s="3070">
        <v>1426703</v>
      </c>
      <c r="R481" s="3070" t="s">
        <v>3227</v>
      </c>
      <c r="S481" s="3070" t="s">
        <v>7195</v>
      </c>
      <c r="T481" s="3070" t="s">
        <v>3258</v>
      </c>
      <c r="U481" s="3070" t="s">
        <v>3259</v>
      </c>
      <c r="V481" s="3070" t="s">
        <v>3230</v>
      </c>
      <c r="Y481" s="3070">
        <v>436703</v>
      </c>
      <c r="Z481" s="3070">
        <v>436703</v>
      </c>
      <c r="AA481" s="3070">
        <v>436703</v>
      </c>
      <c r="AB481" s="3070">
        <v>0</v>
      </c>
      <c r="AC481" s="3070">
        <v>990000</v>
      </c>
      <c r="AD481" s="3070">
        <v>990000</v>
      </c>
      <c r="AE481" s="3070">
        <v>0</v>
      </c>
      <c r="AI481" s="3070" t="s">
        <v>3227</v>
      </c>
      <c r="AJ481" s="3070">
        <v>0</v>
      </c>
      <c r="AK481" s="3070">
        <v>0</v>
      </c>
      <c r="AL481" s="3070">
        <v>0</v>
      </c>
      <c r="AM481" s="3070">
        <v>12512.74</v>
      </c>
      <c r="AN481" s="3070">
        <v>1426703</v>
      </c>
      <c r="AP481" s="3070">
        <v>1426703</v>
      </c>
      <c r="AQ481" s="3072">
        <v>45138</v>
      </c>
      <c r="AT481" s="3073">
        <v>45678</v>
      </c>
      <c r="AV481" s="3070" t="s">
        <v>7196</v>
      </c>
      <c r="AW481" s="3070" t="s">
        <v>7197</v>
      </c>
      <c r="AX481" s="3070" t="s">
        <v>7198</v>
      </c>
      <c r="AY481" s="3070" t="s">
        <v>3250</v>
      </c>
      <c r="BC481" s="3070" t="s">
        <v>3263</v>
      </c>
      <c r="BD481" s="3070" t="s">
        <v>3077</v>
      </c>
      <c r="BI481" s="3070" t="s">
        <v>3235</v>
      </c>
      <c r="BJ481" s="3070" t="s">
        <v>3598</v>
      </c>
      <c r="BL481" s="3070" t="s">
        <v>7199</v>
      </c>
      <c r="BM481" s="3075">
        <v>44317</v>
      </c>
      <c r="BN481" s="3070">
        <v>604</v>
      </c>
      <c r="BO481" s="3070" t="s">
        <v>3253</v>
      </c>
      <c r="BP481" s="3070" t="s">
        <v>3253</v>
      </c>
      <c r="BR481" s="3070">
        <v>180</v>
      </c>
      <c r="BS481" s="3070" t="s">
        <v>3238</v>
      </c>
      <c r="BZ481" s="3073">
        <v>44149.602083333331</v>
      </c>
      <c r="CA481" s="3070">
        <v>5</v>
      </c>
      <c r="CD481" s="3070" t="s">
        <v>3239</v>
      </c>
      <c r="CF481" s="3070" t="s">
        <v>3091</v>
      </c>
      <c r="CH481" s="3070" t="s">
        <v>3240</v>
      </c>
      <c r="CI481" s="3070">
        <v>0</v>
      </c>
      <c r="CJ481" s="3070" t="s">
        <v>3259</v>
      </c>
      <c r="CK481" s="3070" t="s">
        <v>3250</v>
      </c>
      <c r="CL481" s="3070" t="s">
        <v>3250</v>
      </c>
      <c r="CM481" s="3070">
        <v>1308901.83</v>
      </c>
      <c r="CV481" s="3070" t="s">
        <v>3258</v>
      </c>
      <c r="CW481" s="3070" t="s">
        <v>7200</v>
      </c>
      <c r="CX481" s="3070" t="s">
        <v>3350</v>
      </c>
      <c r="CZ481" s="3070">
        <v>213894.57</v>
      </c>
      <c r="DA481" s="3070">
        <v>159426.93</v>
      </c>
      <c r="DB481" s="3070">
        <v>0</v>
      </c>
      <c r="DC481" s="3070">
        <v>0</v>
      </c>
      <c r="DD481" s="3070">
        <v>3290547602</v>
      </c>
      <c r="DE481" s="3070">
        <v>2764253109</v>
      </c>
      <c r="DF481" s="3070">
        <v>1464966739</v>
      </c>
      <c r="DG481" s="3070">
        <v>14938370</v>
      </c>
      <c r="DH481" s="3070">
        <v>1284348000</v>
      </c>
      <c r="DI481" s="3070">
        <v>1278128000</v>
      </c>
      <c r="DJ481" s="3070">
        <v>6220000</v>
      </c>
      <c r="DK481" s="3070">
        <v>0</v>
      </c>
      <c r="DL481" s="3070">
        <v>0</v>
      </c>
      <c r="DM481" s="3070">
        <v>25491817.620000001</v>
      </c>
      <c r="DN481" s="3070">
        <v>2764253109</v>
      </c>
      <c r="DP481" s="3070">
        <v>2764253109</v>
      </c>
    </row>
    <row r="482" spans="1:120">
      <c r="A482" s="3070">
        <v>481</v>
      </c>
      <c r="B482" s="3070" t="s">
        <v>3224</v>
      </c>
      <c r="C482" s="3070">
        <v>5</v>
      </c>
      <c r="E482" s="3070">
        <v>1701</v>
      </c>
      <c r="F482" s="3070" t="s">
        <v>7201</v>
      </c>
      <c r="G482" s="3070" t="s">
        <v>7202</v>
      </c>
      <c r="H482" s="3070">
        <v>1421284</v>
      </c>
      <c r="I482" s="3070">
        <v>1421284</v>
      </c>
      <c r="J482" s="3070">
        <v>114.02</v>
      </c>
      <c r="K482" s="3070">
        <v>82.85</v>
      </c>
      <c r="L482" s="3070">
        <v>0</v>
      </c>
      <c r="M482" s="3070">
        <v>0</v>
      </c>
      <c r="N482" s="3070">
        <v>15394.44</v>
      </c>
      <c r="O482" s="3070">
        <v>1755274</v>
      </c>
      <c r="P482" s="3070">
        <v>12465.22</v>
      </c>
      <c r="Q482" s="3070">
        <v>1421284</v>
      </c>
      <c r="R482" s="3070" t="s">
        <v>3227</v>
      </c>
      <c r="S482" s="3070" t="s">
        <v>7203</v>
      </c>
      <c r="T482" s="3070" t="s">
        <v>3246</v>
      </c>
      <c r="U482" s="3070" t="s">
        <v>3247</v>
      </c>
      <c r="V482" s="3070" t="s">
        <v>3230</v>
      </c>
      <c r="Y482" s="3070">
        <v>571284</v>
      </c>
      <c r="Z482" s="3070">
        <v>571284</v>
      </c>
      <c r="AA482" s="3070">
        <v>571284</v>
      </c>
      <c r="AB482" s="3070">
        <v>0</v>
      </c>
      <c r="AC482" s="3070">
        <v>850000</v>
      </c>
      <c r="AD482" s="3070">
        <v>850000</v>
      </c>
      <c r="AE482" s="3070">
        <v>0</v>
      </c>
      <c r="AI482" s="3070" t="s">
        <v>3227</v>
      </c>
      <c r="AJ482" s="3070">
        <v>0</v>
      </c>
      <c r="AK482" s="3070">
        <v>0</v>
      </c>
      <c r="AL482" s="3070">
        <v>0</v>
      </c>
      <c r="AM482" s="3070">
        <v>12465.22</v>
      </c>
      <c r="AN482" s="3070">
        <v>1421284</v>
      </c>
      <c r="AP482" s="3070">
        <v>1421284</v>
      </c>
      <c r="AQ482" s="3072">
        <v>45138</v>
      </c>
      <c r="AT482" s="3073">
        <v>45678</v>
      </c>
      <c r="AV482" s="3074">
        <v>3.21E+17</v>
      </c>
      <c r="AW482" s="3070" t="s">
        <v>7204</v>
      </c>
      <c r="AX482" s="3070" t="s">
        <v>7205</v>
      </c>
      <c r="AY482" s="3070" t="s">
        <v>3273</v>
      </c>
      <c r="BC482" s="3070" t="s">
        <v>3284</v>
      </c>
      <c r="BD482" s="3070" t="s">
        <v>3077</v>
      </c>
      <c r="BI482" s="3070" t="s">
        <v>3235</v>
      </c>
      <c r="BJ482" s="3070" t="s">
        <v>3338</v>
      </c>
      <c r="BL482" s="3070" t="s">
        <v>7206</v>
      </c>
      <c r="BM482" s="3075">
        <v>44317</v>
      </c>
      <c r="BN482" s="3070">
        <v>701</v>
      </c>
      <c r="BO482" s="3070" t="s">
        <v>3253</v>
      </c>
      <c r="BR482" s="3070">
        <v>290</v>
      </c>
      <c r="BS482" s="3070" t="s">
        <v>3238</v>
      </c>
      <c r="BZ482" s="3073">
        <v>44142.64166666667</v>
      </c>
      <c r="CA482" s="3070">
        <v>5</v>
      </c>
      <c r="CD482" s="3070" t="s">
        <v>3239</v>
      </c>
      <c r="CF482" s="3070" t="s">
        <v>3091</v>
      </c>
      <c r="CH482" s="3070" t="s">
        <v>3240</v>
      </c>
      <c r="CI482" s="3070">
        <v>0</v>
      </c>
      <c r="CK482" s="3070" t="s">
        <v>3273</v>
      </c>
      <c r="CL482" s="3070" t="s">
        <v>3273</v>
      </c>
      <c r="CM482" s="3070">
        <v>1303930.28</v>
      </c>
      <c r="CV482" s="3070" t="s">
        <v>3246</v>
      </c>
      <c r="CW482" s="3070" t="s">
        <v>7207</v>
      </c>
      <c r="CZ482" s="3070">
        <v>213894.57</v>
      </c>
      <c r="DA482" s="3070">
        <v>159426.93</v>
      </c>
      <c r="DB482" s="3070">
        <v>0</v>
      </c>
      <c r="DC482" s="3070">
        <v>0</v>
      </c>
      <c r="DD482" s="3070">
        <v>3290547602</v>
      </c>
      <c r="DE482" s="3070">
        <v>2764253109</v>
      </c>
      <c r="DF482" s="3070">
        <v>1464966739</v>
      </c>
      <c r="DG482" s="3070">
        <v>14938370</v>
      </c>
      <c r="DH482" s="3070">
        <v>1284348000</v>
      </c>
      <c r="DI482" s="3070">
        <v>1278128000</v>
      </c>
      <c r="DJ482" s="3070">
        <v>6220000</v>
      </c>
      <c r="DK482" s="3070">
        <v>0</v>
      </c>
      <c r="DL482" s="3070">
        <v>0</v>
      </c>
      <c r="DM482" s="3070">
        <v>25491817.620000001</v>
      </c>
      <c r="DN482" s="3070">
        <v>2764253109</v>
      </c>
      <c r="DP482" s="3070">
        <v>2764253109</v>
      </c>
    </row>
    <row r="483" spans="1:120">
      <c r="A483" s="3070">
        <v>482</v>
      </c>
      <c r="B483" s="3070" t="s">
        <v>3224</v>
      </c>
      <c r="C483" s="3070">
        <v>5</v>
      </c>
      <c r="E483" s="3070">
        <v>1702</v>
      </c>
      <c r="F483" s="3070" t="s">
        <v>7208</v>
      </c>
      <c r="G483" s="3070" t="s">
        <v>7209</v>
      </c>
      <c r="H483" s="3070">
        <v>1298691</v>
      </c>
      <c r="I483" s="3070">
        <v>1298691</v>
      </c>
      <c r="J483" s="3070">
        <v>102.62</v>
      </c>
      <c r="K483" s="3070">
        <v>74.569999999999993</v>
      </c>
      <c r="L483" s="3070">
        <v>0</v>
      </c>
      <c r="M483" s="3070">
        <v>0</v>
      </c>
      <c r="N483" s="3070">
        <v>15594.44</v>
      </c>
      <c r="O483" s="3070">
        <v>1600301</v>
      </c>
      <c r="P483" s="3070">
        <v>12655.34</v>
      </c>
      <c r="Q483" s="3070">
        <v>1298691</v>
      </c>
      <c r="R483" s="3070" t="s">
        <v>3227</v>
      </c>
      <c r="S483" s="3070" t="s">
        <v>7210</v>
      </c>
      <c r="T483" s="3070" t="s">
        <v>3246</v>
      </c>
      <c r="U483" s="3070" t="s">
        <v>3259</v>
      </c>
      <c r="V483" s="3070" t="s">
        <v>3230</v>
      </c>
      <c r="Y483" s="3070">
        <v>448691</v>
      </c>
      <c r="Z483" s="3070">
        <v>448691</v>
      </c>
      <c r="AA483" s="3070">
        <v>448691</v>
      </c>
      <c r="AB483" s="3070">
        <v>0</v>
      </c>
      <c r="AC483" s="3070">
        <v>850000</v>
      </c>
      <c r="AD483" s="3070">
        <v>850000</v>
      </c>
      <c r="AE483" s="3070">
        <v>0</v>
      </c>
      <c r="AI483" s="3070" t="s">
        <v>3227</v>
      </c>
      <c r="AJ483" s="3070">
        <v>0</v>
      </c>
      <c r="AK483" s="3070">
        <v>0</v>
      </c>
      <c r="AL483" s="3070">
        <v>0</v>
      </c>
      <c r="AM483" s="3070">
        <v>12655.34</v>
      </c>
      <c r="AN483" s="3070">
        <v>1298691</v>
      </c>
      <c r="AP483" s="3070">
        <v>1298691</v>
      </c>
      <c r="AQ483" s="3072">
        <v>45138</v>
      </c>
      <c r="AT483" s="3073">
        <v>45678</v>
      </c>
      <c r="AV483" s="3074">
        <v>3.21E+17</v>
      </c>
      <c r="AW483" s="3070" t="s">
        <v>7211</v>
      </c>
      <c r="AX483" s="3070" t="s">
        <v>7212</v>
      </c>
      <c r="AY483" s="3070" t="s">
        <v>3722</v>
      </c>
      <c r="BC483" s="3070" t="s">
        <v>3284</v>
      </c>
      <c r="BD483" s="3070" t="s">
        <v>3077</v>
      </c>
      <c r="BI483" s="3070" t="s">
        <v>3235</v>
      </c>
      <c r="BJ483" s="3070" t="s">
        <v>3296</v>
      </c>
      <c r="BL483" s="3070" t="s">
        <v>7213</v>
      </c>
      <c r="BM483" s="3075">
        <v>44317</v>
      </c>
      <c r="BN483" s="3070">
        <v>702</v>
      </c>
      <c r="BO483" s="3070" t="s">
        <v>3253</v>
      </c>
      <c r="BR483" s="3070">
        <v>501</v>
      </c>
      <c r="BS483" s="3070" t="s">
        <v>3238</v>
      </c>
      <c r="BZ483" s="3073">
        <v>44142.645833333336</v>
      </c>
      <c r="CA483" s="3070">
        <v>5</v>
      </c>
      <c r="CD483" s="3070" t="s">
        <v>3239</v>
      </c>
      <c r="CF483" s="3070" t="s">
        <v>3091</v>
      </c>
      <c r="CH483" s="3070" t="s">
        <v>3240</v>
      </c>
      <c r="CI483" s="3070">
        <v>0</v>
      </c>
      <c r="CK483" s="3070" t="s">
        <v>3722</v>
      </c>
      <c r="CL483" s="3070" t="s">
        <v>3722</v>
      </c>
      <c r="CM483" s="3070">
        <v>1191459.6299999999</v>
      </c>
      <c r="CV483" s="3070" t="s">
        <v>3246</v>
      </c>
      <c r="CW483" s="3070" t="s">
        <v>7214</v>
      </c>
      <c r="CX483" s="3070" t="s">
        <v>3267</v>
      </c>
      <c r="CZ483" s="3070">
        <v>213894.57</v>
      </c>
      <c r="DA483" s="3070">
        <v>159426.93</v>
      </c>
      <c r="DB483" s="3070">
        <v>0</v>
      </c>
      <c r="DC483" s="3070">
        <v>0</v>
      </c>
      <c r="DD483" s="3070">
        <v>3290547602</v>
      </c>
      <c r="DE483" s="3070">
        <v>2764253109</v>
      </c>
      <c r="DF483" s="3070">
        <v>1464966739</v>
      </c>
      <c r="DG483" s="3070">
        <v>14938370</v>
      </c>
      <c r="DH483" s="3070">
        <v>1284348000</v>
      </c>
      <c r="DI483" s="3070">
        <v>1278128000</v>
      </c>
      <c r="DJ483" s="3070">
        <v>6220000</v>
      </c>
      <c r="DK483" s="3070">
        <v>0</v>
      </c>
      <c r="DL483" s="3070">
        <v>0</v>
      </c>
      <c r="DM483" s="3070">
        <v>25491817.620000001</v>
      </c>
      <c r="DN483" s="3070">
        <v>2764253109</v>
      </c>
      <c r="DP483" s="3070">
        <v>2764253109</v>
      </c>
    </row>
    <row r="484" spans="1:120">
      <c r="A484" s="3070">
        <v>483</v>
      </c>
      <c r="B484" s="3070" t="s">
        <v>3224</v>
      </c>
      <c r="C484" s="3070">
        <v>5</v>
      </c>
      <c r="E484" s="3070">
        <v>1703</v>
      </c>
      <c r="F484" s="3070" t="s">
        <v>7215</v>
      </c>
      <c r="G484" s="3070" t="s">
        <v>7216</v>
      </c>
      <c r="H484" s="3070">
        <v>1297931</v>
      </c>
      <c r="I484" s="3070">
        <v>1297931</v>
      </c>
      <c r="J484" s="3070">
        <v>102.56</v>
      </c>
      <c r="K484" s="3070">
        <v>74.53</v>
      </c>
      <c r="L484" s="3070">
        <v>0</v>
      </c>
      <c r="M484" s="3070">
        <v>0</v>
      </c>
      <c r="N484" s="3070">
        <v>15594.44</v>
      </c>
      <c r="O484" s="3070">
        <v>1599366</v>
      </c>
      <c r="P484" s="3070">
        <v>12655.33</v>
      </c>
      <c r="Q484" s="3070">
        <v>1297931</v>
      </c>
      <c r="R484" s="3070" t="s">
        <v>3227</v>
      </c>
      <c r="S484" s="3070" t="s">
        <v>7217</v>
      </c>
      <c r="T484" s="3070" t="s">
        <v>3246</v>
      </c>
      <c r="U484" s="3070" t="s">
        <v>3467</v>
      </c>
      <c r="V484" s="3070" t="s">
        <v>3230</v>
      </c>
      <c r="Y484" s="3070">
        <v>397931</v>
      </c>
      <c r="Z484" s="3070">
        <v>397931</v>
      </c>
      <c r="AA484" s="3070">
        <v>397931</v>
      </c>
      <c r="AB484" s="3070">
        <v>0</v>
      </c>
      <c r="AC484" s="3070">
        <v>900000</v>
      </c>
      <c r="AD484" s="3070">
        <v>900000</v>
      </c>
      <c r="AE484" s="3070">
        <v>0</v>
      </c>
      <c r="AI484" s="3070" t="s">
        <v>3227</v>
      </c>
      <c r="AJ484" s="3070">
        <v>0</v>
      </c>
      <c r="AK484" s="3070">
        <v>0</v>
      </c>
      <c r="AL484" s="3070">
        <v>0</v>
      </c>
      <c r="AM484" s="3070">
        <v>12655.33</v>
      </c>
      <c r="AN484" s="3070">
        <v>1297931</v>
      </c>
      <c r="AP484" s="3070">
        <v>1297931</v>
      </c>
      <c r="AQ484" s="3072">
        <v>45138</v>
      </c>
      <c r="AT484" s="3073">
        <v>45678</v>
      </c>
      <c r="AV484" s="3074">
        <v>3.21E+17</v>
      </c>
      <c r="AW484" s="3070" t="s">
        <v>7218</v>
      </c>
      <c r="AX484" s="3070" t="s">
        <v>7219</v>
      </c>
      <c r="AY484" s="3070" t="s">
        <v>3364</v>
      </c>
      <c r="BC484" s="3070" t="s">
        <v>3284</v>
      </c>
      <c r="BD484" s="3070" t="s">
        <v>3077</v>
      </c>
      <c r="BI484" s="3070" t="s">
        <v>3235</v>
      </c>
      <c r="BJ484" s="3070" t="s">
        <v>3296</v>
      </c>
      <c r="BL484" s="3070" t="s">
        <v>7220</v>
      </c>
      <c r="BM484" s="3075">
        <v>44317</v>
      </c>
      <c r="BN484" s="3070">
        <v>703</v>
      </c>
      <c r="BO484" s="3070" t="s">
        <v>3253</v>
      </c>
      <c r="BR484" s="3070">
        <v>718</v>
      </c>
      <c r="BS484" s="3070" t="s">
        <v>3238</v>
      </c>
      <c r="BZ484" s="3073">
        <v>44146.424305555556</v>
      </c>
      <c r="CA484" s="3070">
        <v>5</v>
      </c>
      <c r="CD484" s="3070" t="s">
        <v>3239</v>
      </c>
      <c r="CF484" s="3070" t="s">
        <v>3091</v>
      </c>
      <c r="CH484" s="3070" t="s">
        <v>3240</v>
      </c>
      <c r="CI484" s="3070">
        <v>0</v>
      </c>
      <c r="CK484" s="3070" t="s">
        <v>3364</v>
      </c>
      <c r="CL484" s="3070" t="s">
        <v>3364</v>
      </c>
      <c r="CM484" s="3070">
        <v>1190762.3899999999</v>
      </c>
      <c r="CV484" s="3070" t="s">
        <v>3246</v>
      </c>
      <c r="CW484" s="3070" t="s">
        <v>7221</v>
      </c>
      <c r="CZ484" s="3070">
        <v>213894.57</v>
      </c>
      <c r="DA484" s="3070">
        <v>159426.93</v>
      </c>
      <c r="DB484" s="3070">
        <v>0</v>
      </c>
      <c r="DC484" s="3070">
        <v>0</v>
      </c>
      <c r="DD484" s="3070">
        <v>3290547602</v>
      </c>
      <c r="DE484" s="3070">
        <v>2764253109</v>
      </c>
      <c r="DF484" s="3070">
        <v>1464966739</v>
      </c>
      <c r="DG484" s="3070">
        <v>14938370</v>
      </c>
      <c r="DH484" s="3070">
        <v>1284348000</v>
      </c>
      <c r="DI484" s="3070">
        <v>1278128000</v>
      </c>
      <c r="DJ484" s="3070">
        <v>6220000</v>
      </c>
      <c r="DK484" s="3070">
        <v>0</v>
      </c>
      <c r="DL484" s="3070">
        <v>0</v>
      </c>
      <c r="DM484" s="3070">
        <v>25491817.620000001</v>
      </c>
      <c r="DN484" s="3070">
        <v>2764253109</v>
      </c>
      <c r="DP484" s="3070">
        <v>2764253109</v>
      </c>
    </row>
    <row r="485" spans="1:120">
      <c r="A485" s="3070">
        <v>484</v>
      </c>
      <c r="B485" s="3070" t="s">
        <v>3224</v>
      </c>
      <c r="C485" s="3070">
        <v>5</v>
      </c>
      <c r="E485" s="3070">
        <v>1704</v>
      </c>
      <c r="F485" s="3070" t="s">
        <v>7222</v>
      </c>
      <c r="G485" s="3070" t="s">
        <v>7223</v>
      </c>
      <c r="H485" s="3070">
        <v>1493147</v>
      </c>
      <c r="I485" s="3070">
        <v>1493147</v>
      </c>
      <c r="J485" s="3070">
        <v>114.02</v>
      </c>
      <c r="K485" s="3070">
        <v>82.85</v>
      </c>
      <c r="L485" s="3070">
        <v>0</v>
      </c>
      <c r="M485" s="3070">
        <v>0</v>
      </c>
      <c r="N485" s="3070">
        <v>15344.44</v>
      </c>
      <c r="O485" s="3070">
        <v>1749573</v>
      </c>
      <c r="P485" s="3070">
        <v>13095.48</v>
      </c>
      <c r="Q485" s="3070">
        <v>1493147</v>
      </c>
      <c r="R485" s="3070" t="s">
        <v>3227</v>
      </c>
      <c r="S485" s="3070" t="s">
        <v>7224</v>
      </c>
      <c r="T485" s="3070" t="s">
        <v>3246</v>
      </c>
      <c r="U485" s="3070" t="s">
        <v>3247</v>
      </c>
      <c r="V485" s="3070" t="s">
        <v>3230</v>
      </c>
      <c r="Y485" s="3070">
        <v>453147</v>
      </c>
      <c r="Z485" s="3070">
        <v>149315</v>
      </c>
      <c r="AA485" s="3070">
        <v>453147</v>
      </c>
      <c r="AB485" s="3070">
        <v>0</v>
      </c>
      <c r="AC485" s="3070">
        <v>1040000</v>
      </c>
      <c r="AD485" s="3070">
        <v>1040000</v>
      </c>
      <c r="AE485" s="3070">
        <v>0</v>
      </c>
      <c r="AI485" s="3070" t="s">
        <v>3227</v>
      </c>
      <c r="AJ485" s="3070">
        <v>0</v>
      </c>
      <c r="AK485" s="3070">
        <v>0</v>
      </c>
      <c r="AL485" s="3070">
        <v>0</v>
      </c>
      <c r="AM485" s="3070">
        <v>13095.48</v>
      </c>
      <c r="AN485" s="3070">
        <v>1493147</v>
      </c>
      <c r="AP485" s="3070">
        <v>1493147</v>
      </c>
      <c r="AQ485" s="3072">
        <v>45138</v>
      </c>
      <c r="AT485" s="3073">
        <v>45678</v>
      </c>
      <c r="AV485" s="3070" t="s">
        <v>7225</v>
      </c>
      <c r="AW485" s="3070" t="s">
        <v>7226</v>
      </c>
      <c r="AX485" s="3070" t="s">
        <v>7227</v>
      </c>
      <c r="AY485" s="3070" t="s">
        <v>3273</v>
      </c>
      <c r="BA485" s="3070" t="s">
        <v>3273</v>
      </c>
      <c r="BC485" s="3070" t="s">
        <v>7228</v>
      </c>
      <c r="BD485" s="3070" t="s">
        <v>3077</v>
      </c>
      <c r="BI485" s="3070" t="s">
        <v>3235</v>
      </c>
      <c r="BL485" s="3070" t="s">
        <v>7229</v>
      </c>
      <c r="BM485" s="3075">
        <v>44317</v>
      </c>
      <c r="BN485" s="3070">
        <v>704</v>
      </c>
      <c r="BO485" s="3070" t="s">
        <v>3253</v>
      </c>
      <c r="BR485" s="3070">
        <v>13</v>
      </c>
      <c r="BS485" s="3070" t="s">
        <v>3238</v>
      </c>
      <c r="BU485" s="3070" t="s">
        <v>3273</v>
      </c>
      <c r="BW485" s="3070" t="s">
        <v>7230</v>
      </c>
      <c r="BZ485" s="3073">
        <v>44169.698611111111</v>
      </c>
      <c r="CA485" s="3070">
        <v>5</v>
      </c>
      <c r="CD485" s="3070" t="s">
        <v>3239</v>
      </c>
      <c r="CF485" s="3070" t="s">
        <v>3091</v>
      </c>
      <c r="CH485" s="3070" t="s">
        <v>3240</v>
      </c>
      <c r="CI485" s="3070">
        <v>0</v>
      </c>
      <c r="CK485" s="3070" t="s">
        <v>3273</v>
      </c>
      <c r="CL485" s="3070" t="s">
        <v>3273</v>
      </c>
      <c r="CM485" s="3070">
        <v>1369859.63</v>
      </c>
      <c r="CV485" s="3070" t="s">
        <v>3246</v>
      </c>
      <c r="CW485" s="3070" t="s">
        <v>7231</v>
      </c>
      <c r="CX485" s="3070" t="s">
        <v>3242</v>
      </c>
      <c r="CZ485" s="3070">
        <v>213894.57</v>
      </c>
      <c r="DA485" s="3070">
        <v>159426.93</v>
      </c>
      <c r="DB485" s="3070">
        <v>0</v>
      </c>
      <c r="DC485" s="3070">
        <v>0</v>
      </c>
      <c r="DD485" s="3070">
        <v>3290547602</v>
      </c>
      <c r="DE485" s="3070">
        <v>2764253109</v>
      </c>
      <c r="DF485" s="3070">
        <v>1464966739</v>
      </c>
      <c r="DG485" s="3070">
        <v>14938370</v>
      </c>
      <c r="DH485" s="3070">
        <v>1284348000</v>
      </c>
      <c r="DI485" s="3070">
        <v>1278128000</v>
      </c>
      <c r="DJ485" s="3070">
        <v>6220000</v>
      </c>
      <c r="DK485" s="3070">
        <v>0</v>
      </c>
      <c r="DL485" s="3070">
        <v>0</v>
      </c>
      <c r="DM485" s="3070">
        <v>25491817.620000001</v>
      </c>
      <c r="DN485" s="3070">
        <v>2764253109</v>
      </c>
      <c r="DP485" s="3070">
        <v>2764253109</v>
      </c>
    </row>
    <row r="486" spans="1:120">
      <c r="A486" s="3070">
        <v>485</v>
      </c>
      <c r="B486" s="3070" t="s">
        <v>3224</v>
      </c>
      <c r="C486" s="3070">
        <v>5</v>
      </c>
      <c r="E486" s="3070">
        <v>1801</v>
      </c>
      <c r="F486" s="3070" t="s">
        <v>7232</v>
      </c>
      <c r="G486" s="3070" t="s">
        <v>7233</v>
      </c>
      <c r="H486" s="3070">
        <v>1519223</v>
      </c>
      <c r="I486" s="3070">
        <v>1519223</v>
      </c>
      <c r="J486" s="3070">
        <v>114.02</v>
      </c>
      <c r="K486" s="3070">
        <v>82.85</v>
      </c>
      <c r="L486" s="3070">
        <v>0</v>
      </c>
      <c r="M486" s="3070">
        <v>0</v>
      </c>
      <c r="N486" s="3070">
        <v>15194.44</v>
      </c>
      <c r="O486" s="3070">
        <v>1732470</v>
      </c>
      <c r="P486" s="3070">
        <v>13324.18</v>
      </c>
      <c r="Q486" s="3070">
        <v>1519223</v>
      </c>
      <c r="R486" s="3070" t="s">
        <v>3227</v>
      </c>
      <c r="S486" s="3070" t="s">
        <v>7234</v>
      </c>
      <c r="T486" s="3070" t="s">
        <v>3246</v>
      </c>
      <c r="U486" s="3070" t="s">
        <v>3279</v>
      </c>
      <c r="V486" s="3070" t="s">
        <v>3230</v>
      </c>
      <c r="Y486" s="3070">
        <v>619223</v>
      </c>
      <c r="Z486" s="3070">
        <v>619223</v>
      </c>
      <c r="AA486" s="3070">
        <v>619223</v>
      </c>
      <c r="AB486" s="3070">
        <v>0</v>
      </c>
      <c r="AC486" s="3070">
        <v>900000</v>
      </c>
      <c r="AD486" s="3070">
        <v>900000</v>
      </c>
      <c r="AE486" s="3070">
        <v>0</v>
      </c>
      <c r="AI486" s="3070" t="s">
        <v>3227</v>
      </c>
      <c r="AJ486" s="3070">
        <v>0</v>
      </c>
      <c r="AK486" s="3070">
        <v>0</v>
      </c>
      <c r="AL486" s="3070">
        <v>0</v>
      </c>
      <c r="AM486" s="3070">
        <v>13324.18</v>
      </c>
      <c r="AN486" s="3070">
        <v>1519223</v>
      </c>
      <c r="AP486" s="3070">
        <v>1519223</v>
      </c>
      <c r="AQ486" s="3072">
        <v>45138</v>
      </c>
      <c r="AT486" s="3073">
        <v>45678</v>
      </c>
      <c r="AV486" s="3074">
        <v>3.21E+17</v>
      </c>
      <c r="AW486" s="3070" t="s">
        <v>7235</v>
      </c>
      <c r="AX486" s="3070" t="s">
        <v>7236</v>
      </c>
      <c r="AY486" s="3070" t="s">
        <v>4100</v>
      </c>
      <c r="BC486" s="3070" t="s">
        <v>7237</v>
      </c>
      <c r="BD486" s="3070" t="s">
        <v>3077</v>
      </c>
      <c r="BI486" s="3070" t="s">
        <v>3235</v>
      </c>
      <c r="BJ486" s="3070" t="s">
        <v>3338</v>
      </c>
      <c r="BL486" s="3070" t="s">
        <v>7238</v>
      </c>
      <c r="BM486" s="3075">
        <v>44317</v>
      </c>
      <c r="BN486" s="3070">
        <v>801</v>
      </c>
      <c r="BO486" s="3070" t="s">
        <v>3253</v>
      </c>
      <c r="BR486" s="3070">
        <v>0</v>
      </c>
      <c r="BS486" s="3070" t="s">
        <v>3238</v>
      </c>
      <c r="BV486" s="3070" t="s">
        <v>7239</v>
      </c>
      <c r="BZ486" s="3073">
        <v>44253.620833333334</v>
      </c>
      <c r="CA486" s="3070">
        <v>5</v>
      </c>
      <c r="CD486" s="3070" t="s">
        <v>3239</v>
      </c>
      <c r="CF486" s="3070" t="s">
        <v>3091</v>
      </c>
      <c r="CH486" s="3070" t="s">
        <v>3240</v>
      </c>
      <c r="CI486" s="3070">
        <v>0</v>
      </c>
      <c r="CK486" s="3070" t="s">
        <v>4100</v>
      </c>
      <c r="CL486" s="3070" t="s">
        <v>4100</v>
      </c>
      <c r="CM486" s="3070">
        <v>1393782.57</v>
      </c>
      <c r="CV486" s="3070" t="s">
        <v>3246</v>
      </c>
      <c r="CW486" s="3070" t="s">
        <v>7240</v>
      </c>
      <c r="CX486" s="3070" t="s">
        <v>3267</v>
      </c>
      <c r="CZ486" s="3070">
        <v>213894.57</v>
      </c>
      <c r="DA486" s="3070">
        <v>159426.93</v>
      </c>
      <c r="DB486" s="3070">
        <v>0</v>
      </c>
      <c r="DC486" s="3070">
        <v>0</v>
      </c>
      <c r="DD486" s="3070">
        <v>3290547602</v>
      </c>
      <c r="DE486" s="3070">
        <v>2764253109</v>
      </c>
      <c r="DF486" s="3070">
        <v>1464966739</v>
      </c>
      <c r="DG486" s="3070">
        <v>14938370</v>
      </c>
      <c r="DH486" s="3070">
        <v>1284348000</v>
      </c>
      <c r="DI486" s="3070">
        <v>1278128000</v>
      </c>
      <c r="DJ486" s="3070">
        <v>6220000</v>
      </c>
      <c r="DK486" s="3070">
        <v>0</v>
      </c>
      <c r="DL486" s="3070">
        <v>0</v>
      </c>
      <c r="DM486" s="3070">
        <v>25491817.620000001</v>
      </c>
      <c r="DN486" s="3070">
        <v>2764253109</v>
      </c>
      <c r="DP486" s="3070">
        <v>2764253109</v>
      </c>
    </row>
    <row r="487" spans="1:120">
      <c r="A487" s="3070">
        <v>486</v>
      </c>
      <c r="B487" s="3070" t="s">
        <v>3224</v>
      </c>
      <c r="C487" s="3070">
        <v>5</v>
      </c>
      <c r="E487" s="3070">
        <v>1802</v>
      </c>
      <c r="F487" s="3070" t="s">
        <v>7241</v>
      </c>
      <c r="G487" s="3070" t="s">
        <v>7242</v>
      </c>
      <c r="H487" s="3070">
        <v>1161429</v>
      </c>
      <c r="I487" s="3070">
        <v>1161429</v>
      </c>
      <c r="J487" s="3070">
        <v>102.62</v>
      </c>
      <c r="K487" s="3070">
        <v>74.569999999999993</v>
      </c>
      <c r="L487" s="3070">
        <v>0</v>
      </c>
      <c r="M487" s="3070">
        <v>0</v>
      </c>
      <c r="N487" s="3070">
        <v>15394.44</v>
      </c>
      <c r="O487" s="3070">
        <v>1579777</v>
      </c>
      <c r="P487" s="3070">
        <v>11317.76</v>
      </c>
      <c r="Q487" s="3070">
        <v>1161429</v>
      </c>
      <c r="R487" s="3070" t="s">
        <v>3227</v>
      </c>
      <c r="S487" s="3070" t="s">
        <v>7243</v>
      </c>
      <c r="T487" s="3070" t="s">
        <v>3246</v>
      </c>
      <c r="U487" s="3070" t="s">
        <v>3247</v>
      </c>
      <c r="V487" s="3070" t="s">
        <v>3230</v>
      </c>
      <c r="Y487" s="3070">
        <v>461429</v>
      </c>
      <c r="Z487" s="3070">
        <v>461429</v>
      </c>
      <c r="AA487" s="3070">
        <v>461429</v>
      </c>
      <c r="AB487" s="3070">
        <v>0</v>
      </c>
      <c r="AC487" s="3070">
        <v>700000</v>
      </c>
      <c r="AD487" s="3070">
        <v>700000</v>
      </c>
      <c r="AE487" s="3070">
        <v>0</v>
      </c>
      <c r="AI487" s="3070" t="s">
        <v>3227</v>
      </c>
      <c r="AJ487" s="3070">
        <v>0</v>
      </c>
      <c r="AK487" s="3070">
        <v>0</v>
      </c>
      <c r="AL487" s="3070">
        <v>0</v>
      </c>
      <c r="AM487" s="3070">
        <v>11317.76</v>
      </c>
      <c r="AN487" s="3070">
        <v>1161429</v>
      </c>
      <c r="AP487" s="3070">
        <v>1161429</v>
      </c>
      <c r="AQ487" s="3072">
        <v>45138</v>
      </c>
      <c r="AT487" s="3073">
        <v>45678</v>
      </c>
      <c r="AV487" s="3074">
        <v>3.21E+17</v>
      </c>
      <c r="AW487" s="3070" t="s">
        <v>7244</v>
      </c>
      <c r="AX487" s="3070" t="s">
        <v>7245</v>
      </c>
      <c r="AY487" s="3070" t="s">
        <v>4065</v>
      </c>
      <c r="BA487" s="3070" t="s">
        <v>4065</v>
      </c>
      <c r="BC487" s="3070" t="s">
        <v>3588</v>
      </c>
      <c r="BD487" s="3070" t="s">
        <v>3077</v>
      </c>
      <c r="BI487" s="3070" t="s">
        <v>3235</v>
      </c>
      <c r="BL487" s="3070" t="s">
        <v>7246</v>
      </c>
      <c r="BM487" s="3075">
        <v>44317</v>
      </c>
      <c r="BN487" s="3070">
        <v>802</v>
      </c>
      <c r="BO487" s="3070" t="s">
        <v>3253</v>
      </c>
      <c r="BR487" s="3070">
        <v>20</v>
      </c>
      <c r="BS487" s="3070" t="s">
        <v>3238</v>
      </c>
      <c r="BU487" s="3070" t="s">
        <v>4065</v>
      </c>
      <c r="BZ487" s="3073">
        <v>44213.667361111111</v>
      </c>
      <c r="CA487" s="3070">
        <v>5</v>
      </c>
      <c r="CD487" s="3070" t="s">
        <v>3239</v>
      </c>
      <c r="CF487" s="3070" t="s">
        <v>3091</v>
      </c>
      <c r="CH487" s="3070" t="s">
        <v>3240</v>
      </c>
      <c r="CI487" s="3070">
        <v>0</v>
      </c>
      <c r="CK487" s="3070" t="s">
        <v>4068</v>
      </c>
      <c r="CL487" s="3070" t="s">
        <v>4068</v>
      </c>
      <c r="CM487" s="3070">
        <v>1065531.18</v>
      </c>
      <c r="CV487" s="3070" t="s">
        <v>3246</v>
      </c>
      <c r="CW487" s="3070" t="s">
        <v>7247</v>
      </c>
      <c r="CX487" s="3070" t="s">
        <v>3350</v>
      </c>
      <c r="CZ487" s="3070">
        <v>213894.57</v>
      </c>
      <c r="DA487" s="3070">
        <v>159426.93</v>
      </c>
      <c r="DB487" s="3070">
        <v>0</v>
      </c>
      <c r="DC487" s="3070">
        <v>0</v>
      </c>
      <c r="DD487" s="3070">
        <v>3290547602</v>
      </c>
      <c r="DE487" s="3070">
        <v>2764253109</v>
      </c>
      <c r="DF487" s="3070">
        <v>1464966739</v>
      </c>
      <c r="DG487" s="3070">
        <v>14938370</v>
      </c>
      <c r="DH487" s="3070">
        <v>1284348000</v>
      </c>
      <c r="DI487" s="3070">
        <v>1278128000</v>
      </c>
      <c r="DJ487" s="3070">
        <v>6220000</v>
      </c>
      <c r="DK487" s="3070">
        <v>0</v>
      </c>
      <c r="DL487" s="3070">
        <v>0</v>
      </c>
      <c r="DM487" s="3070">
        <v>25491817.620000001</v>
      </c>
      <c r="DN487" s="3070">
        <v>2764253109</v>
      </c>
      <c r="DP487" s="3070">
        <v>2764253109</v>
      </c>
    </row>
    <row r="488" spans="1:120">
      <c r="A488" s="3070">
        <v>487</v>
      </c>
      <c r="B488" s="3070" t="s">
        <v>3224</v>
      </c>
      <c r="C488" s="3070">
        <v>5</v>
      </c>
      <c r="E488" s="3070">
        <v>1803</v>
      </c>
      <c r="F488" s="3070" t="s">
        <v>7248</v>
      </c>
      <c r="G488" s="3070" t="s">
        <v>7249</v>
      </c>
      <c r="H488" s="3070">
        <v>1202411</v>
      </c>
      <c r="I488" s="3070">
        <v>1202411</v>
      </c>
      <c r="J488" s="3070">
        <v>102.56</v>
      </c>
      <c r="K488" s="3070">
        <v>74.53</v>
      </c>
      <c r="L488" s="3070">
        <v>0</v>
      </c>
      <c r="M488" s="3070">
        <v>0</v>
      </c>
      <c r="N488" s="3070">
        <v>15394.44</v>
      </c>
      <c r="O488" s="3070">
        <v>1578854</v>
      </c>
      <c r="P488" s="3070">
        <v>11723.98</v>
      </c>
      <c r="Q488" s="3070">
        <v>1202411</v>
      </c>
      <c r="R488" s="3070" t="s">
        <v>3227</v>
      </c>
      <c r="S488" s="3070" t="s">
        <v>7250</v>
      </c>
      <c r="T488" s="3070" t="s">
        <v>3258</v>
      </c>
      <c r="U488" s="3070" t="s">
        <v>3259</v>
      </c>
      <c r="V488" s="3070" t="s">
        <v>3230</v>
      </c>
      <c r="Y488" s="3070">
        <v>602411</v>
      </c>
      <c r="Z488" s="3070">
        <v>602411</v>
      </c>
      <c r="AA488" s="3070">
        <v>602411</v>
      </c>
      <c r="AB488" s="3070">
        <v>0</v>
      </c>
      <c r="AC488" s="3070">
        <v>600000</v>
      </c>
      <c r="AD488" s="3070">
        <v>600000</v>
      </c>
      <c r="AE488" s="3070">
        <v>0</v>
      </c>
      <c r="AI488" s="3070" t="s">
        <v>3227</v>
      </c>
      <c r="AJ488" s="3070">
        <v>0</v>
      </c>
      <c r="AK488" s="3070">
        <v>0</v>
      </c>
      <c r="AL488" s="3070">
        <v>0</v>
      </c>
      <c r="AM488" s="3070">
        <v>11723.98</v>
      </c>
      <c r="AN488" s="3070">
        <v>1202411</v>
      </c>
      <c r="AP488" s="3070">
        <v>1202411</v>
      </c>
      <c r="AQ488" s="3072">
        <v>45138</v>
      </c>
      <c r="AT488" s="3073">
        <v>45678</v>
      </c>
      <c r="AV488" s="3074">
        <v>3.21E+17</v>
      </c>
      <c r="AW488" s="3070" t="s">
        <v>7251</v>
      </c>
      <c r="AX488" s="3070" t="s">
        <v>7252</v>
      </c>
      <c r="AY488" s="3070" t="s">
        <v>3981</v>
      </c>
      <c r="BA488" s="3070" t="s">
        <v>3981</v>
      </c>
      <c r="BC488" s="3070" t="s">
        <v>7253</v>
      </c>
      <c r="BD488" s="3070" t="s">
        <v>3077</v>
      </c>
      <c r="BI488" s="3070" t="s">
        <v>3235</v>
      </c>
      <c r="BL488" s="3070" t="s">
        <v>7254</v>
      </c>
      <c r="BM488" s="3075">
        <v>44317</v>
      </c>
      <c r="BN488" s="3070">
        <v>803</v>
      </c>
      <c r="BO488" s="3070" t="s">
        <v>3253</v>
      </c>
      <c r="BP488" s="3070" t="s">
        <v>3253</v>
      </c>
      <c r="BR488" s="3070">
        <v>19</v>
      </c>
      <c r="BS488" s="3070" t="s">
        <v>3238</v>
      </c>
      <c r="BU488" s="3070" t="s">
        <v>3981</v>
      </c>
      <c r="BZ488" s="3073">
        <v>44223.79791666667</v>
      </c>
      <c r="CA488" s="3070">
        <v>5</v>
      </c>
      <c r="CD488" s="3070" t="s">
        <v>3239</v>
      </c>
      <c r="CF488" s="3070" t="s">
        <v>3091</v>
      </c>
      <c r="CH488" s="3070" t="s">
        <v>3240</v>
      </c>
      <c r="CI488" s="3070">
        <v>0</v>
      </c>
      <c r="CJ488" s="3070" t="s">
        <v>3259</v>
      </c>
      <c r="CK488" s="3070" t="s">
        <v>3985</v>
      </c>
      <c r="CL488" s="3070" t="s">
        <v>3986</v>
      </c>
      <c r="CM488" s="3070">
        <v>1103129.3600000001</v>
      </c>
      <c r="CV488" s="3070" t="s">
        <v>3258</v>
      </c>
      <c r="CW488" s="3070" t="s">
        <v>7255</v>
      </c>
      <c r="CZ488" s="3070">
        <v>213894.57</v>
      </c>
      <c r="DA488" s="3070">
        <v>159426.93</v>
      </c>
      <c r="DB488" s="3070">
        <v>0</v>
      </c>
      <c r="DC488" s="3070">
        <v>0</v>
      </c>
      <c r="DD488" s="3070">
        <v>3290547602</v>
      </c>
      <c r="DE488" s="3070">
        <v>2764253109</v>
      </c>
      <c r="DF488" s="3070">
        <v>1464966739</v>
      </c>
      <c r="DG488" s="3070">
        <v>14938370</v>
      </c>
      <c r="DH488" s="3070">
        <v>1284348000</v>
      </c>
      <c r="DI488" s="3070">
        <v>1278128000</v>
      </c>
      <c r="DJ488" s="3070">
        <v>6220000</v>
      </c>
      <c r="DK488" s="3070">
        <v>0</v>
      </c>
      <c r="DL488" s="3070">
        <v>0</v>
      </c>
      <c r="DM488" s="3070">
        <v>25491817.620000001</v>
      </c>
      <c r="DN488" s="3070">
        <v>2764253109</v>
      </c>
      <c r="DP488" s="3070">
        <v>2764253109</v>
      </c>
    </row>
    <row r="489" spans="1:120">
      <c r="A489" s="3070">
        <v>488</v>
      </c>
      <c r="B489" s="3070" t="s">
        <v>3224</v>
      </c>
      <c r="C489" s="3070">
        <v>5</v>
      </c>
      <c r="E489" s="3070">
        <v>1804</v>
      </c>
      <c r="F489" s="3070" t="s">
        <v>7256</v>
      </c>
      <c r="G489" s="3070" t="s">
        <v>7257</v>
      </c>
      <c r="H489" s="3070">
        <v>1027864</v>
      </c>
      <c r="I489" s="3070">
        <v>1027864</v>
      </c>
      <c r="J489" s="3070">
        <v>114.02</v>
      </c>
      <c r="K489" s="3070">
        <v>82.85</v>
      </c>
      <c r="L489" s="3070">
        <v>0</v>
      </c>
      <c r="M489" s="3070">
        <v>0</v>
      </c>
      <c r="N489" s="3070">
        <v>15144.44</v>
      </c>
      <c r="O489" s="3070">
        <v>1726769</v>
      </c>
      <c r="P489" s="3070">
        <v>9014.77</v>
      </c>
      <c r="Q489" s="3070">
        <v>1027864</v>
      </c>
      <c r="R489" s="3070" t="s">
        <v>3227</v>
      </c>
      <c r="S489" s="3070" t="s">
        <v>7258</v>
      </c>
      <c r="T489" s="3070" t="s">
        <v>4158</v>
      </c>
      <c r="V489" s="3070" t="s">
        <v>3230</v>
      </c>
      <c r="Y489" s="3070">
        <v>513932</v>
      </c>
      <c r="Z489" s="3070">
        <v>513932</v>
      </c>
      <c r="AA489" s="3070">
        <v>1027864</v>
      </c>
      <c r="AB489" s="3070">
        <v>0</v>
      </c>
      <c r="AC489" s="3070">
        <v>0</v>
      </c>
      <c r="AD489" s="3070">
        <v>0</v>
      </c>
      <c r="AE489" s="3070">
        <v>0</v>
      </c>
      <c r="AI489" s="3070" t="s">
        <v>3227</v>
      </c>
      <c r="AJ489" s="3070">
        <v>0</v>
      </c>
      <c r="AK489" s="3070">
        <v>0</v>
      </c>
      <c r="AL489" s="3070">
        <v>0</v>
      </c>
      <c r="AM489" s="3070">
        <v>9014.77</v>
      </c>
      <c r="AN489" s="3070">
        <v>1027864</v>
      </c>
      <c r="AP489" s="3070">
        <v>1027864</v>
      </c>
      <c r="AQ489" s="3072">
        <v>45138</v>
      </c>
      <c r="AT489" s="3073">
        <v>45678</v>
      </c>
      <c r="AV489" s="3070" t="s">
        <v>7259</v>
      </c>
      <c r="AW489" s="3070" t="s">
        <v>7260</v>
      </c>
      <c r="AX489" s="3070" t="s">
        <v>7261</v>
      </c>
      <c r="AY489" s="3070" t="s">
        <v>4065</v>
      </c>
      <c r="BA489" s="3070" t="s">
        <v>4065</v>
      </c>
      <c r="BC489" s="3070" t="s">
        <v>7262</v>
      </c>
      <c r="BD489" s="3070" t="s">
        <v>3077</v>
      </c>
      <c r="BI489" s="3070" t="s">
        <v>3235</v>
      </c>
      <c r="BJ489" s="3070" t="s">
        <v>3296</v>
      </c>
      <c r="BL489" s="3070" t="s">
        <v>7263</v>
      </c>
      <c r="BM489" s="3075">
        <v>44317</v>
      </c>
      <c r="BN489" s="3070">
        <v>804</v>
      </c>
      <c r="BR489" s="3070">
        <v>0</v>
      </c>
      <c r="BS489" s="3070" t="s">
        <v>3238</v>
      </c>
      <c r="BU489" s="3070" t="s">
        <v>4065</v>
      </c>
      <c r="BV489" s="3070" t="s">
        <v>7264</v>
      </c>
      <c r="BW489" s="3070" t="s">
        <v>7265</v>
      </c>
      <c r="BX489" s="3070" t="s">
        <v>7266</v>
      </c>
      <c r="BZ489" s="3073">
        <v>44256.638888888891</v>
      </c>
      <c r="CA489" s="3070">
        <v>5</v>
      </c>
      <c r="CD489" s="3070" t="s">
        <v>3239</v>
      </c>
      <c r="CF489" s="3070" t="s">
        <v>3091</v>
      </c>
      <c r="CH489" s="3070" t="s">
        <v>3240</v>
      </c>
      <c r="CI489" s="3070">
        <v>0</v>
      </c>
      <c r="CK489" s="3070" t="s">
        <v>3892</v>
      </c>
      <c r="CL489" s="3070" t="s">
        <v>4065</v>
      </c>
      <c r="CM489" s="3070">
        <v>942994.5</v>
      </c>
      <c r="CV489" s="3070" t="s">
        <v>3494</v>
      </c>
      <c r="CW489" s="3070" t="s">
        <v>7267</v>
      </c>
      <c r="CX489" s="3070" t="s">
        <v>3510</v>
      </c>
      <c r="CZ489" s="3070">
        <v>213894.57</v>
      </c>
      <c r="DA489" s="3070">
        <v>159426.93</v>
      </c>
      <c r="DB489" s="3070">
        <v>0</v>
      </c>
      <c r="DC489" s="3070">
        <v>0</v>
      </c>
      <c r="DD489" s="3070">
        <v>3290547602</v>
      </c>
      <c r="DE489" s="3070">
        <v>2764253109</v>
      </c>
      <c r="DF489" s="3070">
        <v>1464966739</v>
      </c>
      <c r="DG489" s="3070">
        <v>14938370</v>
      </c>
      <c r="DH489" s="3070">
        <v>1284348000</v>
      </c>
      <c r="DI489" s="3070">
        <v>1278128000</v>
      </c>
      <c r="DJ489" s="3070">
        <v>6220000</v>
      </c>
      <c r="DK489" s="3070">
        <v>0</v>
      </c>
      <c r="DL489" s="3070">
        <v>0</v>
      </c>
      <c r="DM489" s="3070">
        <v>25491817.620000001</v>
      </c>
      <c r="DN489" s="3070">
        <v>2764253109</v>
      </c>
      <c r="DP489" s="3070">
        <v>2764253109</v>
      </c>
    </row>
    <row r="490" spans="1:120">
      <c r="A490" s="3070">
        <v>489</v>
      </c>
      <c r="B490" s="3070" t="s">
        <v>3224</v>
      </c>
      <c r="C490" s="3070">
        <v>5</v>
      </c>
      <c r="E490" s="3070">
        <v>201</v>
      </c>
      <c r="F490" s="3070" t="s">
        <v>7268</v>
      </c>
      <c r="G490" s="3070" t="s">
        <v>7269</v>
      </c>
      <c r="H490" s="3070">
        <v>1247879</v>
      </c>
      <c r="I490" s="3070">
        <v>1247879</v>
      </c>
      <c r="J490" s="3070">
        <v>114.02</v>
      </c>
      <c r="K490" s="3070">
        <v>82.85</v>
      </c>
      <c r="L490" s="3070">
        <v>0</v>
      </c>
      <c r="M490" s="3070">
        <v>0</v>
      </c>
      <c r="N490" s="3070">
        <v>15044.44</v>
      </c>
      <c r="O490" s="3070">
        <v>1715367</v>
      </c>
      <c r="P490" s="3070">
        <v>10944.39</v>
      </c>
      <c r="Q490" s="3070">
        <v>1247879</v>
      </c>
      <c r="R490" s="3070" t="s">
        <v>3227</v>
      </c>
      <c r="S490" s="3070" t="s">
        <v>7270</v>
      </c>
      <c r="T490" s="3070" t="s">
        <v>3991</v>
      </c>
      <c r="V490" s="3070" t="s">
        <v>3230</v>
      </c>
      <c r="Y490" s="3070">
        <v>374364</v>
      </c>
      <c r="Z490" s="3070">
        <v>124788</v>
      </c>
      <c r="AA490" s="3070">
        <v>1247879</v>
      </c>
      <c r="AB490" s="3070">
        <v>0</v>
      </c>
      <c r="AC490" s="3070">
        <v>0</v>
      </c>
      <c r="AD490" s="3070">
        <v>0</v>
      </c>
      <c r="AE490" s="3070">
        <v>0</v>
      </c>
      <c r="AI490" s="3070" t="s">
        <v>3227</v>
      </c>
      <c r="AJ490" s="3070">
        <v>0</v>
      </c>
      <c r="AK490" s="3070">
        <v>0</v>
      </c>
      <c r="AL490" s="3070">
        <v>0</v>
      </c>
      <c r="AM490" s="3070">
        <v>10944.39</v>
      </c>
      <c r="AN490" s="3070">
        <v>1247879</v>
      </c>
      <c r="AP490" s="3070">
        <v>1247879</v>
      </c>
      <c r="AQ490" s="3072">
        <v>45138</v>
      </c>
      <c r="AT490" s="3073">
        <v>45678</v>
      </c>
      <c r="AV490" s="3074">
        <v>3.21E+17</v>
      </c>
      <c r="AW490" s="3070" t="s">
        <v>7271</v>
      </c>
      <c r="AX490" s="3070" t="s">
        <v>7272</v>
      </c>
      <c r="AY490" s="3070" t="s">
        <v>4065</v>
      </c>
      <c r="BA490" s="3070" t="s">
        <v>4065</v>
      </c>
      <c r="BC490" s="3070" t="s">
        <v>7273</v>
      </c>
      <c r="BD490" s="3070" t="s">
        <v>3077</v>
      </c>
      <c r="BI490" s="3070" t="s">
        <v>3295</v>
      </c>
      <c r="BL490" s="3070" t="s">
        <v>7274</v>
      </c>
      <c r="BM490" s="3075">
        <v>44318</v>
      </c>
      <c r="BN490" s="3070">
        <v>1</v>
      </c>
      <c r="BR490" s="3070">
        <v>16</v>
      </c>
      <c r="BS490" s="3070" t="s">
        <v>3238</v>
      </c>
      <c r="BU490" s="3070" t="s">
        <v>4065</v>
      </c>
      <c r="BZ490" s="3073">
        <v>44198.792361111111</v>
      </c>
      <c r="CA490" s="3070">
        <v>5</v>
      </c>
      <c r="CD490" s="3070" t="s">
        <v>3239</v>
      </c>
      <c r="CF490" s="3070" t="s">
        <v>3091</v>
      </c>
      <c r="CH490" s="3070" t="s">
        <v>3240</v>
      </c>
      <c r="CI490" s="3070">
        <v>0</v>
      </c>
      <c r="CK490" s="3070" t="s">
        <v>4068</v>
      </c>
      <c r="CL490" s="3070" t="s">
        <v>4065</v>
      </c>
      <c r="CM490" s="3070">
        <v>1144843.1200000001</v>
      </c>
      <c r="CV490" s="3070" t="s">
        <v>3494</v>
      </c>
      <c r="CW490" s="3070" t="s">
        <v>7275</v>
      </c>
      <c r="CZ490" s="3070">
        <v>213894.57</v>
      </c>
      <c r="DA490" s="3070">
        <v>159426.93</v>
      </c>
      <c r="DB490" s="3070">
        <v>0</v>
      </c>
      <c r="DC490" s="3070">
        <v>0</v>
      </c>
      <c r="DD490" s="3070">
        <v>3290547602</v>
      </c>
      <c r="DE490" s="3070">
        <v>2764253109</v>
      </c>
      <c r="DF490" s="3070">
        <v>1464966739</v>
      </c>
      <c r="DG490" s="3070">
        <v>14938370</v>
      </c>
      <c r="DH490" s="3070">
        <v>1284348000</v>
      </c>
      <c r="DI490" s="3070">
        <v>1278128000</v>
      </c>
      <c r="DJ490" s="3070">
        <v>6220000</v>
      </c>
      <c r="DK490" s="3070">
        <v>0</v>
      </c>
      <c r="DL490" s="3070">
        <v>0</v>
      </c>
      <c r="DM490" s="3070">
        <v>25491817.620000001</v>
      </c>
      <c r="DN490" s="3070">
        <v>2764253109</v>
      </c>
      <c r="DP490" s="3070">
        <v>2764253109</v>
      </c>
    </row>
    <row r="491" spans="1:120">
      <c r="A491" s="3070">
        <v>490</v>
      </c>
      <c r="B491" s="3070" t="s">
        <v>3224</v>
      </c>
      <c r="C491" s="3070">
        <v>5</v>
      </c>
      <c r="E491" s="3070">
        <v>202</v>
      </c>
      <c r="F491" s="3070" t="s">
        <v>7276</v>
      </c>
      <c r="G491" s="3070" t="s">
        <v>7277</v>
      </c>
      <c r="H491" s="3070">
        <v>1265164</v>
      </c>
      <c r="I491" s="3070">
        <v>1265164</v>
      </c>
      <c r="J491" s="3070">
        <v>102.67</v>
      </c>
      <c r="K491" s="3070">
        <v>74.61</v>
      </c>
      <c r="L491" s="3070">
        <v>0</v>
      </c>
      <c r="M491" s="3070">
        <v>0</v>
      </c>
      <c r="N491" s="3070">
        <v>15244.44</v>
      </c>
      <c r="O491" s="3070">
        <v>1565147</v>
      </c>
      <c r="P491" s="3070">
        <v>12322.63</v>
      </c>
      <c r="Q491" s="3070">
        <v>1265164</v>
      </c>
      <c r="R491" s="3070" t="s">
        <v>3227</v>
      </c>
      <c r="S491" s="3070" t="s">
        <v>7278</v>
      </c>
      <c r="T491" s="3070" t="s">
        <v>3246</v>
      </c>
      <c r="U491" s="3070" t="s">
        <v>3247</v>
      </c>
      <c r="V491" s="3070" t="s">
        <v>3230</v>
      </c>
      <c r="Y491" s="3070">
        <v>385164</v>
      </c>
      <c r="Z491" s="3070">
        <v>126516</v>
      </c>
      <c r="AA491" s="3070">
        <v>385164</v>
      </c>
      <c r="AB491" s="3070">
        <v>0</v>
      </c>
      <c r="AC491" s="3070">
        <v>880000</v>
      </c>
      <c r="AD491" s="3070">
        <v>880000</v>
      </c>
      <c r="AE491" s="3070">
        <v>0</v>
      </c>
      <c r="AI491" s="3070" t="s">
        <v>3227</v>
      </c>
      <c r="AJ491" s="3070">
        <v>0</v>
      </c>
      <c r="AK491" s="3070">
        <v>0</v>
      </c>
      <c r="AL491" s="3070">
        <v>0</v>
      </c>
      <c r="AM491" s="3070">
        <v>12322.63</v>
      </c>
      <c r="AN491" s="3070">
        <v>1265164</v>
      </c>
      <c r="AP491" s="3070">
        <v>1265164</v>
      </c>
      <c r="AQ491" s="3072">
        <v>45138</v>
      </c>
      <c r="AT491" s="3073">
        <v>45678</v>
      </c>
      <c r="AV491" s="3070" t="s">
        <v>7279</v>
      </c>
      <c r="AW491" s="3070" t="s">
        <v>7280</v>
      </c>
      <c r="AX491" s="3070" t="s">
        <v>7281</v>
      </c>
      <c r="AY491" s="3070" t="s">
        <v>3273</v>
      </c>
      <c r="BC491" s="3070" t="s">
        <v>3251</v>
      </c>
      <c r="BD491" s="3070" t="s">
        <v>3077</v>
      </c>
      <c r="BI491" s="3070" t="s">
        <v>3235</v>
      </c>
      <c r="BL491" s="3070" t="s">
        <v>7282</v>
      </c>
      <c r="BM491" s="3075">
        <v>44318</v>
      </c>
      <c r="BN491" s="3070">
        <v>2</v>
      </c>
      <c r="BO491" s="3070" t="s">
        <v>3253</v>
      </c>
      <c r="BR491" s="3070">
        <v>799</v>
      </c>
      <c r="BS491" s="3070" t="s">
        <v>3238</v>
      </c>
      <c r="BZ491" s="3073">
        <v>44142.652083333334</v>
      </c>
      <c r="CA491" s="3070">
        <v>5</v>
      </c>
      <c r="CD491" s="3070" t="s">
        <v>3239</v>
      </c>
      <c r="CF491" s="3070" t="s">
        <v>3091</v>
      </c>
      <c r="CH491" s="3070" t="s">
        <v>3240</v>
      </c>
      <c r="CI491" s="3070">
        <v>0</v>
      </c>
      <c r="CK491" s="3070" t="s">
        <v>3273</v>
      </c>
      <c r="CL491" s="3070" t="s">
        <v>3273</v>
      </c>
      <c r="CM491" s="3070">
        <v>1160700.9099999999</v>
      </c>
      <c r="CV491" s="3070" t="s">
        <v>3246</v>
      </c>
      <c r="CW491" s="3070" t="s">
        <v>7283</v>
      </c>
      <c r="CX491" s="3070" t="s">
        <v>3350</v>
      </c>
      <c r="CZ491" s="3070">
        <v>213894.57</v>
      </c>
      <c r="DA491" s="3070">
        <v>159426.93</v>
      </c>
      <c r="DB491" s="3070">
        <v>0</v>
      </c>
      <c r="DC491" s="3070">
        <v>0</v>
      </c>
      <c r="DD491" s="3070">
        <v>3290547602</v>
      </c>
      <c r="DE491" s="3070">
        <v>2764253109</v>
      </c>
      <c r="DF491" s="3070">
        <v>1464966739</v>
      </c>
      <c r="DG491" s="3070">
        <v>14938370</v>
      </c>
      <c r="DH491" s="3070">
        <v>1284348000</v>
      </c>
      <c r="DI491" s="3070">
        <v>1278128000</v>
      </c>
      <c r="DJ491" s="3070">
        <v>6220000</v>
      </c>
      <c r="DK491" s="3070">
        <v>0</v>
      </c>
      <c r="DL491" s="3070">
        <v>0</v>
      </c>
      <c r="DM491" s="3070">
        <v>25491817.620000001</v>
      </c>
      <c r="DN491" s="3070">
        <v>2764253109</v>
      </c>
      <c r="DP491" s="3070">
        <v>2764253109</v>
      </c>
    </row>
    <row r="492" spans="1:120">
      <c r="A492" s="3070">
        <v>491</v>
      </c>
      <c r="B492" s="3070" t="s">
        <v>3224</v>
      </c>
      <c r="C492" s="3070">
        <v>5</v>
      </c>
      <c r="E492" s="3070">
        <v>203</v>
      </c>
      <c r="F492" s="3070" t="s">
        <v>7284</v>
      </c>
      <c r="G492" s="3070" t="s">
        <v>7285</v>
      </c>
      <c r="H492" s="3070">
        <v>1277582</v>
      </c>
      <c r="I492" s="3070">
        <v>1277582</v>
      </c>
      <c r="J492" s="3070">
        <v>102.67</v>
      </c>
      <c r="K492" s="3070">
        <v>74.61</v>
      </c>
      <c r="L492" s="3070">
        <v>0</v>
      </c>
      <c r="M492" s="3070">
        <v>0</v>
      </c>
      <c r="N492" s="3070">
        <v>15244.44</v>
      </c>
      <c r="O492" s="3070">
        <v>1565147</v>
      </c>
      <c r="P492" s="3070">
        <v>12443.58</v>
      </c>
      <c r="Q492" s="3070">
        <v>1277582</v>
      </c>
      <c r="R492" s="3070" t="s">
        <v>3227</v>
      </c>
      <c r="S492" s="3070" t="s">
        <v>7286</v>
      </c>
      <c r="T492" s="3070" t="s">
        <v>3246</v>
      </c>
      <c r="U492" s="3070" t="s">
        <v>3279</v>
      </c>
      <c r="V492" s="3070" t="s">
        <v>3230</v>
      </c>
      <c r="Y492" s="3070">
        <v>567582</v>
      </c>
      <c r="Z492" s="3070">
        <v>567582</v>
      </c>
      <c r="AA492" s="3070">
        <v>567582</v>
      </c>
      <c r="AB492" s="3070">
        <v>0</v>
      </c>
      <c r="AC492" s="3070">
        <v>710000</v>
      </c>
      <c r="AD492" s="3070">
        <v>710000</v>
      </c>
      <c r="AE492" s="3070">
        <v>0</v>
      </c>
      <c r="AI492" s="3070" t="s">
        <v>3227</v>
      </c>
      <c r="AJ492" s="3070">
        <v>0</v>
      </c>
      <c r="AK492" s="3070">
        <v>0</v>
      </c>
      <c r="AL492" s="3070">
        <v>0</v>
      </c>
      <c r="AM492" s="3070">
        <v>12443.58</v>
      </c>
      <c r="AN492" s="3070">
        <v>1277582</v>
      </c>
      <c r="AP492" s="3070">
        <v>1277582</v>
      </c>
      <c r="AQ492" s="3072">
        <v>45138</v>
      </c>
      <c r="AT492" s="3073">
        <v>45678</v>
      </c>
      <c r="AV492" s="3074">
        <v>3.21E+17</v>
      </c>
      <c r="AW492" s="3070" t="s">
        <v>7287</v>
      </c>
      <c r="AX492" s="3070" t="s">
        <v>7288</v>
      </c>
      <c r="AY492" s="3070" t="s">
        <v>3981</v>
      </c>
      <c r="BC492" s="3070" t="s">
        <v>7289</v>
      </c>
      <c r="BD492" s="3070" t="s">
        <v>3077</v>
      </c>
      <c r="BI492" s="3070" t="s">
        <v>3235</v>
      </c>
      <c r="BL492" s="3070" t="s">
        <v>7290</v>
      </c>
      <c r="BM492" s="3075">
        <v>44318</v>
      </c>
      <c r="BN492" s="3070">
        <v>3</v>
      </c>
      <c r="BO492" s="3070" t="s">
        <v>3253</v>
      </c>
      <c r="BR492" s="3070">
        <v>23</v>
      </c>
      <c r="BS492" s="3070" t="s">
        <v>3238</v>
      </c>
      <c r="BV492" s="3070" t="s">
        <v>7291</v>
      </c>
      <c r="BZ492" s="3073">
        <v>44192.594444444447</v>
      </c>
      <c r="CA492" s="3070">
        <v>5</v>
      </c>
      <c r="CD492" s="3070" t="s">
        <v>3239</v>
      </c>
      <c r="CF492" s="3070" t="s">
        <v>3091</v>
      </c>
      <c r="CH492" s="3070" t="s">
        <v>3240</v>
      </c>
      <c r="CI492" s="3070">
        <v>0</v>
      </c>
      <c r="CK492" s="3070" t="s">
        <v>3986</v>
      </c>
      <c r="CL492" s="3070" t="s">
        <v>3986</v>
      </c>
      <c r="CM492" s="3070">
        <v>1172093.58</v>
      </c>
      <c r="CV492" s="3070" t="s">
        <v>3246</v>
      </c>
      <c r="CW492" s="3070" t="s">
        <v>7292</v>
      </c>
      <c r="CX492" s="3070" t="s">
        <v>3267</v>
      </c>
      <c r="CZ492" s="3070">
        <v>213894.57</v>
      </c>
      <c r="DA492" s="3070">
        <v>159426.93</v>
      </c>
      <c r="DB492" s="3070">
        <v>0</v>
      </c>
      <c r="DC492" s="3070">
        <v>0</v>
      </c>
      <c r="DD492" s="3070">
        <v>3290547602</v>
      </c>
      <c r="DE492" s="3070">
        <v>2764253109</v>
      </c>
      <c r="DF492" s="3070">
        <v>1464966739</v>
      </c>
      <c r="DG492" s="3070">
        <v>14938370</v>
      </c>
      <c r="DH492" s="3070">
        <v>1284348000</v>
      </c>
      <c r="DI492" s="3070">
        <v>1278128000</v>
      </c>
      <c r="DJ492" s="3070">
        <v>6220000</v>
      </c>
      <c r="DK492" s="3070">
        <v>0</v>
      </c>
      <c r="DL492" s="3070">
        <v>0</v>
      </c>
      <c r="DM492" s="3070">
        <v>25491817.620000001</v>
      </c>
      <c r="DN492" s="3070">
        <v>2764253109</v>
      </c>
      <c r="DP492" s="3070">
        <v>2764253109</v>
      </c>
    </row>
    <row r="493" spans="1:120">
      <c r="A493" s="3070">
        <v>492</v>
      </c>
      <c r="B493" s="3070" t="s">
        <v>3224</v>
      </c>
      <c r="C493" s="3070">
        <v>5</v>
      </c>
      <c r="E493" s="3070">
        <v>204</v>
      </c>
      <c r="F493" s="3070" t="s">
        <v>7293</v>
      </c>
      <c r="G493" s="3070" t="s">
        <v>7294</v>
      </c>
      <c r="H493" s="3070">
        <v>1508699</v>
      </c>
      <c r="I493" s="3070">
        <v>1508699</v>
      </c>
      <c r="J493" s="3070">
        <v>114.02</v>
      </c>
      <c r="K493" s="3070">
        <v>82.85</v>
      </c>
      <c r="L493" s="3070">
        <v>0</v>
      </c>
      <c r="M493" s="3070">
        <v>0</v>
      </c>
      <c r="N493" s="3070">
        <v>14994.44</v>
      </c>
      <c r="O493" s="3070">
        <v>1709666</v>
      </c>
      <c r="P493" s="3070">
        <v>13231.88</v>
      </c>
      <c r="Q493" s="3070">
        <v>1508699</v>
      </c>
      <c r="R493" s="3070" t="s">
        <v>3227</v>
      </c>
      <c r="S493" s="3070" t="s">
        <v>7295</v>
      </c>
      <c r="T493" s="3070" t="s">
        <v>3246</v>
      </c>
      <c r="U493" s="3070" t="s">
        <v>3247</v>
      </c>
      <c r="V493" s="3070" t="s">
        <v>3230</v>
      </c>
      <c r="Y493" s="3070">
        <v>458699</v>
      </c>
      <c r="Z493" s="3070">
        <v>458699</v>
      </c>
      <c r="AA493" s="3070">
        <v>458699</v>
      </c>
      <c r="AB493" s="3070">
        <v>0</v>
      </c>
      <c r="AC493" s="3070">
        <v>1050000</v>
      </c>
      <c r="AD493" s="3070">
        <v>1050000</v>
      </c>
      <c r="AE493" s="3070">
        <v>0</v>
      </c>
      <c r="AI493" s="3070" t="s">
        <v>3227</v>
      </c>
      <c r="AJ493" s="3070">
        <v>0</v>
      </c>
      <c r="AK493" s="3070">
        <v>0</v>
      </c>
      <c r="AL493" s="3070">
        <v>0</v>
      </c>
      <c r="AM493" s="3070">
        <v>13231.88</v>
      </c>
      <c r="AN493" s="3070">
        <v>1508699</v>
      </c>
      <c r="AP493" s="3070">
        <v>1508699</v>
      </c>
      <c r="AQ493" s="3072">
        <v>45138</v>
      </c>
      <c r="AT493" s="3073">
        <v>45678</v>
      </c>
      <c r="AV493" s="3070" t="s">
        <v>7296</v>
      </c>
      <c r="AW493" s="3070" t="s">
        <v>7297</v>
      </c>
      <c r="AX493" s="3070" t="s">
        <v>7298</v>
      </c>
      <c r="AY493" s="3070" t="s">
        <v>4065</v>
      </c>
      <c r="BA493" s="3070" t="s">
        <v>4065</v>
      </c>
      <c r="BC493" s="3070" t="s">
        <v>4175</v>
      </c>
      <c r="BD493" s="3070" t="s">
        <v>3077</v>
      </c>
      <c r="BI493" s="3070" t="s">
        <v>3235</v>
      </c>
      <c r="BJ493" s="3070" t="s">
        <v>3296</v>
      </c>
      <c r="BL493" s="3070" t="s">
        <v>7299</v>
      </c>
      <c r="BM493" s="3075">
        <v>44318</v>
      </c>
      <c r="BN493" s="3070">
        <v>4</v>
      </c>
      <c r="BO493" s="3070" t="s">
        <v>3253</v>
      </c>
      <c r="BR493" s="3070">
        <v>0</v>
      </c>
      <c r="BS493" s="3070" t="s">
        <v>3238</v>
      </c>
      <c r="BU493" s="3070" t="s">
        <v>4065</v>
      </c>
      <c r="BZ493" s="3073">
        <v>44245.475694444445</v>
      </c>
      <c r="CA493" s="3070">
        <v>5</v>
      </c>
      <c r="CD493" s="3070" t="s">
        <v>3239</v>
      </c>
      <c r="CF493" s="3070" t="s">
        <v>3091</v>
      </c>
      <c r="CH493" s="3070" t="s">
        <v>3240</v>
      </c>
      <c r="CI493" s="3070">
        <v>0</v>
      </c>
      <c r="CK493" s="3070" t="s">
        <v>4167</v>
      </c>
      <c r="CL493" s="3070" t="s">
        <v>4065</v>
      </c>
      <c r="CM493" s="3070">
        <v>1384127.52</v>
      </c>
      <c r="CV493" s="3070" t="s">
        <v>3246</v>
      </c>
      <c r="CW493" s="3070" t="s">
        <v>7300</v>
      </c>
      <c r="CX493" s="3070" t="s">
        <v>3510</v>
      </c>
      <c r="CZ493" s="3070">
        <v>213894.57</v>
      </c>
      <c r="DA493" s="3070">
        <v>159426.93</v>
      </c>
      <c r="DB493" s="3070">
        <v>0</v>
      </c>
      <c r="DC493" s="3070">
        <v>0</v>
      </c>
      <c r="DD493" s="3070">
        <v>3290547602</v>
      </c>
      <c r="DE493" s="3070">
        <v>2764253109</v>
      </c>
      <c r="DF493" s="3070">
        <v>1464966739</v>
      </c>
      <c r="DG493" s="3070">
        <v>14938370</v>
      </c>
      <c r="DH493" s="3070">
        <v>1284348000</v>
      </c>
      <c r="DI493" s="3070">
        <v>1278128000</v>
      </c>
      <c r="DJ493" s="3070">
        <v>6220000</v>
      </c>
      <c r="DK493" s="3070">
        <v>0</v>
      </c>
      <c r="DL493" s="3070">
        <v>0</v>
      </c>
      <c r="DM493" s="3070">
        <v>25491817.620000001</v>
      </c>
      <c r="DN493" s="3070">
        <v>2764253109</v>
      </c>
      <c r="DP493" s="3070">
        <v>2764253109</v>
      </c>
    </row>
    <row r="494" spans="1:120">
      <c r="A494" s="3070">
        <v>493</v>
      </c>
      <c r="B494" s="3070" t="s">
        <v>3224</v>
      </c>
      <c r="C494" s="3070">
        <v>5</v>
      </c>
      <c r="E494" s="3070">
        <v>301</v>
      </c>
      <c r="F494" s="3070" t="s">
        <v>7301</v>
      </c>
      <c r="G494" s="3070" t="s">
        <v>7302</v>
      </c>
      <c r="H494" s="3070">
        <v>1392003</v>
      </c>
      <c r="I494" s="3070">
        <v>1392003</v>
      </c>
      <c r="J494" s="3070">
        <v>114.02</v>
      </c>
      <c r="K494" s="3070">
        <v>82.85</v>
      </c>
      <c r="L494" s="3070">
        <v>0</v>
      </c>
      <c r="M494" s="3070">
        <v>0</v>
      </c>
      <c r="N494" s="3070">
        <v>15144.44</v>
      </c>
      <c r="O494" s="3070">
        <v>1726769</v>
      </c>
      <c r="P494" s="3070">
        <v>12208.41</v>
      </c>
      <c r="Q494" s="3070">
        <v>1392003</v>
      </c>
      <c r="R494" s="3070" t="s">
        <v>3227</v>
      </c>
      <c r="S494" s="3070" t="s">
        <v>7303</v>
      </c>
      <c r="T494" s="3070" t="s">
        <v>3246</v>
      </c>
      <c r="U494" s="3070" t="s">
        <v>3247</v>
      </c>
      <c r="V494" s="3070" t="s">
        <v>3230</v>
      </c>
      <c r="Y494" s="3070">
        <v>422003</v>
      </c>
      <c r="Z494" s="3070">
        <v>422003</v>
      </c>
      <c r="AA494" s="3070">
        <v>422003</v>
      </c>
      <c r="AB494" s="3070">
        <v>0</v>
      </c>
      <c r="AC494" s="3070">
        <v>970000</v>
      </c>
      <c r="AD494" s="3070">
        <v>970000</v>
      </c>
      <c r="AE494" s="3070">
        <v>0</v>
      </c>
      <c r="AI494" s="3070" t="s">
        <v>3227</v>
      </c>
      <c r="AJ494" s="3070">
        <v>0</v>
      </c>
      <c r="AK494" s="3070">
        <v>0</v>
      </c>
      <c r="AL494" s="3070">
        <v>0</v>
      </c>
      <c r="AM494" s="3070">
        <v>12208.41</v>
      </c>
      <c r="AN494" s="3070">
        <v>1392003</v>
      </c>
      <c r="AP494" s="3070">
        <v>1392003</v>
      </c>
      <c r="AQ494" s="3072">
        <v>45138</v>
      </c>
      <c r="AT494" s="3073">
        <v>45678</v>
      </c>
      <c r="AV494" s="3074">
        <v>3.41E+17</v>
      </c>
      <c r="AW494" s="3070" t="s">
        <v>7304</v>
      </c>
      <c r="AX494" s="3070" t="s">
        <v>7305</v>
      </c>
      <c r="AY494" s="3070" t="s">
        <v>4065</v>
      </c>
      <c r="BA494" s="3070" t="s">
        <v>4242</v>
      </c>
      <c r="BC494" s="3070" t="s">
        <v>7306</v>
      </c>
      <c r="BD494" s="3070" t="s">
        <v>3077</v>
      </c>
      <c r="BI494" s="3070" t="s">
        <v>3235</v>
      </c>
      <c r="BL494" s="3070" t="s">
        <v>7307</v>
      </c>
      <c r="BM494" s="3075">
        <v>44319</v>
      </c>
      <c r="BN494" s="3070">
        <v>1</v>
      </c>
      <c r="BO494" s="3070" t="s">
        <v>3253</v>
      </c>
      <c r="BR494" s="3070">
        <v>16</v>
      </c>
      <c r="BS494" s="3070" t="s">
        <v>3238</v>
      </c>
      <c r="BU494" s="3070" t="s">
        <v>4242</v>
      </c>
      <c r="BZ494" s="3073">
        <v>44198.712500000001</v>
      </c>
      <c r="CA494" s="3070">
        <v>5</v>
      </c>
      <c r="CD494" s="3070" t="s">
        <v>3239</v>
      </c>
      <c r="CF494" s="3070" t="s">
        <v>3091</v>
      </c>
      <c r="CH494" s="3070" t="s">
        <v>3240</v>
      </c>
      <c r="CI494" s="3070">
        <v>0</v>
      </c>
      <c r="CK494" s="3070" t="s">
        <v>4242</v>
      </c>
      <c r="CL494" s="3070" t="s">
        <v>4242</v>
      </c>
      <c r="CM494" s="3070">
        <v>1277066.97</v>
      </c>
      <c r="CV494" s="3070" t="s">
        <v>3246</v>
      </c>
      <c r="CW494" s="3070" t="s">
        <v>7308</v>
      </c>
      <c r="CX494" s="3070" t="s">
        <v>3510</v>
      </c>
      <c r="CZ494" s="3070">
        <v>213894.57</v>
      </c>
      <c r="DA494" s="3070">
        <v>159426.93</v>
      </c>
      <c r="DB494" s="3070">
        <v>0</v>
      </c>
      <c r="DC494" s="3070">
        <v>0</v>
      </c>
      <c r="DD494" s="3070">
        <v>3290547602</v>
      </c>
      <c r="DE494" s="3070">
        <v>2764253109</v>
      </c>
      <c r="DF494" s="3070">
        <v>1464966739</v>
      </c>
      <c r="DG494" s="3070">
        <v>14938370</v>
      </c>
      <c r="DH494" s="3070">
        <v>1284348000</v>
      </c>
      <c r="DI494" s="3070">
        <v>1278128000</v>
      </c>
      <c r="DJ494" s="3070">
        <v>6220000</v>
      </c>
      <c r="DK494" s="3070">
        <v>0</v>
      </c>
      <c r="DL494" s="3070">
        <v>0</v>
      </c>
      <c r="DM494" s="3070">
        <v>25491817.620000001</v>
      </c>
      <c r="DN494" s="3070">
        <v>2764253109</v>
      </c>
      <c r="DP494" s="3070">
        <v>2764253109</v>
      </c>
    </row>
    <row r="495" spans="1:120">
      <c r="A495" s="3070">
        <v>494</v>
      </c>
      <c r="B495" s="3070" t="s">
        <v>3224</v>
      </c>
      <c r="C495" s="3070">
        <v>5</v>
      </c>
      <c r="E495" s="3070">
        <v>302</v>
      </c>
      <c r="F495" s="3070" t="s">
        <v>7309</v>
      </c>
      <c r="G495" s="3070" t="s">
        <v>7310</v>
      </c>
      <c r="H495" s="3070">
        <v>1274924</v>
      </c>
      <c r="I495" s="3070">
        <v>1274924</v>
      </c>
      <c r="J495" s="3070">
        <v>102.67</v>
      </c>
      <c r="K495" s="3070">
        <v>74.61</v>
      </c>
      <c r="L495" s="3070">
        <v>0</v>
      </c>
      <c r="M495" s="3070">
        <v>0</v>
      </c>
      <c r="N495" s="3070">
        <v>15344.44</v>
      </c>
      <c r="O495" s="3070">
        <v>1575414</v>
      </c>
      <c r="P495" s="3070">
        <v>12417.69</v>
      </c>
      <c r="Q495" s="3070">
        <v>1274924</v>
      </c>
      <c r="R495" s="3070" t="s">
        <v>3227</v>
      </c>
      <c r="S495" s="3070" t="s">
        <v>7311</v>
      </c>
      <c r="T495" s="3070" t="s">
        <v>3258</v>
      </c>
      <c r="U495" s="3070" t="s">
        <v>3259</v>
      </c>
      <c r="V495" s="3070" t="s">
        <v>3230</v>
      </c>
      <c r="Y495" s="3070">
        <v>654924</v>
      </c>
      <c r="Z495" s="3070">
        <v>654924</v>
      </c>
      <c r="AA495" s="3070">
        <v>654924</v>
      </c>
      <c r="AB495" s="3070">
        <v>0</v>
      </c>
      <c r="AC495" s="3070">
        <v>620000</v>
      </c>
      <c r="AD495" s="3070">
        <v>620000</v>
      </c>
      <c r="AE495" s="3070">
        <v>0</v>
      </c>
      <c r="AI495" s="3070" t="s">
        <v>3227</v>
      </c>
      <c r="AJ495" s="3070">
        <v>0</v>
      </c>
      <c r="AK495" s="3070">
        <v>0</v>
      </c>
      <c r="AL495" s="3070">
        <v>0</v>
      </c>
      <c r="AM495" s="3070">
        <v>12417.69</v>
      </c>
      <c r="AN495" s="3070">
        <v>1274924</v>
      </c>
      <c r="AP495" s="3070">
        <v>1274924</v>
      </c>
      <c r="AQ495" s="3072">
        <v>45138</v>
      </c>
      <c r="AT495" s="3073">
        <v>45678</v>
      </c>
      <c r="AV495" s="3070" t="s">
        <v>7312</v>
      </c>
      <c r="AW495" s="3070" t="s">
        <v>7313</v>
      </c>
      <c r="AX495" s="3070" t="s">
        <v>7314</v>
      </c>
      <c r="AY495" s="3070" t="s">
        <v>3699</v>
      </c>
      <c r="BC495" s="3070" t="s">
        <v>3263</v>
      </c>
      <c r="BD495" s="3070" t="s">
        <v>3077</v>
      </c>
      <c r="BI495" s="3070" t="s">
        <v>3235</v>
      </c>
      <c r="BJ495" s="3070" t="s">
        <v>3236</v>
      </c>
      <c r="BL495" s="3070" t="s">
        <v>7315</v>
      </c>
      <c r="BM495" s="3075">
        <v>44319</v>
      </c>
      <c r="BN495" s="3070">
        <v>2</v>
      </c>
      <c r="BO495" s="3070" t="s">
        <v>3253</v>
      </c>
      <c r="BP495" s="3070" t="s">
        <v>3253</v>
      </c>
      <c r="BR495" s="3070">
        <v>557</v>
      </c>
      <c r="BS495" s="3070" t="s">
        <v>3238</v>
      </c>
      <c r="BZ495" s="3073">
        <v>44150.472222222219</v>
      </c>
      <c r="CA495" s="3070">
        <v>5</v>
      </c>
      <c r="CD495" s="3070" t="s">
        <v>3239</v>
      </c>
      <c r="CF495" s="3070" t="s">
        <v>3091</v>
      </c>
      <c r="CH495" s="3070" t="s">
        <v>3240</v>
      </c>
      <c r="CI495" s="3070">
        <v>0</v>
      </c>
      <c r="CJ495" s="3070" t="s">
        <v>3259</v>
      </c>
      <c r="CK495" s="3070" t="s">
        <v>3699</v>
      </c>
      <c r="CL495" s="3070" t="s">
        <v>3699</v>
      </c>
      <c r="CM495" s="3070">
        <v>1169655.05</v>
      </c>
      <c r="CV495" s="3070" t="s">
        <v>3258</v>
      </c>
      <c r="CW495" s="3070" t="s">
        <v>7316</v>
      </c>
      <c r="CZ495" s="3070">
        <v>213894.57</v>
      </c>
      <c r="DA495" s="3070">
        <v>159426.93</v>
      </c>
      <c r="DB495" s="3070">
        <v>0</v>
      </c>
      <c r="DC495" s="3070">
        <v>0</v>
      </c>
      <c r="DD495" s="3070">
        <v>3290547602</v>
      </c>
      <c r="DE495" s="3070">
        <v>2764253109</v>
      </c>
      <c r="DF495" s="3070">
        <v>1464966739</v>
      </c>
      <c r="DG495" s="3070">
        <v>14938370</v>
      </c>
      <c r="DH495" s="3070">
        <v>1284348000</v>
      </c>
      <c r="DI495" s="3070">
        <v>1278128000</v>
      </c>
      <c r="DJ495" s="3070">
        <v>6220000</v>
      </c>
      <c r="DK495" s="3070">
        <v>0</v>
      </c>
      <c r="DL495" s="3070">
        <v>0</v>
      </c>
      <c r="DM495" s="3070">
        <v>25491817.620000001</v>
      </c>
      <c r="DN495" s="3070">
        <v>2764253109</v>
      </c>
      <c r="DP495" s="3070">
        <v>2764253109</v>
      </c>
    </row>
    <row r="496" spans="1:120">
      <c r="A496" s="3070">
        <v>495</v>
      </c>
      <c r="B496" s="3070" t="s">
        <v>3224</v>
      </c>
      <c r="C496" s="3070">
        <v>5</v>
      </c>
      <c r="E496" s="3070">
        <v>303</v>
      </c>
      <c r="F496" s="3070" t="s">
        <v>7317</v>
      </c>
      <c r="G496" s="3070" t="s">
        <v>7318</v>
      </c>
      <c r="H496" s="3070">
        <v>1341178</v>
      </c>
      <c r="I496" s="3070">
        <v>1341178</v>
      </c>
      <c r="J496" s="3070">
        <v>102.67</v>
      </c>
      <c r="K496" s="3070">
        <v>74.61</v>
      </c>
      <c r="L496" s="3070">
        <v>0</v>
      </c>
      <c r="M496" s="3070">
        <v>0</v>
      </c>
      <c r="N496" s="3070">
        <v>15344.44</v>
      </c>
      <c r="O496" s="3070">
        <v>1575414</v>
      </c>
      <c r="P496" s="3070">
        <v>13063</v>
      </c>
      <c r="Q496" s="3070">
        <v>1341178</v>
      </c>
      <c r="R496" s="3070" t="s">
        <v>3227</v>
      </c>
      <c r="S496" s="3070" t="s">
        <v>7319</v>
      </c>
      <c r="T496" s="3070" t="s">
        <v>3476</v>
      </c>
      <c r="U496" s="3070" t="s">
        <v>3247</v>
      </c>
      <c r="V496" s="3070" t="s">
        <v>3230</v>
      </c>
      <c r="Y496" s="3070">
        <v>160941</v>
      </c>
      <c r="Z496" s="3070">
        <v>160941</v>
      </c>
      <c r="AA496" s="3070">
        <v>411178</v>
      </c>
      <c r="AB496" s="3070">
        <v>0</v>
      </c>
      <c r="AC496" s="3070">
        <v>930000</v>
      </c>
      <c r="AD496" s="3070">
        <v>930000</v>
      </c>
      <c r="AE496" s="3070">
        <v>0</v>
      </c>
      <c r="AI496" s="3070" t="s">
        <v>3227</v>
      </c>
      <c r="AJ496" s="3070">
        <v>0</v>
      </c>
      <c r="AK496" s="3070">
        <v>0</v>
      </c>
      <c r="AL496" s="3070">
        <v>0</v>
      </c>
      <c r="AM496" s="3070">
        <v>13063</v>
      </c>
      <c r="AN496" s="3070">
        <v>1341178</v>
      </c>
      <c r="AP496" s="3070">
        <v>1341178</v>
      </c>
      <c r="AQ496" s="3072">
        <v>45138</v>
      </c>
      <c r="AT496" s="3073">
        <v>45678</v>
      </c>
      <c r="AV496" s="3074">
        <v>4.11E+17</v>
      </c>
      <c r="AW496" s="3070" t="s">
        <v>7320</v>
      </c>
      <c r="AX496" s="3070" t="s">
        <v>7321</v>
      </c>
      <c r="AY496" s="3070" t="s">
        <v>3318</v>
      </c>
      <c r="BC496" s="3070" t="s">
        <v>7322</v>
      </c>
      <c r="BD496" s="3070" t="s">
        <v>3077</v>
      </c>
      <c r="BI496" s="3070" t="s">
        <v>3235</v>
      </c>
      <c r="BJ496" s="3070" t="s">
        <v>3598</v>
      </c>
      <c r="BL496" s="3070" t="s">
        <v>7323</v>
      </c>
      <c r="BM496" s="3075">
        <v>44319</v>
      </c>
      <c r="BN496" s="3070">
        <v>3</v>
      </c>
      <c r="BO496" s="3070" t="s">
        <v>3253</v>
      </c>
      <c r="BR496" s="3070">
        <v>820</v>
      </c>
      <c r="BS496" s="3070" t="s">
        <v>3238</v>
      </c>
      <c r="BT496" s="3070" t="s">
        <v>3481</v>
      </c>
      <c r="BZ496" s="3073">
        <v>44161.816666666666</v>
      </c>
      <c r="CA496" s="3070">
        <v>5</v>
      </c>
      <c r="CB496" s="3070" t="s">
        <v>3481</v>
      </c>
      <c r="CD496" s="3070" t="s">
        <v>3239</v>
      </c>
      <c r="CF496" s="3070" t="s">
        <v>3091</v>
      </c>
      <c r="CH496" s="3070" t="s">
        <v>3240</v>
      </c>
      <c r="CI496" s="3070">
        <v>0</v>
      </c>
      <c r="CK496" s="3070" t="s">
        <v>3318</v>
      </c>
      <c r="CL496" s="3070" t="s">
        <v>3318</v>
      </c>
      <c r="CM496" s="3070">
        <v>1230438.53</v>
      </c>
      <c r="CV496" s="3070" t="s">
        <v>3482</v>
      </c>
      <c r="CW496" s="3070" t="s">
        <v>7324</v>
      </c>
      <c r="CZ496" s="3070">
        <v>213894.57</v>
      </c>
      <c r="DA496" s="3070">
        <v>159426.93</v>
      </c>
      <c r="DB496" s="3070">
        <v>0</v>
      </c>
      <c r="DC496" s="3070">
        <v>0</v>
      </c>
      <c r="DD496" s="3070">
        <v>3290547602</v>
      </c>
      <c r="DE496" s="3070">
        <v>2764253109</v>
      </c>
      <c r="DF496" s="3070">
        <v>1464966739</v>
      </c>
      <c r="DG496" s="3070">
        <v>14938370</v>
      </c>
      <c r="DH496" s="3070">
        <v>1284348000</v>
      </c>
      <c r="DI496" s="3070">
        <v>1278128000</v>
      </c>
      <c r="DJ496" s="3070">
        <v>6220000</v>
      </c>
      <c r="DK496" s="3070">
        <v>0</v>
      </c>
      <c r="DL496" s="3070">
        <v>0</v>
      </c>
      <c r="DM496" s="3070">
        <v>25491817.620000001</v>
      </c>
      <c r="DN496" s="3070">
        <v>2764253109</v>
      </c>
      <c r="DP496" s="3070">
        <v>2764253109</v>
      </c>
    </row>
    <row r="497" spans="1:120">
      <c r="A497" s="3070">
        <v>496</v>
      </c>
      <c r="B497" s="3070" t="s">
        <v>3224</v>
      </c>
      <c r="C497" s="3070">
        <v>5</v>
      </c>
      <c r="E497" s="3070">
        <v>304</v>
      </c>
      <c r="F497" s="3070" t="s">
        <v>7325</v>
      </c>
      <c r="G497" s="3070" t="s">
        <v>7326</v>
      </c>
      <c r="H497" s="3070">
        <v>1342158</v>
      </c>
      <c r="I497" s="3070">
        <v>1342158</v>
      </c>
      <c r="J497" s="3070">
        <v>114.02</v>
      </c>
      <c r="K497" s="3070">
        <v>82.85</v>
      </c>
      <c r="L497" s="3070">
        <v>0</v>
      </c>
      <c r="M497" s="3070">
        <v>0</v>
      </c>
      <c r="N497" s="3070">
        <v>15094.44</v>
      </c>
      <c r="O497" s="3070">
        <v>1721068</v>
      </c>
      <c r="P497" s="3070">
        <v>11771.25</v>
      </c>
      <c r="Q497" s="3070">
        <v>1342158</v>
      </c>
      <c r="R497" s="3070" t="s">
        <v>3227</v>
      </c>
      <c r="S497" s="3070" t="s">
        <v>7327</v>
      </c>
      <c r="T497" s="3070" t="s">
        <v>3246</v>
      </c>
      <c r="U497" s="3070" t="s">
        <v>3259</v>
      </c>
      <c r="V497" s="3070" t="s">
        <v>3230</v>
      </c>
      <c r="Y497" s="3070">
        <v>522158</v>
      </c>
      <c r="Z497" s="3070">
        <v>522158</v>
      </c>
      <c r="AA497" s="3070">
        <v>522158</v>
      </c>
      <c r="AB497" s="3070">
        <v>0</v>
      </c>
      <c r="AC497" s="3070">
        <v>820000</v>
      </c>
      <c r="AD497" s="3070">
        <v>820000</v>
      </c>
      <c r="AE497" s="3070">
        <v>0</v>
      </c>
      <c r="AI497" s="3070" t="s">
        <v>3227</v>
      </c>
      <c r="AJ497" s="3070">
        <v>0</v>
      </c>
      <c r="AK497" s="3070">
        <v>0</v>
      </c>
      <c r="AL497" s="3070">
        <v>0</v>
      </c>
      <c r="AM497" s="3070">
        <v>11771.25</v>
      </c>
      <c r="AN497" s="3070">
        <v>1342158</v>
      </c>
      <c r="AP497" s="3070">
        <v>1342158</v>
      </c>
      <c r="AQ497" s="3072">
        <v>45138</v>
      </c>
      <c r="AT497" s="3073">
        <v>45678</v>
      </c>
      <c r="AV497" s="3074">
        <v>3.21E+17</v>
      </c>
      <c r="AW497" s="3070" t="s">
        <v>7328</v>
      </c>
      <c r="AX497" s="3070" t="s">
        <v>7329</v>
      </c>
      <c r="AY497" s="3070" t="s">
        <v>3892</v>
      </c>
      <c r="BA497" s="3070" t="s">
        <v>4056</v>
      </c>
      <c r="BC497" s="3070" t="s">
        <v>7330</v>
      </c>
      <c r="BD497" s="3070" t="s">
        <v>3077</v>
      </c>
      <c r="BI497" s="3070" t="s">
        <v>3295</v>
      </c>
      <c r="BL497" s="3070" t="s">
        <v>7331</v>
      </c>
      <c r="BM497" s="3075">
        <v>44319</v>
      </c>
      <c r="BN497" s="3070">
        <v>4</v>
      </c>
      <c r="BO497" s="3070" t="s">
        <v>3253</v>
      </c>
      <c r="BR497" s="3070">
        <v>24</v>
      </c>
      <c r="BS497" s="3070" t="s">
        <v>3238</v>
      </c>
      <c r="BU497" s="3070" t="s">
        <v>4056</v>
      </c>
      <c r="BZ497" s="3073">
        <v>44198.646527777775</v>
      </c>
      <c r="CA497" s="3070">
        <v>5</v>
      </c>
      <c r="CD497" s="3070" t="s">
        <v>3239</v>
      </c>
      <c r="CF497" s="3070" t="s">
        <v>3091</v>
      </c>
      <c r="CH497" s="3070" t="s">
        <v>3240</v>
      </c>
      <c r="CI497" s="3070">
        <v>0</v>
      </c>
      <c r="CK497" s="3070" t="s">
        <v>3892</v>
      </c>
      <c r="CL497" s="3070" t="s">
        <v>4056</v>
      </c>
      <c r="CM497" s="3070">
        <v>1231337.6100000001</v>
      </c>
      <c r="CV497" s="3070" t="s">
        <v>3246</v>
      </c>
      <c r="CW497" s="3070" t="s">
        <v>7332</v>
      </c>
      <c r="CZ497" s="3070">
        <v>213894.57</v>
      </c>
      <c r="DA497" s="3070">
        <v>159426.93</v>
      </c>
      <c r="DB497" s="3070">
        <v>0</v>
      </c>
      <c r="DC497" s="3070">
        <v>0</v>
      </c>
      <c r="DD497" s="3070">
        <v>3290547602</v>
      </c>
      <c r="DE497" s="3070">
        <v>2764253109</v>
      </c>
      <c r="DF497" s="3070">
        <v>1464966739</v>
      </c>
      <c r="DG497" s="3070">
        <v>14938370</v>
      </c>
      <c r="DH497" s="3070">
        <v>1284348000</v>
      </c>
      <c r="DI497" s="3070">
        <v>1278128000</v>
      </c>
      <c r="DJ497" s="3070">
        <v>6220000</v>
      </c>
      <c r="DK497" s="3070">
        <v>0</v>
      </c>
      <c r="DL497" s="3070">
        <v>0</v>
      </c>
      <c r="DM497" s="3070">
        <v>25491817.620000001</v>
      </c>
      <c r="DN497" s="3070">
        <v>2764253109</v>
      </c>
      <c r="DP497" s="3070">
        <v>2764253109</v>
      </c>
    </row>
    <row r="498" spans="1:120">
      <c r="A498" s="3070">
        <v>497</v>
      </c>
      <c r="B498" s="3070" t="s">
        <v>3224</v>
      </c>
      <c r="C498" s="3070">
        <v>5</v>
      </c>
      <c r="E498" s="3070">
        <v>401</v>
      </c>
      <c r="F498" s="3070" t="s">
        <v>7333</v>
      </c>
      <c r="G498" s="3070" t="s">
        <v>7334</v>
      </c>
      <c r="H498" s="3070">
        <v>1461623</v>
      </c>
      <c r="I498" s="3070">
        <v>1461623</v>
      </c>
      <c r="J498" s="3070">
        <v>114.02</v>
      </c>
      <c r="K498" s="3070">
        <v>82.85</v>
      </c>
      <c r="L498" s="3070">
        <v>0</v>
      </c>
      <c r="M498" s="3070">
        <v>0</v>
      </c>
      <c r="N498" s="3070">
        <v>15044.44</v>
      </c>
      <c r="O498" s="3070">
        <v>1715367</v>
      </c>
      <c r="P498" s="3070">
        <v>12819.01</v>
      </c>
      <c r="Q498" s="3070">
        <v>1461623</v>
      </c>
      <c r="R498" s="3070" t="s">
        <v>3227</v>
      </c>
      <c r="S498" s="3070" t="s">
        <v>7335</v>
      </c>
      <c r="T498" s="3070" t="s">
        <v>3246</v>
      </c>
      <c r="U498" s="3070" t="s">
        <v>3259</v>
      </c>
      <c r="V498" s="3070" t="s">
        <v>3230</v>
      </c>
      <c r="Y498" s="3070">
        <v>441623</v>
      </c>
      <c r="Z498" s="3070">
        <v>441623</v>
      </c>
      <c r="AA498" s="3070">
        <v>441623</v>
      </c>
      <c r="AB498" s="3070">
        <v>0</v>
      </c>
      <c r="AC498" s="3070">
        <v>1020000</v>
      </c>
      <c r="AD498" s="3070">
        <v>1020000</v>
      </c>
      <c r="AE498" s="3070">
        <v>0</v>
      </c>
      <c r="AI498" s="3070" t="s">
        <v>3227</v>
      </c>
      <c r="AJ498" s="3070">
        <v>0</v>
      </c>
      <c r="AK498" s="3070">
        <v>0</v>
      </c>
      <c r="AL498" s="3070">
        <v>0</v>
      </c>
      <c r="AM498" s="3070">
        <v>12819.01</v>
      </c>
      <c r="AN498" s="3070">
        <v>1461623</v>
      </c>
      <c r="AP498" s="3070">
        <v>1461623</v>
      </c>
      <c r="AQ498" s="3072">
        <v>45138</v>
      </c>
      <c r="AT498" s="3073">
        <v>45678</v>
      </c>
      <c r="AV498" s="3070" t="s">
        <v>7336</v>
      </c>
      <c r="AW498" s="3070" t="s">
        <v>7337</v>
      </c>
      <c r="AX498" s="3070" t="s">
        <v>7338</v>
      </c>
      <c r="AY498" s="3070" t="s">
        <v>3306</v>
      </c>
      <c r="BA498" s="3070" t="s">
        <v>3306</v>
      </c>
      <c r="BC498" s="3070" t="s">
        <v>6480</v>
      </c>
      <c r="BD498" s="3070" t="s">
        <v>3077</v>
      </c>
      <c r="BI498" s="3070" t="s">
        <v>3235</v>
      </c>
      <c r="BL498" s="3070" t="s">
        <v>7339</v>
      </c>
      <c r="BM498" s="3075">
        <v>44320</v>
      </c>
      <c r="BN498" s="3070">
        <v>1</v>
      </c>
      <c r="BO498" s="3070" t="s">
        <v>3253</v>
      </c>
      <c r="BR498" s="3070">
        <v>16</v>
      </c>
      <c r="BS498" s="3070" t="s">
        <v>3238</v>
      </c>
      <c r="BU498" s="3070" t="s">
        <v>3306</v>
      </c>
      <c r="BV498" s="3070" t="s">
        <v>7340</v>
      </c>
      <c r="BZ498" s="3073">
        <v>44180.707638888889</v>
      </c>
      <c r="CA498" s="3070">
        <v>5</v>
      </c>
      <c r="CD498" s="3070" t="s">
        <v>3239</v>
      </c>
      <c r="CF498" s="3070" t="s">
        <v>3091</v>
      </c>
      <c r="CH498" s="3070" t="s">
        <v>3240</v>
      </c>
      <c r="CI498" s="3070">
        <v>0</v>
      </c>
      <c r="CK498" s="3070" t="s">
        <v>3306</v>
      </c>
      <c r="CL498" s="3070" t="s">
        <v>3306</v>
      </c>
      <c r="CM498" s="3070">
        <v>1340938.53</v>
      </c>
      <c r="CV498" s="3070" t="s">
        <v>3246</v>
      </c>
      <c r="CW498" s="3070" t="s">
        <v>7341</v>
      </c>
      <c r="CZ498" s="3070">
        <v>213894.57</v>
      </c>
      <c r="DA498" s="3070">
        <v>159426.93</v>
      </c>
      <c r="DB498" s="3070">
        <v>0</v>
      </c>
      <c r="DC498" s="3070">
        <v>0</v>
      </c>
      <c r="DD498" s="3070">
        <v>3290547602</v>
      </c>
      <c r="DE498" s="3070">
        <v>2764253109</v>
      </c>
      <c r="DF498" s="3070">
        <v>1464966739</v>
      </c>
      <c r="DG498" s="3070">
        <v>14938370</v>
      </c>
      <c r="DH498" s="3070">
        <v>1284348000</v>
      </c>
      <c r="DI498" s="3070">
        <v>1278128000</v>
      </c>
      <c r="DJ498" s="3070">
        <v>6220000</v>
      </c>
      <c r="DK498" s="3070">
        <v>0</v>
      </c>
      <c r="DL498" s="3070">
        <v>0</v>
      </c>
      <c r="DM498" s="3070">
        <v>25491817.620000001</v>
      </c>
      <c r="DN498" s="3070">
        <v>2764253109</v>
      </c>
      <c r="DP498" s="3070">
        <v>2764253109</v>
      </c>
    </row>
    <row r="499" spans="1:120">
      <c r="A499" s="3070">
        <v>498</v>
      </c>
      <c r="B499" s="3070" t="s">
        <v>3224</v>
      </c>
      <c r="C499" s="3070">
        <v>5</v>
      </c>
      <c r="E499" s="3070">
        <v>402</v>
      </c>
      <c r="F499" s="3070" t="s">
        <v>7342</v>
      </c>
      <c r="G499" s="3070" t="s">
        <v>7343</v>
      </c>
      <c r="H499" s="3070">
        <v>1317877</v>
      </c>
      <c r="I499" s="3070">
        <v>1317877</v>
      </c>
      <c r="J499" s="3070">
        <v>102.67</v>
      </c>
      <c r="K499" s="3070">
        <v>74.61</v>
      </c>
      <c r="L499" s="3070">
        <v>0</v>
      </c>
      <c r="M499" s="3070">
        <v>0</v>
      </c>
      <c r="N499" s="3070">
        <v>15244.44</v>
      </c>
      <c r="O499" s="3070">
        <v>1565147</v>
      </c>
      <c r="P499" s="3070">
        <v>12836.05</v>
      </c>
      <c r="Q499" s="3070">
        <v>1317877</v>
      </c>
      <c r="R499" s="3070" t="s">
        <v>3227</v>
      </c>
      <c r="S499" s="3070" t="s">
        <v>7344</v>
      </c>
      <c r="T499" s="3070" t="s">
        <v>3258</v>
      </c>
      <c r="U499" s="3070" t="s">
        <v>3259</v>
      </c>
      <c r="V499" s="3070" t="s">
        <v>3230</v>
      </c>
      <c r="Y499" s="3070">
        <v>397877</v>
      </c>
      <c r="Z499" s="3070">
        <v>397877</v>
      </c>
      <c r="AA499" s="3070">
        <v>397877</v>
      </c>
      <c r="AB499" s="3070">
        <v>0</v>
      </c>
      <c r="AC499" s="3070">
        <v>920000</v>
      </c>
      <c r="AD499" s="3070">
        <v>920000</v>
      </c>
      <c r="AE499" s="3070">
        <v>0</v>
      </c>
      <c r="AI499" s="3070" t="s">
        <v>3227</v>
      </c>
      <c r="AJ499" s="3070">
        <v>0</v>
      </c>
      <c r="AK499" s="3070">
        <v>0</v>
      </c>
      <c r="AL499" s="3070">
        <v>0</v>
      </c>
      <c r="AM499" s="3070">
        <v>12836.05</v>
      </c>
      <c r="AN499" s="3070">
        <v>1317877</v>
      </c>
      <c r="AP499" s="3070">
        <v>1317877</v>
      </c>
      <c r="AQ499" s="3072">
        <v>45138</v>
      </c>
      <c r="AT499" s="3073">
        <v>45678</v>
      </c>
      <c r="AV499" s="3074">
        <v>3.21E+17</v>
      </c>
      <c r="AW499" s="3070" t="s">
        <v>7345</v>
      </c>
      <c r="AX499" s="3070" t="s">
        <v>7346</v>
      </c>
      <c r="AY499" s="3070" t="s">
        <v>3337</v>
      </c>
      <c r="BA499" s="3070" t="s">
        <v>3337</v>
      </c>
      <c r="BC499" s="3070" t="s">
        <v>7347</v>
      </c>
      <c r="BD499" s="3070" t="s">
        <v>3077</v>
      </c>
      <c r="BI499" s="3070" t="s">
        <v>3235</v>
      </c>
      <c r="BL499" s="3070" t="s">
        <v>7348</v>
      </c>
      <c r="BM499" s="3075">
        <v>44320</v>
      </c>
      <c r="BN499" s="3070">
        <v>2</v>
      </c>
      <c r="BO499" s="3070" t="s">
        <v>3253</v>
      </c>
      <c r="BP499" s="3070" t="s">
        <v>3253</v>
      </c>
      <c r="BR499" s="3070">
        <v>16</v>
      </c>
      <c r="BS499" s="3070" t="s">
        <v>3238</v>
      </c>
      <c r="BU499" s="3070" t="s">
        <v>3337</v>
      </c>
      <c r="BV499" s="3070" t="s">
        <v>7349</v>
      </c>
      <c r="BZ499" s="3073">
        <v>44174.6875</v>
      </c>
      <c r="CA499" s="3070">
        <v>5</v>
      </c>
      <c r="CD499" s="3070" t="s">
        <v>3239</v>
      </c>
      <c r="CF499" s="3070" t="s">
        <v>3091</v>
      </c>
      <c r="CH499" s="3070" t="s">
        <v>3240</v>
      </c>
      <c r="CI499" s="3070">
        <v>0</v>
      </c>
      <c r="CJ499" s="3070" t="s">
        <v>3259</v>
      </c>
      <c r="CK499" s="3070" t="s">
        <v>3337</v>
      </c>
      <c r="CL499" s="3070" t="s">
        <v>3337</v>
      </c>
      <c r="CM499" s="3070">
        <v>1209061.47</v>
      </c>
      <c r="CV499" s="3070" t="s">
        <v>3258</v>
      </c>
      <c r="CW499" s="3070" t="s">
        <v>7350</v>
      </c>
      <c r="CX499" s="3070" t="s">
        <v>3242</v>
      </c>
      <c r="CZ499" s="3070">
        <v>213894.57</v>
      </c>
      <c r="DA499" s="3070">
        <v>159426.93</v>
      </c>
      <c r="DB499" s="3070">
        <v>0</v>
      </c>
      <c r="DC499" s="3070">
        <v>0</v>
      </c>
      <c r="DD499" s="3070">
        <v>3290547602</v>
      </c>
      <c r="DE499" s="3070">
        <v>2764253109</v>
      </c>
      <c r="DF499" s="3070">
        <v>1464966739</v>
      </c>
      <c r="DG499" s="3070">
        <v>14938370</v>
      </c>
      <c r="DH499" s="3070">
        <v>1284348000</v>
      </c>
      <c r="DI499" s="3070">
        <v>1278128000</v>
      </c>
      <c r="DJ499" s="3070">
        <v>6220000</v>
      </c>
      <c r="DK499" s="3070">
        <v>0</v>
      </c>
      <c r="DL499" s="3070">
        <v>0</v>
      </c>
      <c r="DM499" s="3070">
        <v>25491817.620000001</v>
      </c>
      <c r="DN499" s="3070">
        <v>2764253109</v>
      </c>
      <c r="DP499" s="3070">
        <v>2764253109</v>
      </c>
    </row>
    <row r="500" spans="1:120">
      <c r="A500" s="3070">
        <v>499</v>
      </c>
      <c r="B500" s="3070" t="s">
        <v>3224</v>
      </c>
      <c r="C500" s="3070">
        <v>5</v>
      </c>
      <c r="E500" s="3070">
        <v>403</v>
      </c>
      <c r="F500" s="3070" t="s">
        <v>7351</v>
      </c>
      <c r="G500" s="3070" t="s">
        <v>7352</v>
      </c>
      <c r="H500" s="3070">
        <v>1265164</v>
      </c>
      <c r="I500" s="3070">
        <v>1265164</v>
      </c>
      <c r="J500" s="3070">
        <v>102.67</v>
      </c>
      <c r="K500" s="3070">
        <v>74.61</v>
      </c>
      <c r="L500" s="3070">
        <v>0</v>
      </c>
      <c r="M500" s="3070">
        <v>0</v>
      </c>
      <c r="N500" s="3070">
        <v>15244.44</v>
      </c>
      <c r="O500" s="3070">
        <v>1565147</v>
      </c>
      <c r="P500" s="3070">
        <v>12322.63</v>
      </c>
      <c r="Q500" s="3070">
        <v>1265164</v>
      </c>
      <c r="R500" s="3070" t="s">
        <v>3227</v>
      </c>
      <c r="S500" s="3070" t="s">
        <v>7353</v>
      </c>
      <c r="T500" s="3070" t="s">
        <v>3246</v>
      </c>
      <c r="U500" s="3070" t="s">
        <v>3247</v>
      </c>
      <c r="V500" s="3070" t="s">
        <v>3230</v>
      </c>
      <c r="Y500" s="3070">
        <v>385164</v>
      </c>
      <c r="Z500" s="3070">
        <v>385164</v>
      </c>
      <c r="AA500" s="3070">
        <v>385164</v>
      </c>
      <c r="AB500" s="3070">
        <v>0</v>
      </c>
      <c r="AC500" s="3070">
        <v>880000</v>
      </c>
      <c r="AD500" s="3070">
        <v>880000</v>
      </c>
      <c r="AE500" s="3070">
        <v>0</v>
      </c>
      <c r="AI500" s="3070" t="s">
        <v>3227</v>
      </c>
      <c r="AJ500" s="3070">
        <v>0</v>
      </c>
      <c r="AK500" s="3070">
        <v>0</v>
      </c>
      <c r="AL500" s="3070">
        <v>0</v>
      </c>
      <c r="AM500" s="3070">
        <v>12322.63</v>
      </c>
      <c r="AN500" s="3070">
        <v>1265164</v>
      </c>
      <c r="AP500" s="3070">
        <v>1265164</v>
      </c>
      <c r="AQ500" s="3072">
        <v>45138</v>
      </c>
      <c r="AT500" s="3073">
        <v>45678</v>
      </c>
      <c r="AV500" s="3070" t="s">
        <v>7354</v>
      </c>
      <c r="AW500" s="3070" t="s">
        <v>7355</v>
      </c>
      <c r="AX500" s="3070" t="s">
        <v>7356</v>
      </c>
      <c r="AY500" s="3070" t="s">
        <v>3346</v>
      </c>
      <c r="BC500" s="3070" t="s">
        <v>3284</v>
      </c>
      <c r="BD500" s="3070" t="s">
        <v>3077</v>
      </c>
      <c r="BI500" s="3070" t="s">
        <v>3235</v>
      </c>
      <c r="BJ500" s="3070" t="s">
        <v>3338</v>
      </c>
      <c r="BL500" s="3070" t="s">
        <v>7357</v>
      </c>
      <c r="BM500" s="3075">
        <v>44320</v>
      </c>
      <c r="BN500" s="3070">
        <v>3</v>
      </c>
      <c r="BO500" s="3070" t="s">
        <v>3253</v>
      </c>
      <c r="BR500" s="3070">
        <v>23</v>
      </c>
      <c r="BS500" s="3070" t="s">
        <v>3238</v>
      </c>
      <c r="BZ500" s="3073">
        <v>44147.492361111108</v>
      </c>
      <c r="CA500" s="3070">
        <v>5</v>
      </c>
      <c r="CD500" s="3070" t="s">
        <v>3239</v>
      </c>
      <c r="CF500" s="3070" t="s">
        <v>3091</v>
      </c>
      <c r="CH500" s="3070" t="s">
        <v>3240</v>
      </c>
      <c r="CI500" s="3070">
        <v>0</v>
      </c>
      <c r="CK500" s="3070" t="s">
        <v>3346</v>
      </c>
      <c r="CL500" s="3070" t="s">
        <v>3346</v>
      </c>
      <c r="CM500" s="3070">
        <v>1160700.92</v>
      </c>
      <c r="CV500" s="3070" t="s">
        <v>3246</v>
      </c>
      <c r="CW500" s="3070" t="s">
        <v>7358</v>
      </c>
      <c r="CZ500" s="3070">
        <v>213894.57</v>
      </c>
      <c r="DA500" s="3070">
        <v>159426.93</v>
      </c>
      <c r="DB500" s="3070">
        <v>0</v>
      </c>
      <c r="DC500" s="3070">
        <v>0</v>
      </c>
      <c r="DD500" s="3070">
        <v>3290547602</v>
      </c>
      <c r="DE500" s="3070">
        <v>2764253109</v>
      </c>
      <c r="DF500" s="3070">
        <v>1464966739</v>
      </c>
      <c r="DG500" s="3070">
        <v>14938370</v>
      </c>
      <c r="DH500" s="3070">
        <v>1284348000</v>
      </c>
      <c r="DI500" s="3070">
        <v>1278128000</v>
      </c>
      <c r="DJ500" s="3070">
        <v>6220000</v>
      </c>
      <c r="DK500" s="3070">
        <v>0</v>
      </c>
      <c r="DL500" s="3070">
        <v>0</v>
      </c>
      <c r="DM500" s="3070">
        <v>25491817.620000001</v>
      </c>
      <c r="DN500" s="3070">
        <v>2764253109</v>
      </c>
      <c r="DP500" s="3070">
        <v>2764253109</v>
      </c>
    </row>
    <row r="501" spans="1:120">
      <c r="A501" s="3070">
        <v>500</v>
      </c>
      <c r="B501" s="3070" t="s">
        <v>3224</v>
      </c>
      <c r="C501" s="3070">
        <v>5</v>
      </c>
      <c r="E501" s="3070">
        <v>404</v>
      </c>
      <c r="F501" s="3070" t="s">
        <v>7359</v>
      </c>
      <c r="G501" s="3070" t="s">
        <v>7360</v>
      </c>
      <c r="H501" s="3070">
        <v>1508699</v>
      </c>
      <c r="I501" s="3070">
        <v>1508699</v>
      </c>
      <c r="J501" s="3070">
        <v>114.02</v>
      </c>
      <c r="K501" s="3070">
        <v>82.85</v>
      </c>
      <c r="L501" s="3070">
        <v>0</v>
      </c>
      <c r="M501" s="3070">
        <v>0</v>
      </c>
      <c r="N501" s="3070">
        <v>14994.44</v>
      </c>
      <c r="O501" s="3070">
        <v>1709666</v>
      </c>
      <c r="P501" s="3070">
        <v>13231.88</v>
      </c>
      <c r="Q501" s="3070">
        <v>1508699</v>
      </c>
      <c r="R501" s="3070" t="s">
        <v>3227</v>
      </c>
      <c r="S501" s="3070" t="s">
        <v>7361</v>
      </c>
      <c r="T501" s="3070" t="s">
        <v>3246</v>
      </c>
      <c r="U501" s="3070" t="s">
        <v>3279</v>
      </c>
      <c r="V501" s="3070" t="s">
        <v>3230</v>
      </c>
      <c r="Y501" s="3070">
        <v>458699</v>
      </c>
      <c r="Z501" s="3070">
        <v>458699</v>
      </c>
      <c r="AA501" s="3070">
        <v>458699</v>
      </c>
      <c r="AB501" s="3070">
        <v>0</v>
      </c>
      <c r="AC501" s="3070">
        <v>1050000</v>
      </c>
      <c r="AD501" s="3070">
        <v>1050000</v>
      </c>
      <c r="AE501" s="3070">
        <v>0</v>
      </c>
      <c r="AI501" s="3070" t="s">
        <v>3227</v>
      </c>
      <c r="AJ501" s="3070">
        <v>0</v>
      </c>
      <c r="AK501" s="3070">
        <v>0</v>
      </c>
      <c r="AL501" s="3070">
        <v>0</v>
      </c>
      <c r="AM501" s="3070">
        <v>13231.88</v>
      </c>
      <c r="AN501" s="3070">
        <v>1508699</v>
      </c>
      <c r="AP501" s="3070">
        <v>1508699</v>
      </c>
      <c r="AQ501" s="3072">
        <v>45138</v>
      </c>
      <c r="AT501" s="3073">
        <v>45678</v>
      </c>
      <c r="AV501" s="3070" t="s">
        <v>7362</v>
      </c>
      <c r="AW501" s="3070" t="s">
        <v>7363</v>
      </c>
      <c r="AX501" s="3070" t="s">
        <v>7364</v>
      </c>
      <c r="AY501" s="3070" t="s">
        <v>3981</v>
      </c>
      <c r="BC501" s="3070" t="s">
        <v>4175</v>
      </c>
      <c r="BD501" s="3070" t="s">
        <v>3077</v>
      </c>
      <c r="BI501" s="3070" t="s">
        <v>3235</v>
      </c>
      <c r="BL501" s="3070" t="s">
        <v>7365</v>
      </c>
      <c r="BM501" s="3075">
        <v>44320</v>
      </c>
      <c r="BN501" s="3070">
        <v>4</v>
      </c>
      <c r="BO501" s="3070" t="s">
        <v>3253</v>
      </c>
      <c r="BR501" s="3070">
        <v>0</v>
      </c>
      <c r="BS501" s="3070" t="s">
        <v>3238</v>
      </c>
      <c r="BZ501" s="3073">
        <v>44249.638888888891</v>
      </c>
      <c r="CA501" s="3070">
        <v>5</v>
      </c>
      <c r="CD501" s="3070" t="s">
        <v>3239</v>
      </c>
      <c r="CF501" s="3070" t="s">
        <v>3091</v>
      </c>
      <c r="CH501" s="3070" t="s">
        <v>3240</v>
      </c>
      <c r="CI501" s="3070">
        <v>0</v>
      </c>
      <c r="CK501" s="3070" t="s">
        <v>3985</v>
      </c>
      <c r="CL501" s="3070" t="s">
        <v>3981</v>
      </c>
      <c r="CM501" s="3070">
        <v>1384127.52</v>
      </c>
      <c r="CV501" s="3070" t="s">
        <v>3246</v>
      </c>
      <c r="CW501" s="3070" t="s">
        <v>7366</v>
      </c>
      <c r="CZ501" s="3070">
        <v>213894.57</v>
      </c>
      <c r="DA501" s="3070">
        <v>159426.93</v>
      </c>
      <c r="DB501" s="3070">
        <v>0</v>
      </c>
      <c r="DC501" s="3070">
        <v>0</v>
      </c>
      <c r="DD501" s="3070">
        <v>3290547602</v>
      </c>
      <c r="DE501" s="3070">
        <v>2764253109</v>
      </c>
      <c r="DF501" s="3070">
        <v>1464966739</v>
      </c>
      <c r="DG501" s="3070">
        <v>14938370</v>
      </c>
      <c r="DH501" s="3070">
        <v>1284348000</v>
      </c>
      <c r="DI501" s="3070">
        <v>1278128000</v>
      </c>
      <c r="DJ501" s="3070">
        <v>6220000</v>
      </c>
      <c r="DK501" s="3070">
        <v>0</v>
      </c>
      <c r="DL501" s="3070">
        <v>0</v>
      </c>
      <c r="DM501" s="3070">
        <v>25491817.620000001</v>
      </c>
      <c r="DN501" s="3070">
        <v>2764253109</v>
      </c>
      <c r="DP501" s="3070">
        <v>2764253109</v>
      </c>
    </row>
    <row r="502" spans="1:120">
      <c r="A502" s="3070">
        <v>501</v>
      </c>
      <c r="B502" s="3070" t="s">
        <v>3224</v>
      </c>
      <c r="C502" s="3070">
        <v>5</v>
      </c>
      <c r="E502" s="3070">
        <v>501</v>
      </c>
      <c r="F502" s="3070" t="s">
        <v>7367</v>
      </c>
      <c r="G502" s="3070" t="s">
        <v>7368</v>
      </c>
      <c r="H502" s="3070">
        <v>1399606</v>
      </c>
      <c r="I502" s="3070">
        <v>1399606</v>
      </c>
      <c r="J502" s="3070">
        <v>114.02</v>
      </c>
      <c r="K502" s="3070">
        <v>82.85</v>
      </c>
      <c r="L502" s="3070">
        <v>0</v>
      </c>
      <c r="M502" s="3070">
        <v>0</v>
      </c>
      <c r="N502" s="3070">
        <v>15194.44</v>
      </c>
      <c r="O502" s="3070">
        <v>1732470</v>
      </c>
      <c r="P502" s="3070">
        <v>12275.09</v>
      </c>
      <c r="Q502" s="3070">
        <v>1399606</v>
      </c>
      <c r="R502" s="3070" t="s">
        <v>3227</v>
      </c>
      <c r="S502" s="3070" t="s">
        <v>7369</v>
      </c>
      <c r="T502" s="3070" t="s">
        <v>3246</v>
      </c>
      <c r="U502" s="3070" t="s">
        <v>3247</v>
      </c>
      <c r="V502" s="3070" t="s">
        <v>3230</v>
      </c>
      <c r="Y502" s="3070">
        <v>429606</v>
      </c>
      <c r="Z502" s="3070">
        <v>429606</v>
      </c>
      <c r="AA502" s="3070">
        <v>429606</v>
      </c>
      <c r="AB502" s="3070">
        <v>0</v>
      </c>
      <c r="AC502" s="3070">
        <v>970000</v>
      </c>
      <c r="AD502" s="3070">
        <v>970000</v>
      </c>
      <c r="AE502" s="3070">
        <v>0</v>
      </c>
      <c r="AI502" s="3070" t="s">
        <v>3227</v>
      </c>
      <c r="AJ502" s="3070">
        <v>0</v>
      </c>
      <c r="AK502" s="3070">
        <v>0</v>
      </c>
      <c r="AL502" s="3070">
        <v>0</v>
      </c>
      <c r="AM502" s="3070">
        <v>12275.09</v>
      </c>
      <c r="AN502" s="3070">
        <v>1399606</v>
      </c>
      <c r="AP502" s="3070">
        <v>1399606</v>
      </c>
      <c r="AQ502" s="3072">
        <v>45138</v>
      </c>
      <c r="AT502" s="3073">
        <v>45678</v>
      </c>
      <c r="AV502" s="3070" t="s">
        <v>7370</v>
      </c>
      <c r="AW502" s="3070" t="s">
        <v>7371</v>
      </c>
      <c r="AX502" s="3070" t="s">
        <v>7372</v>
      </c>
      <c r="AY502" s="3070" t="s">
        <v>3364</v>
      </c>
      <c r="BC502" s="3070" t="s">
        <v>3284</v>
      </c>
      <c r="BD502" s="3070" t="s">
        <v>3077</v>
      </c>
      <c r="BI502" s="3070" t="s">
        <v>3235</v>
      </c>
      <c r="BJ502" s="3070" t="s">
        <v>3296</v>
      </c>
      <c r="BL502" s="3070" t="s">
        <v>7373</v>
      </c>
      <c r="BM502" s="3075">
        <v>44321</v>
      </c>
      <c r="BN502" s="3070">
        <v>1</v>
      </c>
      <c r="BO502" s="3070" t="s">
        <v>3253</v>
      </c>
      <c r="BR502" s="3070">
        <v>40</v>
      </c>
      <c r="BS502" s="3070" t="s">
        <v>3238</v>
      </c>
      <c r="BZ502" s="3073">
        <v>44148.399305555555</v>
      </c>
      <c r="CA502" s="3070">
        <v>5</v>
      </c>
      <c r="CD502" s="3070" t="s">
        <v>3239</v>
      </c>
      <c r="CF502" s="3070" t="s">
        <v>3091</v>
      </c>
      <c r="CH502" s="3070" t="s">
        <v>3240</v>
      </c>
      <c r="CI502" s="3070">
        <v>0</v>
      </c>
      <c r="CK502" s="3070" t="s">
        <v>3364</v>
      </c>
      <c r="CL502" s="3070" t="s">
        <v>3364</v>
      </c>
      <c r="CM502" s="3070">
        <v>1284042.2</v>
      </c>
      <c r="CV502" s="3070" t="s">
        <v>3246</v>
      </c>
      <c r="CW502" s="3070" t="s">
        <v>7374</v>
      </c>
      <c r="CZ502" s="3070">
        <v>213894.57</v>
      </c>
      <c r="DA502" s="3070">
        <v>159426.93</v>
      </c>
      <c r="DB502" s="3070">
        <v>0</v>
      </c>
      <c r="DC502" s="3070">
        <v>0</v>
      </c>
      <c r="DD502" s="3070">
        <v>3290547602</v>
      </c>
      <c r="DE502" s="3070">
        <v>2764253109</v>
      </c>
      <c r="DF502" s="3070">
        <v>1464966739</v>
      </c>
      <c r="DG502" s="3070">
        <v>14938370</v>
      </c>
      <c r="DH502" s="3070">
        <v>1284348000</v>
      </c>
      <c r="DI502" s="3070">
        <v>1278128000</v>
      </c>
      <c r="DJ502" s="3070">
        <v>6220000</v>
      </c>
      <c r="DK502" s="3070">
        <v>0</v>
      </c>
      <c r="DL502" s="3070">
        <v>0</v>
      </c>
      <c r="DM502" s="3070">
        <v>25491817.620000001</v>
      </c>
      <c r="DN502" s="3070">
        <v>2764253109</v>
      </c>
      <c r="DP502" s="3070">
        <v>2764253109</v>
      </c>
    </row>
    <row r="503" spans="1:120">
      <c r="A503" s="3070">
        <v>502</v>
      </c>
      <c r="B503" s="3070" t="s">
        <v>3224</v>
      </c>
      <c r="C503" s="3070">
        <v>5</v>
      </c>
      <c r="E503" s="3070">
        <v>502</v>
      </c>
      <c r="F503" s="3070" t="s">
        <v>7375</v>
      </c>
      <c r="G503" s="3070" t="s">
        <v>7376</v>
      </c>
      <c r="H503" s="3070">
        <v>1279804</v>
      </c>
      <c r="I503" s="3070">
        <v>1279804</v>
      </c>
      <c r="J503" s="3070">
        <v>102.67</v>
      </c>
      <c r="K503" s="3070">
        <v>74.61</v>
      </c>
      <c r="L503" s="3070">
        <v>0</v>
      </c>
      <c r="M503" s="3070">
        <v>0</v>
      </c>
      <c r="N503" s="3070">
        <v>15394.44</v>
      </c>
      <c r="O503" s="3070">
        <v>1580547</v>
      </c>
      <c r="P503" s="3070">
        <v>12465.22</v>
      </c>
      <c r="Q503" s="3070">
        <v>1279804</v>
      </c>
      <c r="R503" s="3070" t="s">
        <v>3227</v>
      </c>
      <c r="S503" s="3070" t="s">
        <v>7377</v>
      </c>
      <c r="T503" s="3070" t="s">
        <v>3246</v>
      </c>
      <c r="U503" s="3070" t="s">
        <v>3247</v>
      </c>
      <c r="V503" s="3070" t="s">
        <v>3230</v>
      </c>
      <c r="Y503" s="3070">
        <v>389804</v>
      </c>
      <c r="Z503" s="3070">
        <v>389804</v>
      </c>
      <c r="AA503" s="3070">
        <v>389804</v>
      </c>
      <c r="AB503" s="3070">
        <v>0</v>
      </c>
      <c r="AC503" s="3070">
        <v>890000</v>
      </c>
      <c r="AD503" s="3070">
        <v>890000</v>
      </c>
      <c r="AE503" s="3070">
        <v>0</v>
      </c>
      <c r="AI503" s="3070" t="s">
        <v>3227</v>
      </c>
      <c r="AJ503" s="3070">
        <v>0</v>
      </c>
      <c r="AK503" s="3070">
        <v>0</v>
      </c>
      <c r="AL503" s="3070">
        <v>0</v>
      </c>
      <c r="AM503" s="3070">
        <v>12465.22</v>
      </c>
      <c r="AN503" s="3070">
        <v>1279804</v>
      </c>
      <c r="AP503" s="3070">
        <v>1279804</v>
      </c>
      <c r="AQ503" s="3072">
        <v>45138</v>
      </c>
      <c r="AT503" s="3073">
        <v>45678</v>
      </c>
      <c r="AV503" s="3074">
        <v>3.21E+17</v>
      </c>
      <c r="AW503" s="3070" t="s">
        <v>7378</v>
      </c>
      <c r="AX503" s="3070" t="s">
        <v>7379</v>
      </c>
      <c r="AY503" s="3070" t="s">
        <v>3337</v>
      </c>
      <c r="BC503" s="3070" t="s">
        <v>3284</v>
      </c>
      <c r="BD503" s="3070" t="s">
        <v>3077</v>
      </c>
      <c r="BI503" s="3070" t="s">
        <v>3235</v>
      </c>
      <c r="BJ503" s="3070" t="s">
        <v>3296</v>
      </c>
      <c r="BL503" s="3070" t="s">
        <v>7380</v>
      </c>
      <c r="BM503" s="3075">
        <v>44321</v>
      </c>
      <c r="BN503" s="3070">
        <v>2</v>
      </c>
      <c r="BO503" s="3070" t="s">
        <v>3253</v>
      </c>
      <c r="BR503" s="3070">
        <v>226</v>
      </c>
      <c r="BS503" s="3070" t="s">
        <v>3238</v>
      </c>
      <c r="BZ503" s="3073">
        <v>44142.613194444442</v>
      </c>
      <c r="CA503" s="3070">
        <v>5</v>
      </c>
      <c r="CD503" s="3070" t="s">
        <v>3239</v>
      </c>
      <c r="CF503" s="3070" t="s">
        <v>3091</v>
      </c>
      <c r="CH503" s="3070" t="s">
        <v>3240</v>
      </c>
      <c r="CI503" s="3070">
        <v>0</v>
      </c>
      <c r="CK503" s="3070" t="s">
        <v>3337</v>
      </c>
      <c r="CL503" s="3070" t="s">
        <v>3337</v>
      </c>
      <c r="CM503" s="3070">
        <v>1174132.1100000001</v>
      </c>
      <c r="CV503" s="3070" t="s">
        <v>3246</v>
      </c>
      <c r="CW503" s="3070" t="s">
        <v>7381</v>
      </c>
      <c r="CX503" s="3070" t="s">
        <v>3267</v>
      </c>
      <c r="CZ503" s="3070">
        <v>213894.57</v>
      </c>
      <c r="DA503" s="3070">
        <v>159426.93</v>
      </c>
      <c r="DB503" s="3070">
        <v>0</v>
      </c>
      <c r="DC503" s="3070">
        <v>0</v>
      </c>
      <c r="DD503" s="3070">
        <v>3290547602</v>
      </c>
      <c r="DE503" s="3070">
        <v>2764253109</v>
      </c>
      <c r="DF503" s="3070">
        <v>1464966739</v>
      </c>
      <c r="DG503" s="3070">
        <v>14938370</v>
      </c>
      <c r="DH503" s="3070">
        <v>1284348000</v>
      </c>
      <c r="DI503" s="3070">
        <v>1278128000</v>
      </c>
      <c r="DJ503" s="3070">
        <v>6220000</v>
      </c>
      <c r="DK503" s="3070">
        <v>0</v>
      </c>
      <c r="DL503" s="3070">
        <v>0</v>
      </c>
      <c r="DM503" s="3070">
        <v>25491817.620000001</v>
      </c>
      <c r="DN503" s="3070">
        <v>2764253109</v>
      </c>
      <c r="DP503" s="3070">
        <v>2764253109</v>
      </c>
    </row>
    <row r="504" spans="1:120">
      <c r="A504" s="3070">
        <v>503</v>
      </c>
      <c r="B504" s="3070" t="s">
        <v>3224</v>
      </c>
      <c r="C504" s="3070">
        <v>5</v>
      </c>
      <c r="E504" s="3070">
        <v>503</v>
      </c>
      <c r="F504" s="3070" t="s">
        <v>7382</v>
      </c>
      <c r="G504" s="3070" t="s">
        <v>7383</v>
      </c>
      <c r="H504" s="3070">
        <v>1279804</v>
      </c>
      <c r="I504" s="3070">
        <v>1279804</v>
      </c>
      <c r="J504" s="3070">
        <v>102.67</v>
      </c>
      <c r="K504" s="3070">
        <v>74.61</v>
      </c>
      <c r="L504" s="3070">
        <v>0</v>
      </c>
      <c r="M504" s="3070">
        <v>0</v>
      </c>
      <c r="N504" s="3070">
        <v>15394.44</v>
      </c>
      <c r="O504" s="3070">
        <v>1580547</v>
      </c>
      <c r="P504" s="3070">
        <v>12465.22</v>
      </c>
      <c r="Q504" s="3070">
        <v>1279804</v>
      </c>
      <c r="R504" s="3070" t="s">
        <v>3227</v>
      </c>
      <c r="S504" s="3070" t="s">
        <v>7384</v>
      </c>
      <c r="T504" s="3070" t="s">
        <v>3302</v>
      </c>
      <c r="V504" s="3070" t="s">
        <v>3230</v>
      </c>
      <c r="Y504" s="3070">
        <v>127980</v>
      </c>
      <c r="Z504" s="3070">
        <v>127980</v>
      </c>
      <c r="AA504" s="3070">
        <v>1279804</v>
      </c>
      <c r="AB504" s="3070">
        <v>0</v>
      </c>
      <c r="AC504" s="3070">
        <v>0</v>
      </c>
      <c r="AD504" s="3070">
        <v>0</v>
      </c>
      <c r="AE504" s="3070">
        <v>0</v>
      </c>
      <c r="AI504" s="3070" t="s">
        <v>3227</v>
      </c>
      <c r="AJ504" s="3070">
        <v>0</v>
      </c>
      <c r="AK504" s="3070">
        <v>0</v>
      </c>
      <c r="AL504" s="3070">
        <v>0</v>
      </c>
      <c r="AM504" s="3070">
        <v>12465.22</v>
      </c>
      <c r="AN504" s="3070">
        <v>1279804</v>
      </c>
      <c r="AP504" s="3070">
        <v>1279804</v>
      </c>
      <c r="AQ504" s="3072">
        <v>45138</v>
      </c>
      <c r="AT504" s="3073">
        <v>45678</v>
      </c>
      <c r="AV504" s="3070" t="s">
        <v>7385</v>
      </c>
      <c r="AW504" s="3070" t="s">
        <v>7386</v>
      </c>
      <c r="AX504" s="3070" t="s">
        <v>7387</v>
      </c>
      <c r="AY504" s="3070" t="s">
        <v>3364</v>
      </c>
      <c r="BC504" s="3070" t="s">
        <v>3307</v>
      </c>
      <c r="BD504" s="3070" t="s">
        <v>3077</v>
      </c>
      <c r="BI504" s="3070" t="s">
        <v>3235</v>
      </c>
      <c r="BJ504" s="3070" t="s">
        <v>3296</v>
      </c>
      <c r="BL504" s="3070" t="s">
        <v>7388</v>
      </c>
      <c r="BM504" s="3075">
        <v>44321</v>
      </c>
      <c r="BN504" s="3070">
        <v>3</v>
      </c>
      <c r="BR504" s="3070">
        <v>782</v>
      </c>
      <c r="BS504" s="3070" t="s">
        <v>3238</v>
      </c>
      <c r="BZ504" s="3073">
        <v>44142.62222222222</v>
      </c>
      <c r="CA504" s="3070">
        <v>5</v>
      </c>
      <c r="CD504" s="3070" t="s">
        <v>3239</v>
      </c>
      <c r="CF504" s="3070" t="s">
        <v>3091</v>
      </c>
      <c r="CH504" s="3070" t="s">
        <v>3240</v>
      </c>
      <c r="CI504" s="3070">
        <v>0</v>
      </c>
      <c r="CK504" s="3070" t="s">
        <v>3364</v>
      </c>
      <c r="CL504" s="3070" t="s">
        <v>3364</v>
      </c>
      <c r="CM504" s="3070">
        <v>1174132.1100000001</v>
      </c>
      <c r="CV504" s="3070" t="s">
        <v>3309</v>
      </c>
      <c r="CW504" s="3070" t="s">
        <v>7389</v>
      </c>
      <c r="CX504" s="3070" t="s">
        <v>3242</v>
      </c>
      <c r="CZ504" s="3070">
        <v>213894.57</v>
      </c>
      <c r="DA504" s="3070">
        <v>159426.93</v>
      </c>
      <c r="DB504" s="3070">
        <v>0</v>
      </c>
      <c r="DC504" s="3070">
        <v>0</v>
      </c>
      <c r="DD504" s="3070">
        <v>3290547602</v>
      </c>
      <c r="DE504" s="3070">
        <v>2764253109</v>
      </c>
      <c r="DF504" s="3070">
        <v>1464966739</v>
      </c>
      <c r="DG504" s="3070">
        <v>14938370</v>
      </c>
      <c r="DH504" s="3070">
        <v>1284348000</v>
      </c>
      <c r="DI504" s="3070">
        <v>1278128000</v>
      </c>
      <c r="DJ504" s="3070">
        <v>6220000</v>
      </c>
      <c r="DK504" s="3070">
        <v>0</v>
      </c>
      <c r="DL504" s="3070">
        <v>0</v>
      </c>
      <c r="DM504" s="3070">
        <v>25491817.620000001</v>
      </c>
      <c r="DN504" s="3070">
        <v>2764253109</v>
      </c>
      <c r="DP504" s="3070">
        <v>2764253109</v>
      </c>
    </row>
    <row r="505" spans="1:120">
      <c r="A505" s="3070">
        <v>504</v>
      </c>
      <c r="B505" s="3070" t="s">
        <v>3224</v>
      </c>
      <c r="C505" s="3070">
        <v>5</v>
      </c>
      <c r="E505" s="3070">
        <v>504</v>
      </c>
      <c r="F505" s="3070" t="s">
        <v>7390</v>
      </c>
      <c r="G505" s="3070" t="s">
        <v>7391</v>
      </c>
      <c r="H505" s="3070">
        <v>1394187</v>
      </c>
      <c r="I505" s="3070">
        <v>1394187</v>
      </c>
      <c r="J505" s="3070">
        <v>114.02</v>
      </c>
      <c r="K505" s="3070">
        <v>82.85</v>
      </c>
      <c r="L505" s="3070">
        <v>0</v>
      </c>
      <c r="M505" s="3070">
        <v>0</v>
      </c>
      <c r="N505" s="3070">
        <v>15144.44</v>
      </c>
      <c r="O505" s="3070">
        <v>1726769</v>
      </c>
      <c r="P505" s="3070">
        <v>12227.57</v>
      </c>
      <c r="Q505" s="3070">
        <v>1394187</v>
      </c>
      <c r="R505" s="3070" t="s">
        <v>3227</v>
      </c>
      <c r="S505" s="3070" t="s">
        <v>7392</v>
      </c>
      <c r="T505" s="3070" t="s">
        <v>3258</v>
      </c>
      <c r="U505" s="3070" t="s">
        <v>3259</v>
      </c>
      <c r="V505" s="3070" t="s">
        <v>3230</v>
      </c>
      <c r="Y505" s="3070">
        <v>494187</v>
      </c>
      <c r="Z505" s="3070">
        <v>494187</v>
      </c>
      <c r="AA505" s="3070">
        <v>494187</v>
      </c>
      <c r="AB505" s="3070">
        <v>0</v>
      </c>
      <c r="AC505" s="3070">
        <v>900000</v>
      </c>
      <c r="AD505" s="3070">
        <v>900000</v>
      </c>
      <c r="AE505" s="3070">
        <v>0</v>
      </c>
      <c r="AI505" s="3070" t="s">
        <v>3227</v>
      </c>
      <c r="AJ505" s="3070">
        <v>0</v>
      </c>
      <c r="AK505" s="3070">
        <v>0</v>
      </c>
      <c r="AL505" s="3070">
        <v>0</v>
      </c>
      <c r="AM505" s="3070">
        <v>12227.57</v>
      </c>
      <c r="AN505" s="3070">
        <v>1394187</v>
      </c>
      <c r="AP505" s="3070">
        <v>1394187</v>
      </c>
      <c r="AQ505" s="3072">
        <v>45138</v>
      </c>
      <c r="AT505" s="3073">
        <v>45678</v>
      </c>
      <c r="AV505" s="3074">
        <v>3.21E+17</v>
      </c>
      <c r="AW505" s="3070" t="s">
        <v>7393</v>
      </c>
      <c r="AX505" s="3070" t="s">
        <v>7394</v>
      </c>
      <c r="AY505" s="3070" t="s">
        <v>5680</v>
      </c>
      <c r="BC505" s="3070" t="s">
        <v>3263</v>
      </c>
      <c r="BD505" s="3070" t="s">
        <v>3077</v>
      </c>
      <c r="BI505" s="3070" t="s">
        <v>3235</v>
      </c>
      <c r="BJ505" s="3070" t="s">
        <v>3598</v>
      </c>
      <c r="BL505" s="3070" t="s">
        <v>7395</v>
      </c>
      <c r="BM505" s="3075">
        <v>44321</v>
      </c>
      <c r="BN505" s="3070">
        <v>4</v>
      </c>
      <c r="BO505" s="3070" t="s">
        <v>3253</v>
      </c>
      <c r="BP505" s="3070" t="s">
        <v>3253</v>
      </c>
      <c r="BR505" s="3070">
        <v>860</v>
      </c>
      <c r="BS505" s="3070" t="s">
        <v>3238</v>
      </c>
      <c r="BZ505" s="3073">
        <v>44151.638888888891</v>
      </c>
      <c r="CA505" s="3070">
        <v>5</v>
      </c>
      <c r="CD505" s="3070" t="s">
        <v>3239</v>
      </c>
      <c r="CF505" s="3070" t="s">
        <v>3091</v>
      </c>
      <c r="CH505" s="3070" t="s">
        <v>3240</v>
      </c>
      <c r="CI505" s="3070">
        <v>0</v>
      </c>
      <c r="CJ505" s="3070" t="s">
        <v>3259</v>
      </c>
      <c r="CK505" s="3070" t="s">
        <v>5680</v>
      </c>
      <c r="CL505" s="3070" t="s">
        <v>5680</v>
      </c>
      <c r="CM505" s="3070">
        <v>1279070.6399999999</v>
      </c>
      <c r="CV505" s="3070" t="s">
        <v>3258</v>
      </c>
      <c r="CW505" s="3070" t="s">
        <v>7396</v>
      </c>
      <c r="CZ505" s="3070">
        <v>213894.57</v>
      </c>
      <c r="DA505" s="3070">
        <v>159426.93</v>
      </c>
      <c r="DB505" s="3070">
        <v>0</v>
      </c>
      <c r="DC505" s="3070">
        <v>0</v>
      </c>
      <c r="DD505" s="3070">
        <v>3290547602</v>
      </c>
      <c r="DE505" s="3070">
        <v>2764253109</v>
      </c>
      <c r="DF505" s="3070">
        <v>1464966739</v>
      </c>
      <c r="DG505" s="3070">
        <v>14938370</v>
      </c>
      <c r="DH505" s="3070">
        <v>1284348000</v>
      </c>
      <c r="DI505" s="3070">
        <v>1278128000</v>
      </c>
      <c r="DJ505" s="3070">
        <v>6220000</v>
      </c>
      <c r="DK505" s="3070">
        <v>0</v>
      </c>
      <c r="DL505" s="3070">
        <v>0</v>
      </c>
      <c r="DM505" s="3070">
        <v>25491817.620000001</v>
      </c>
      <c r="DN505" s="3070">
        <v>2764253109</v>
      </c>
      <c r="DP505" s="3070">
        <v>2764253109</v>
      </c>
    </row>
    <row r="506" spans="1:120">
      <c r="A506" s="3070">
        <v>505</v>
      </c>
      <c r="B506" s="3070" t="s">
        <v>3224</v>
      </c>
      <c r="C506" s="3070">
        <v>5</v>
      </c>
      <c r="E506" s="3070">
        <v>601</v>
      </c>
      <c r="F506" s="3070" t="s">
        <v>7397</v>
      </c>
      <c r="G506" s="3070" t="s">
        <v>7398</v>
      </c>
      <c r="H506" s="3070">
        <v>1469629</v>
      </c>
      <c r="I506" s="3070">
        <v>1469629</v>
      </c>
      <c r="J506" s="3070">
        <v>114.02</v>
      </c>
      <c r="K506" s="3070">
        <v>82.85</v>
      </c>
      <c r="L506" s="3070">
        <v>0</v>
      </c>
      <c r="M506" s="3070">
        <v>0</v>
      </c>
      <c r="N506" s="3070">
        <v>15244.44</v>
      </c>
      <c r="O506" s="3070">
        <v>1738171</v>
      </c>
      <c r="P506" s="3070">
        <v>12889.22</v>
      </c>
      <c r="Q506" s="3070">
        <v>1469629</v>
      </c>
      <c r="R506" s="3070" t="s">
        <v>3227</v>
      </c>
      <c r="S506" s="3070" t="s">
        <v>7399</v>
      </c>
      <c r="T506" s="3070" t="s">
        <v>3229</v>
      </c>
      <c r="V506" s="3070" t="s">
        <v>3230</v>
      </c>
      <c r="Y506" s="3070">
        <v>440889</v>
      </c>
      <c r="Z506" s="3070">
        <v>440889</v>
      </c>
      <c r="AA506" s="3070">
        <v>1469629</v>
      </c>
      <c r="AB506" s="3070">
        <v>0</v>
      </c>
      <c r="AC506" s="3070">
        <v>0</v>
      </c>
      <c r="AD506" s="3070">
        <v>0</v>
      </c>
      <c r="AE506" s="3070">
        <v>0</v>
      </c>
      <c r="AI506" s="3070" t="s">
        <v>3227</v>
      </c>
      <c r="AJ506" s="3070">
        <v>0</v>
      </c>
      <c r="AK506" s="3070">
        <v>0</v>
      </c>
      <c r="AL506" s="3070">
        <v>0</v>
      </c>
      <c r="AM506" s="3070">
        <v>12889.22</v>
      </c>
      <c r="AN506" s="3070">
        <v>1469629</v>
      </c>
      <c r="AP506" s="3070">
        <v>1469629</v>
      </c>
      <c r="AQ506" s="3072">
        <v>45138</v>
      </c>
      <c r="AT506" s="3073">
        <v>45678</v>
      </c>
      <c r="AV506" s="3070" t="s">
        <v>7400</v>
      </c>
      <c r="AW506" s="3070" t="s">
        <v>7401</v>
      </c>
      <c r="AX506" s="3070" t="s">
        <v>7402</v>
      </c>
      <c r="AY506" s="3070" t="s">
        <v>3250</v>
      </c>
      <c r="BC506" s="3070" t="s">
        <v>7403</v>
      </c>
      <c r="BD506" s="3070" t="s">
        <v>3077</v>
      </c>
      <c r="BI506" s="3070" t="s">
        <v>3235</v>
      </c>
      <c r="BJ506" s="3070" t="s">
        <v>3338</v>
      </c>
      <c r="BL506" s="3070" t="s">
        <v>7404</v>
      </c>
      <c r="BM506" s="3075">
        <v>44322</v>
      </c>
      <c r="BN506" s="3070">
        <v>1</v>
      </c>
      <c r="BR506" s="3070">
        <v>193</v>
      </c>
      <c r="BS506" s="3070" t="s">
        <v>3238</v>
      </c>
      <c r="BZ506" s="3073">
        <v>44154.717361111114</v>
      </c>
      <c r="CA506" s="3070">
        <v>5</v>
      </c>
      <c r="CD506" s="3070" t="s">
        <v>3239</v>
      </c>
      <c r="CF506" s="3070" t="s">
        <v>3091</v>
      </c>
      <c r="CH506" s="3070" t="s">
        <v>3240</v>
      </c>
      <c r="CI506" s="3070">
        <v>0</v>
      </c>
      <c r="CK506" s="3070" t="s">
        <v>3250</v>
      </c>
      <c r="CL506" s="3070" t="s">
        <v>3250</v>
      </c>
      <c r="CM506" s="3070">
        <v>1348283.49</v>
      </c>
      <c r="CV506" s="3070" t="s">
        <v>3229</v>
      </c>
      <c r="CW506" s="3070" t="s">
        <v>7405</v>
      </c>
      <c r="CZ506" s="3070">
        <v>213894.57</v>
      </c>
      <c r="DA506" s="3070">
        <v>159426.93</v>
      </c>
      <c r="DB506" s="3070">
        <v>0</v>
      </c>
      <c r="DC506" s="3070">
        <v>0</v>
      </c>
      <c r="DD506" s="3070">
        <v>3290547602</v>
      </c>
      <c r="DE506" s="3070">
        <v>2764253109</v>
      </c>
      <c r="DF506" s="3070">
        <v>1464966739</v>
      </c>
      <c r="DG506" s="3070">
        <v>14938370</v>
      </c>
      <c r="DH506" s="3070">
        <v>1284348000</v>
      </c>
      <c r="DI506" s="3070">
        <v>1278128000</v>
      </c>
      <c r="DJ506" s="3070">
        <v>6220000</v>
      </c>
      <c r="DK506" s="3070">
        <v>0</v>
      </c>
      <c r="DL506" s="3070">
        <v>0</v>
      </c>
      <c r="DM506" s="3070">
        <v>25491817.620000001</v>
      </c>
      <c r="DN506" s="3070">
        <v>2764253109</v>
      </c>
      <c r="DP506" s="3070">
        <v>2764253109</v>
      </c>
    </row>
    <row r="507" spans="1:120">
      <c r="A507" s="3070">
        <v>506</v>
      </c>
      <c r="B507" s="3070" t="s">
        <v>3224</v>
      </c>
      <c r="C507" s="3070">
        <v>5</v>
      </c>
      <c r="E507" s="3070">
        <v>602</v>
      </c>
      <c r="F507" s="3070" t="s">
        <v>7406</v>
      </c>
      <c r="G507" s="3070" t="s">
        <v>7407</v>
      </c>
      <c r="H507" s="3070">
        <v>1284684</v>
      </c>
      <c r="I507" s="3070">
        <v>1284684</v>
      </c>
      <c r="J507" s="3070">
        <v>102.67</v>
      </c>
      <c r="K507" s="3070">
        <v>74.61</v>
      </c>
      <c r="L507" s="3070">
        <v>0</v>
      </c>
      <c r="M507" s="3070">
        <v>0</v>
      </c>
      <c r="N507" s="3070">
        <v>15444.44</v>
      </c>
      <c r="O507" s="3070">
        <v>1585681</v>
      </c>
      <c r="P507" s="3070">
        <v>12512.75</v>
      </c>
      <c r="Q507" s="3070">
        <v>1284684</v>
      </c>
      <c r="R507" s="3070" t="s">
        <v>3227</v>
      </c>
      <c r="S507" s="3070" t="s">
        <v>7408</v>
      </c>
      <c r="T507" s="3070" t="s">
        <v>3246</v>
      </c>
      <c r="U507" s="3070" t="s">
        <v>3247</v>
      </c>
      <c r="V507" s="3070" t="s">
        <v>3230</v>
      </c>
      <c r="Y507" s="3070">
        <v>394684</v>
      </c>
      <c r="Z507" s="3070">
        <v>128468</v>
      </c>
      <c r="AA507" s="3070">
        <v>394684</v>
      </c>
      <c r="AB507" s="3070">
        <v>0</v>
      </c>
      <c r="AC507" s="3070">
        <v>890000</v>
      </c>
      <c r="AD507" s="3070">
        <v>890000</v>
      </c>
      <c r="AE507" s="3070">
        <v>0</v>
      </c>
      <c r="AI507" s="3070" t="s">
        <v>3227</v>
      </c>
      <c r="AJ507" s="3070">
        <v>0</v>
      </c>
      <c r="AK507" s="3070">
        <v>0</v>
      </c>
      <c r="AL507" s="3070">
        <v>0</v>
      </c>
      <c r="AM507" s="3070">
        <v>12512.75</v>
      </c>
      <c r="AN507" s="3070">
        <v>1284684</v>
      </c>
      <c r="AP507" s="3070">
        <v>1284684</v>
      </c>
      <c r="AQ507" s="3072">
        <v>45138</v>
      </c>
      <c r="AT507" s="3073">
        <v>45678</v>
      </c>
      <c r="AV507" s="3074">
        <v>3.21E+17</v>
      </c>
      <c r="AW507" s="3070" t="s">
        <v>7409</v>
      </c>
      <c r="AX507" s="3070" t="s">
        <v>7410</v>
      </c>
      <c r="AY507" s="3070" t="s">
        <v>3273</v>
      </c>
      <c r="BC507" s="3070" t="s">
        <v>3284</v>
      </c>
      <c r="BD507" s="3070" t="s">
        <v>3077</v>
      </c>
      <c r="BI507" s="3070" t="s">
        <v>3235</v>
      </c>
      <c r="BJ507" s="3070" t="s">
        <v>3236</v>
      </c>
      <c r="BL507" s="3070" t="s">
        <v>7411</v>
      </c>
      <c r="BM507" s="3075">
        <v>44322</v>
      </c>
      <c r="BN507" s="3070">
        <v>2</v>
      </c>
      <c r="BO507" s="3070" t="s">
        <v>3253</v>
      </c>
      <c r="BR507" s="3070">
        <v>582</v>
      </c>
      <c r="BS507" s="3070" t="s">
        <v>3238</v>
      </c>
      <c r="BZ507" s="3073">
        <v>44142.600694444445</v>
      </c>
      <c r="CA507" s="3070">
        <v>5</v>
      </c>
      <c r="CD507" s="3070" t="s">
        <v>3239</v>
      </c>
      <c r="CF507" s="3070" t="s">
        <v>3091</v>
      </c>
      <c r="CH507" s="3070" t="s">
        <v>3240</v>
      </c>
      <c r="CI507" s="3070">
        <v>0</v>
      </c>
      <c r="CK507" s="3070" t="s">
        <v>3273</v>
      </c>
      <c r="CL507" s="3070" t="s">
        <v>3273</v>
      </c>
      <c r="CM507" s="3070">
        <v>1178609.17</v>
      </c>
      <c r="CV507" s="3070" t="s">
        <v>3246</v>
      </c>
      <c r="CW507" s="3070" t="s">
        <v>7412</v>
      </c>
      <c r="CX507" s="3070" t="s">
        <v>3510</v>
      </c>
      <c r="CZ507" s="3070">
        <v>213894.57</v>
      </c>
      <c r="DA507" s="3070">
        <v>159426.93</v>
      </c>
      <c r="DB507" s="3070">
        <v>0</v>
      </c>
      <c r="DC507" s="3070">
        <v>0</v>
      </c>
      <c r="DD507" s="3070">
        <v>3290547602</v>
      </c>
      <c r="DE507" s="3070">
        <v>2764253109</v>
      </c>
      <c r="DF507" s="3070">
        <v>1464966739</v>
      </c>
      <c r="DG507" s="3070">
        <v>14938370</v>
      </c>
      <c r="DH507" s="3070">
        <v>1284348000</v>
      </c>
      <c r="DI507" s="3070">
        <v>1278128000</v>
      </c>
      <c r="DJ507" s="3070">
        <v>6220000</v>
      </c>
      <c r="DK507" s="3070">
        <v>0</v>
      </c>
      <c r="DL507" s="3070">
        <v>0</v>
      </c>
      <c r="DM507" s="3070">
        <v>25491817.620000001</v>
      </c>
      <c r="DN507" s="3070">
        <v>2764253109</v>
      </c>
      <c r="DP507" s="3070">
        <v>2764253109</v>
      </c>
    </row>
    <row r="508" spans="1:120">
      <c r="A508" s="3070">
        <v>507</v>
      </c>
      <c r="B508" s="3070" t="s">
        <v>3224</v>
      </c>
      <c r="C508" s="3070">
        <v>5</v>
      </c>
      <c r="E508" s="3070">
        <v>603</v>
      </c>
      <c r="F508" s="3070" t="s">
        <v>7413</v>
      </c>
      <c r="G508" s="3070" t="s">
        <v>7414</v>
      </c>
      <c r="H508" s="3070">
        <v>1284684</v>
      </c>
      <c r="I508" s="3070">
        <v>1284684</v>
      </c>
      <c r="J508" s="3070">
        <v>102.67</v>
      </c>
      <c r="K508" s="3070">
        <v>74.61</v>
      </c>
      <c r="L508" s="3070">
        <v>0</v>
      </c>
      <c r="M508" s="3070">
        <v>0</v>
      </c>
      <c r="N508" s="3070">
        <v>15444.44</v>
      </c>
      <c r="O508" s="3070">
        <v>1585681</v>
      </c>
      <c r="P508" s="3070">
        <v>12512.75</v>
      </c>
      <c r="Q508" s="3070">
        <v>1284684</v>
      </c>
      <c r="R508" s="3070" t="s">
        <v>3227</v>
      </c>
      <c r="S508" s="3070" t="s">
        <v>7415</v>
      </c>
      <c r="T508" s="3070" t="s">
        <v>3258</v>
      </c>
      <c r="U508" s="3070" t="s">
        <v>3259</v>
      </c>
      <c r="V508" s="3070" t="s">
        <v>3230</v>
      </c>
      <c r="Y508" s="3070">
        <v>394684</v>
      </c>
      <c r="Z508" s="3070">
        <v>394684</v>
      </c>
      <c r="AA508" s="3070">
        <v>394684</v>
      </c>
      <c r="AB508" s="3070">
        <v>0</v>
      </c>
      <c r="AC508" s="3070">
        <v>890000</v>
      </c>
      <c r="AD508" s="3070">
        <v>890000</v>
      </c>
      <c r="AE508" s="3070">
        <v>0</v>
      </c>
      <c r="AI508" s="3070" t="s">
        <v>3227</v>
      </c>
      <c r="AJ508" s="3070">
        <v>0</v>
      </c>
      <c r="AK508" s="3070">
        <v>0</v>
      </c>
      <c r="AL508" s="3070">
        <v>0</v>
      </c>
      <c r="AM508" s="3070">
        <v>12512.75</v>
      </c>
      <c r="AN508" s="3070">
        <v>1284684</v>
      </c>
      <c r="AP508" s="3070">
        <v>1284684</v>
      </c>
      <c r="AQ508" s="3072">
        <v>45138</v>
      </c>
      <c r="AT508" s="3073">
        <v>45678</v>
      </c>
      <c r="AV508" s="3070" t="s">
        <v>7416</v>
      </c>
      <c r="AW508" s="3070" t="s">
        <v>7417</v>
      </c>
      <c r="AX508" s="3070" t="s">
        <v>7418</v>
      </c>
      <c r="AY508" s="3070" t="s">
        <v>3419</v>
      </c>
      <c r="BC508" s="3070" t="s">
        <v>3263</v>
      </c>
      <c r="BD508" s="3070" t="s">
        <v>3077</v>
      </c>
      <c r="BI508" s="3070" t="s">
        <v>3235</v>
      </c>
      <c r="BJ508" s="3070" t="s">
        <v>3338</v>
      </c>
      <c r="BL508" s="3070" t="s">
        <v>7419</v>
      </c>
      <c r="BM508" s="3075">
        <v>44322</v>
      </c>
      <c r="BN508" s="3070">
        <v>3</v>
      </c>
      <c r="BO508" s="3070" t="s">
        <v>3253</v>
      </c>
      <c r="BP508" s="3070" t="s">
        <v>3253</v>
      </c>
      <c r="BR508" s="3070">
        <v>64</v>
      </c>
      <c r="BS508" s="3070" t="s">
        <v>3238</v>
      </c>
      <c r="BZ508" s="3073">
        <v>44142.618750000001</v>
      </c>
      <c r="CA508" s="3070">
        <v>5</v>
      </c>
      <c r="CD508" s="3070" t="s">
        <v>3239</v>
      </c>
      <c r="CF508" s="3070" t="s">
        <v>3091</v>
      </c>
      <c r="CH508" s="3070" t="s">
        <v>3240</v>
      </c>
      <c r="CI508" s="3070">
        <v>0</v>
      </c>
      <c r="CJ508" s="3070" t="s">
        <v>3259</v>
      </c>
      <c r="CK508" s="3070" t="s">
        <v>3419</v>
      </c>
      <c r="CL508" s="3070" t="s">
        <v>3419</v>
      </c>
      <c r="CM508" s="3070">
        <v>1178609.17</v>
      </c>
      <c r="CV508" s="3070" t="s">
        <v>3258</v>
      </c>
      <c r="CW508" s="3070" t="s">
        <v>7420</v>
      </c>
      <c r="CZ508" s="3070">
        <v>213894.57</v>
      </c>
      <c r="DA508" s="3070">
        <v>159426.93</v>
      </c>
      <c r="DB508" s="3070">
        <v>0</v>
      </c>
      <c r="DC508" s="3070">
        <v>0</v>
      </c>
      <c r="DD508" s="3070">
        <v>3290547602</v>
      </c>
      <c r="DE508" s="3070">
        <v>2764253109</v>
      </c>
      <c r="DF508" s="3070">
        <v>1464966739</v>
      </c>
      <c r="DG508" s="3070">
        <v>14938370</v>
      </c>
      <c r="DH508" s="3070">
        <v>1284348000</v>
      </c>
      <c r="DI508" s="3070">
        <v>1278128000</v>
      </c>
      <c r="DJ508" s="3070">
        <v>6220000</v>
      </c>
      <c r="DK508" s="3070">
        <v>0</v>
      </c>
      <c r="DL508" s="3070">
        <v>0</v>
      </c>
      <c r="DM508" s="3070">
        <v>25491817.620000001</v>
      </c>
      <c r="DN508" s="3070">
        <v>2764253109</v>
      </c>
      <c r="DP508" s="3070">
        <v>2764253109</v>
      </c>
    </row>
    <row r="509" spans="1:120">
      <c r="A509" s="3070">
        <v>508</v>
      </c>
      <c r="B509" s="3070" t="s">
        <v>3224</v>
      </c>
      <c r="C509" s="3070">
        <v>5</v>
      </c>
      <c r="E509" s="3070">
        <v>604</v>
      </c>
      <c r="F509" s="3070" t="s">
        <v>7421</v>
      </c>
      <c r="G509" s="3070" t="s">
        <v>7422</v>
      </c>
      <c r="H509" s="3070">
        <v>1385610</v>
      </c>
      <c r="I509" s="3070">
        <v>1385610</v>
      </c>
      <c r="J509" s="3070">
        <v>114.02</v>
      </c>
      <c r="K509" s="3070">
        <v>82.85</v>
      </c>
      <c r="L509" s="3070">
        <v>0</v>
      </c>
      <c r="M509" s="3070">
        <v>0</v>
      </c>
      <c r="N509" s="3070">
        <v>15194.44</v>
      </c>
      <c r="O509" s="3070">
        <v>1732470</v>
      </c>
      <c r="P509" s="3070">
        <v>12152.34</v>
      </c>
      <c r="Q509" s="3070">
        <v>1385610</v>
      </c>
      <c r="R509" s="3070" t="s">
        <v>3227</v>
      </c>
      <c r="S509" s="3070" t="s">
        <v>7423</v>
      </c>
      <c r="T509" s="3070" t="s">
        <v>3229</v>
      </c>
      <c r="V509" s="3070" t="s">
        <v>3230</v>
      </c>
      <c r="Y509" s="3070">
        <v>415683</v>
      </c>
      <c r="Z509" s="3070">
        <v>415683</v>
      </c>
      <c r="AA509" s="3070">
        <v>1385610</v>
      </c>
      <c r="AB509" s="3070">
        <v>0</v>
      </c>
      <c r="AC509" s="3070">
        <v>0</v>
      </c>
      <c r="AD509" s="3070">
        <v>0</v>
      </c>
      <c r="AE509" s="3070">
        <v>0</v>
      </c>
      <c r="AI509" s="3070" t="s">
        <v>3227</v>
      </c>
      <c r="AJ509" s="3070">
        <v>0</v>
      </c>
      <c r="AK509" s="3070">
        <v>0</v>
      </c>
      <c r="AL509" s="3070">
        <v>0</v>
      </c>
      <c r="AM509" s="3070">
        <v>12152.34</v>
      </c>
      <c r="AN509" s="3070">
        <v>1385610</v>
      </c>
      <c r="AP509" s="3070">
        <v>1385610</v>
      </c>
      <c r="AQ509" s="3072">
        <v>45138</v>
      </c>
      <c r="AT509" s="3073">
        <v>45678</v>
      </c>
      <c r="AV509" s="3070" t="s">
        <v>7424</v>
      </c>
      <c r="AW509" s="3070" t="s">
        <v>7425</v>
      </c>
      <c r="AX509" s="3070" t="s">
        <v>7426</v>
      </c>
      <c r="AY509" s="3070" t="s">
        <v>3699</v>
      </c>
      <c r="BC509" s="3070" t="s">
        <v>3347</v>
      </c>
      <c r="BD509" s="3070" t="s">
        <v>3077</v>
      </c>
      <c r="BI509" s="3070" t="s">
        <v>3235</v>
      </c>
      <c r="BJ509" s="3070" t="s">
        <v>3598</v>
      </c>
      <c r="BL509" s="3070" t="s">
        <v>7427</v>
      </c>
      <c r="BM509" s="3075">
        <v>44322</v>
      </c>
      <c r="BN509" s="3070">
        <v>4</v>
      </c>
      <c r="BR509" s="3070">
        <v>416</v>
      </c>
      <c r="BS509" s="3070" t="s">
        <v>3238</v>
      </c>
      <c r="BZ509" s="3073">
        <v>44150.732638888891</v>
      </c>
      <c r="CA509" s="3070">
        <v>5</v>
      </c>
      <c r="CD509" s="3070" t="s">
        <v>3239</v>
      </c>
      <c r="CF509" s="3070" t="s">
        <v>3091</v>
      </c>
      <c r="CH509" s="3070" t="s">
        <v>3240</v>
      </c>
      <c r="CI509" s="3070">
        <v>0</v>
      </c>
      <c r="CK509" s="3070" t="s">
        <v>3699</v>
      </c>
      <c r="CL509" s="3070" t="s">
        <v>3699</v>
      </c>
      <c r="CM509" s="3070">
        <v>1271201.83</v>
      </c>
      <c r="CV509" s="3070" t="s">
        <v>3229</v>
      </c>
      <c r="CW509" s="3070" t="s">
        <v>7428</v>
      </c>
      <c r="CX509" s="3070" t="s">
        <v>3510</v>
      </c>
      <c r="CZ509" s="3070">
        <v>213894.57</v>
      </c>
      <c r="DA509" s="3070">
        <v>159426.93</v>
      </c>
      <c r="DB509" s="3070">
        <v>0</v>
      </c>
      <c r="DC509" s="3070">
        <v>0</v>
      </c>
      <c r="DD509" s="3070">
        <v>3290547602</v>
      </c>
      <c r="DE509" s="3070">
        <v>2764253109</v>
      </c>
      <c r="DF509" s="3070">
        <v>1464966739</v>
      </c>
      <c r="DG509" s="3070">
        <v>14938370</v>
      </c>
      <c r="DH509" s="3070">
        <v>1284348000</v>
      </c>
      <c r="DI509" s="3070">
        <v>1278128000</v>
      </c>
      <c r="DJ509" s="3070">
        <v>6220000</v>
      </c>
      <c r="DK509" s="3070">
        <v>0</v>
      </c>
      <c r="DL509" s="3070">
        <v>0</v>
      </c>
      <c r="DM509" s="3070">
        <v>25491817.620000001</v>
      </c>
      <c r="DN509" s="3070">
        <v>2764253109</v>
      </c>
      <c r="DP509" s="3070">
        <v>2764253109</v>
      </c>
    </row>
    <row r="510" spans="1:120">
      <c r="A510" s="3070">
        <v>509</v>
      </c>
      <c r="B510" s="3070" t="s">
        <v>3224</v>
      </c>
      <c r="C510" s="3070">
        <v>5</v>
      </c>
      <c r="E510" s="3070">
        <v>701</v>
      </c>
      <c r="F510" s="3070" t="s">
        <v>7429</v>
      </c>
      <c r="G510" s="3070" t="s">
        <v>7430</v>
      </c>
      <c r="H510" s="3070">
        <v>1472081</v>
      </c>
      <c r="I510" s="3070">
        <v>1472081</v>
      </c>
      <c r="J510" s="3070">
        <v>114.02</v>
      </c>
      <c r="K510" s="3070">
        <v>82.85</v>
      </c>
      <c r="L510" s="3070">
        <v>0</v>
      </c>
      <c r="M510" s="3070">
        <v>0</v>
      </c>
      <c r="N510" s="3070">
        <v>15294.44</v>
      </c>
      <c r="O510" s="3070">
        <v>1743872</v>
      </c>
      <c r="P510" s="3070">
        <v>12910.73</v>
      </c>
      <c r="Q510" s="3070">
        <v>1472081</v>
      </c>
      <c r="R510" s="3070" t="s">
        <v>3227</v>
      </c>
      <c r="S510" s="3070" t="s">
        <v>7431</v>
      </c>
      <c r="T510" s="3070" t="s">
        <v>3476</v>
      </c>
      <c r="U510" s="3070" t="s">
        <v>3247</v>
      </c>
      <c r="V510" s="3070" t="s">
        <v>3230</v>
      </c>
      <c r="Y510" s="3070">
        <v>176650</v>
      </c>
      <c r="Z510" s="3070">
        <v>176650</v>
      </c>
      <c r="AA510" s="3070">
        <v>442081</v>
      </c>
      <c r="AB510" s="3070">
        <v>0</v>
      </c>
      <c r="AC510" s="3070">
        <v>1030000</v>
      </c>
      <c r="AD510" s="3070">
        <v>1030000</v>
      </c>
      <c r="AE510" s="3070">
        <v>0</v>
      </c>
      <c r="AI510" s="3070" t="s">
        <v>3227</v>
      </c>
      <c r="AJ510" s="3070">
        <v>0</v>
      </c>
      <c r="AK510" s="3070">
        <v>0</v>
      </c>
      <c r="AL510" s="3070">
        <v>0</v>
      </c>
      <c r="AM510" s="3070">
        <v>12910.73</v>
      </c>
      <c r="AN510" s="3070">
        <v>1472081</v>
      </c>
      <c r="AP510" s="3070">
        <v>1472081</v>
      </c>
      <c r="AQ510" s="3072">
        <v>45138</v>
      </c>
      <c r="AT510" s="3073">
        <v>45678</v>
      </c>
      <c r="AV510" s="3070" t="s">
        <v>7432</v>
      </c>
      <c r="AW510" s="3070" t="s">
        <v>7433</v>
      </c>
      <c r="AX510" s="3070" t="s">
        <v>7434</v>
      </c>
      <c r="AY510" s="3070" t="s">
        <v>3419</v>
      </c>
      <c r="BC510" s="3070" t="s">
        <v>7435</v>
      </c>
      <c r="BD510" s="3070" t="s">
        <v>3077</v>
      </c>
      <c r="BI510" s="3070" t="s">
        <v>3235</v>
      </c>
      <c r="BL510" s="3070" t="s">
        <v>7436</v>
      </c>
      <c r="BM510" s="3075">
        <v>44323</v>
      </c>
      <c r="BN510" s="3070">
        <v>1</v>
      </c>
      <c r="BO510" s="3070" t="s">
        <v>3253</v>
      </c>
      <c r="BR510" s="3070">
        <v>13</v>
      </c>
      <c r="BS510" s="3070" t="s">
        <v>3238</v>
      </c>
      <c r="BT510" s="3070" t="s">
        <v>7437</v>
      </c>
      <c r="BV510" s="3070" t="s">
        <v>7438</v>
      </c>
      <c r="BZ510" s="3073">
        <v>44171.710416666669</v>
      </c>
      <c r="CA510" s="3070">
        <v>5</v>
      </c>
      <c r="CB510" s="3070" t="s">
        <v>7437</v>
      </c>
      <c r="CD510" s="3070" t="s">
        <v>3239</v>
      </c>
      <c r="CF510" s="3070" t="s">
        <v>3091</v>
      </c>
      <c r="CH510" s="3070" t="s">
        <v>3240</v>
      </c>
      <c r="CI510" s="3070">
        <v>0</v>
      </c>
      <c r="CK510" s="3070" t="s">
        <v>3419</v>
      </c>
      <c r="CL510" s="3070" t="s">
        <v>3419</v>
      </c>
      <c r="CM510" s="3070">
        <v>1350533.03</v>
      </c>
      <c r="CV510" s="3070" t="s">
        <v>3482</v>
      </c>
      <c r="CW510" s="3070" t="s">
        <v>7439</v>
      </c>
      <c r="CZ510" s="3070">
        <v>213894.57</v>
      </c>
      <c r="DA510" s="3070">
        <v>159426.93</v>
      </c>
      <c r="DB510" s="3070">
        <v>0</v>
      </c>
      <c r="DC510" s="3070">
        <v>0</v>
      </c>
      <c r="DD510" s="3070">
        <v>3290547602</v>
      </c>
      <c r="DE510" s="3070">
        <v>2764253109</v>
      </c>
      <c r="DF510" s="3070">
        <v>1464966739</v>
      </c>
      <c r="DG510" s="3070">
        <v>14938370</v>
      </c>
      <c r="DH510" s="3070">
        <v>1284348000</v>
      </c>
      <c r="DI510" s="3070">
        <v>1278128000</v>
      </c>
      <c r="DJ510" s="3070">
        <v>6220000</v>
      </c>
      <c r="DK510" s="3070">
        <v>0</v>
      </c>
      <c r="DL510" s="3070">
        <v>0</v>
      </c>
      <c r="DM510" s="3070">
        <v>25491817.620000001</v>
      </c>
      <c r="DN510" s="3070">
        <v>2764253109</v>
      </c>
      <c r="DP510" s="3070">
        <v>2764253109</v>
      </c>
    </row>
    <row r="511" spans="1:120">
      <c r="A511" s="3070">
        <v>510</v>
      </c>
      <c r="B511" s="3070" t="s">
        <v>3224</v>
      </c>
      <c r="C511" s="3070">
        <v>5</v>
      </c>
      <c r="E511" s="3070">
        <v>702</v>
      </c>
      <c r="F511" s="3070" t="s">
        <v>7440</v>
      </c>
      <c r="G511" s="3070" t="s">
        <v>7441</v>
      </c>
      <c r="H511" s="3070">
        <v>1263773</v>
      </c>
      <c r="I511" s="3070">
        <v>1263773</v>
      </c>
      <c r="J511" s="3070">
        <v>102.67</v>
      </c>
      <c r="K511" s="3070">
        <v>74.61</v>
      </c>
      <c r="L511" s="3070">
        <v>0</v>
      </c>
      <c r="M511" s="3070">
        <v>0</v>
      </c>
      <c r="N511" s="3070">
        <v>15494.44</v>
      </c>
      <c r="O511" s="3070">
        <v>1590814</v>
      </c>
      <c r="P511" s="3070">
        <v>12309.08</v>
      </c>
      <c r="Q511" s="3070">
        <v>1263773</v>
      </c>
      <c r="R511" s="3070" t="s">
        <v>3227</v>
      </c>
      <c r="S511" s="3070" t="s">
        <v>7442</v>
      </c>
      <c r="T511" s="3070" t="s">
        <v>3246</v>
      </c>
      <c r="U511" s="3070" t="s">
        <v>3381</v>
      </c>
      <c r="V511" s="3070" t="s">
        <v>3230</v>
      </c>
      <c r="Y511" s="3070">
        <v>383773</v>
      </c>
      <c r="Z511" s="3070">
        <v>383773</v>
      </c>
      <c r="AA511" s="3070">
        <v>383773</v>
      </c>
      <c r="AB511" s="3070">
        <v>0</v>
      </c>
      <c r="AC511" s="3070">
        <v>880000</v>
      </c>
      <c r="AD511" s="3070">
        <v>880000</v>
      </c>
      <c r="AE511" s="3070">
        <v>0</v>
      </c>
      <c r="AI511" s="3070" t="s">
        <v>3227</v>
      </c>
      <c r="AJ511" s="3070">
        <v>0</v>
      </c>
      <c r="AK511" s="3070">
        <v>0</v>
      </c>
      <c r="AL511" s="3070">
        <v>0</v>
      </c>
      <c r="AM511" s="3070">
        <v>12309.08</v>
      </c>
      <c r="AN511" s="3070">
        <v>1263773</v>
      </c>
      <c r="AP511" s="3070">
        <v>1263773</v>
      </c>
      <c r="AQ511" s="3072">
        <v>45138</v>
      </c>
      <c r="AT511" s="3073">
        <v>45678</v>
      </c>
      <c r="AV511" s="3074">
        <v>3.21E+17</v>
      </c>
      <c r="AW511" s="3070" t="s">
        <v>7443</v>
      </c>
      <c r="AX511" s="3070" t="s">
        <v>7444</v>
      </c>
      <c r="AY511" s="3070" t="s">
        <v>3497</v>
      </c>
      <c r="BC511" s="3070" t="s">
        <v>4359</v>
      </c>
      <c r="BD511" s="3070" t="s">
        <v>3077</v>
      </c>
      <c r="BI511" s="3070" t="s">
        <v>3235</v>
      </c>
      <c r="BJ511" s="3070" t="s">
        <v>3338</v>
      </c>
      <c r="BL511" s="3070" t="s">
        <v>7445</v>
      </c>
      <c r="BM511" s="3075">
        <v>44323</v>
      </c>
      <c r="BN511" s="3070">
        <v>2</v>
      </c>
      <c r="BO511" s="3070" t="s">
        <v>3253</v>
      </c>
      <c r="BR511" s="3070">
        <v>868</v>
      </c>
      <c r="BS511" s="3070" t="s">
        <v>3238</v>
      </c>
      <c r="BZ511" s="3073">
        <v>44142.638888888891</v>
      </c>
      <c r="CA511" s="3070">
        <v>5</v>
      </c>
      <c r="CD511" s="3070" t="s">
        <v>3239</v>
      </c>
      <c r="CF511" s="3070" t="s">
        <v>3091</v>
      </c>
      <c r="CH511" s="3070" t="s">
        <v>3240</v>
      </c>
      <c r="CI511" s="3070">
        <v>0</v>
      </c>
      <c r="CK511" s="3070" t="s">
        <v>3497</v>
      </c>
      <c r="CL511" s="3070" t="s">
        <v>3497</v>
      </c>
      <c r="CM511" s="3070">
        <v>1159424.77</v>
      </c>
      <c r="CV511" s="3070" t="s">
        <v>3246</v>
      </c>
      <c r="CW511" s="3070" t="s">
        <v>7446</v>
      </c>
      <c r="CX511" s="3070" t="s">
        <v>3350</v>
      </c>
      <c r="CZ511" s="3070">
        <v>213894.57</v>
      </c>
      <c r="DA511" s="3070">
        <v>159426.93</v>
      </c>
      <c r="DB511" s="3070">
        <v>0</v>
      </c>
      <c r="DC511" s="3070">
        <v>0</v>
      </c>
      <c r="DD511" s="3070">
        <v>3290547602</v>
      </c>
      <c r="DE511" s="3070">
        <v>2764253109</v>
      </c>
      <c r="DF511" s="3070">
        <v>1464966739</v>
      </c>
      <c r="DG511" s="3070">
        <v>14938370</v>
      </c>
      <c r="DH511" s="3070">
        <v>1284348000</v>
      </c>
      <c r="DI511" s="3070">
        <v>1278128000</v>
      </c>
      <c r="DJ511" s="3070">
        <v>6220000</v>
      </c>
      <c r="DK511" s="3070">
        <v>0</v>
      </c>
      <c r="DL511" s="3070">
        <v>0</v>
      </c>
      <c r="DM511" s="3070">
        <v>25491817.620000001</v>
      </c>
      <c r="DN511" s="3070">
        <v>2764253109</v>
      </c>
      <c r="DP511" s="3070">
        <v>2764253109</v>
      </c>
    </row>
    <row r="512" spans="1:120">
      <c r="A512" s="3070">
        <v>511</v>
      </c>
      <c r="B512" s="3070" t="s">
        <v>3224</v>
      </c>
      <c r="C512" s="3070">
        <v>5</v>
      </c>
      <c r="E512" s="3070">
        <v>703</v>
      </c>
      <c r="F512" s="3070" t="s">
        <v>7447</v>
      </c>
      <c r="G512" s="3070" t="s">
        <v>7448</v>
      </c>
      <c r="H512" s="3070">
        <v>1263773</v>
      </c>
      <c r="I512" s="3070">
        <v>1263773</v>
      </c>
      <c r="J512" s="3070">
        <v>102.67</v>
      </c>
      <c r="K512" s="3070">
        <v>74.61</v>
      </c>
      <c r="L512" s="3070">
        <v>0</v>
      </c>
      <c r="M512" s="3070">
        <v>0</v>
      </c>
      <c r="N512" s="3070">
        <v>15494.44</v>
      </c>
      <c r="O512" s="3070">
        <v>1590814</v>
      </c>
      <c r="P512" s="3070">
        <v>12309.08</v>
      </c>
      <c r="Q512" s="3070">
        <v>1263773</v>
      </c>
      <c r="R512" s="3070" t="s">
        <v>3227</v>
      </c>
      <c r="S512" s="3070" t="s">
        <v>7449</v>
      </c>
      <c r="T512" s="3070" t="s">
        <v>3246</v>
      </c>
      <c r="U512" s="3070" t="s">
        <v>3259</v>
      </c>
      <c r="V512" s="3070" t="s">
        <v>3230</v>
      </c>
      <c r="Y512" s="3070">
        <v>933773</v>
      </c>
      <c r="Z512" s="3070">
        <v>933773</v>
      </c>
      <c r="AA512" s="3070">
        <v>933773</v>
      </c>
      <c r="AB512" s="3070">
        <v>0</v>
      </c>
      <c r="AC512" s="3070">
        <v>330000</v>
      </c>
      <c r="AD512" s="3070">
        <v>330000</v>
      </c>
      <c r="AE512" s="3070">
        <v>0</v>
      </c>
      <c r="AI512" s="3070" t="s">
        <v>3227</v>
      </c>
      <c r="AJ512" s="3070">
        <v>0</v>
      </c>
      <c r="AK512" s="3070">
        <v>0</v>
      </c>
      <c r="AL512" s="3070">
        <v>0</v>
      </c>
      <c r="AM512" s="3070">
        <v>12309.08</v>
      </c>
      <c r="AN512" s="3070">
        <v>1263773</v>
      </c>
      <c r="AP512" s="3070">
        <v>1263773</v>
      </c>
      <c r="AQ512" s="3072">
        <v>45138</v>
      </c>
      <c r="AT512" s="3073">
        <v>45678</v>
      </c>
      <c r="AV512" s="3074">
        <v>3.21E+17</v>
      </c>
      <c r="AW512" s="3070" t="s">
        <v>7450</v>
      </c>
      <c r="AX512" s="3070" t="s">
        <v>7451</v>
      </c>
      <c r="AY512" s="3070" t="s">
        <v>3306</v>
      </c>
      <c r="BC512" s="3070" t="s">
        <v>3507</v>
      </c>
      <c r="BD512" s="3070" t="s">
        <v>3077</v>
      </c>
      <c r="BI512" s="3070" t="s">
        <v>3235</v>
      </c>
      <c r="BL512" s="3070" t="s">
        <v>7452</v>
      </c>
      <c r="BM512" s="3075">
        <v>44323</v>
      </c>
      <c r="BN512" s="3070">
        <v>3</v>
      </c>
      <c r="BO512" s="3070" t="s">
        <v>3253</v>
      </c>
      <c r="BR512" s="3070">
        <v>731</v>
      </c>
      <c r="BS512" s="3070" t="s">
        <v>3238</v>
      </c>
      <c r="BZ512" s="3073">
        <v>44142.640972222223</v>
      </c>
      <c r="CA512" s="3070">
        <v>5</v>
      </c>
      <c r="CD512" s="3070" t="s">
        <v>3239</v>
      </c>
      <c r="CF512" s="3070" t="s">
        <v>3091</v>
      </c>
      <c r="CH512" s="3070" t="s">
        <v>3240</v>
      </c>
      <c r="CI512" s="3070">
        <v>0</v>
      </c>
      <c r="CK512" s="3070" t="s">
        <v>3306</v>
      </c>
      <c r="CL512" s="3070" t="s">
        <v>3306</v>
      </c>
      <c r="CM512" s="3070">
        <v>1159424.77</v>
      </c>
      <c r="CV512" s="3070" t="s">
        <v>3246</v>
      </c>
      <c r="CW512" s="3070" t="s">
        <v>7453</v>
      </c>
      <c r="CX512" s="3070" t="s">
        <v>3311</v>
      </c>
      <c r="CZ512" s="3070">
        <v>213894.57</v>
      </c>
      <c r="DA512" s="3070">
        <v>159426.93</v>
      </c>
      <c r="DB512" s="3070">
        <v>0</v>
      </c>
      <c r="DC512" s="3070">
        <v>0</v>
      </c>
      <c r="DD512" s="3070">
        <v>3290547602</v>
      </c>
      <c r="DE512" s="3070">
        <v>2764253109</v>
      </c>
      <c r="DF512" s="3070">
        <v>1464966739</v>
      </c>
      <c r="DG512" s="3070">
        <v>14938370</v>
      </c>
      <c r="DH512" s="3070">
        <v>1284348000</v>
      </c>
      <c r="DI512" s="3070">
        <v>1278128000</v>
      </c>
      <c r="DJ512" s="3070">
        <v>6220000</v>
      </c>
      <c r="DK512" s="3070">
        <v>0</v>
      </c>
      <c r="DL512" s="3070">
        <v>0</v>
      </c>
      <c r="DM512" s="3070">
        <v>25491817.620000001</v>
      </c>
      <c r="DN512" s="3070">
        <v>2764253109</v>
      </c>
      <c r="DP512" s="3070">
        <v>2764253109</v>
      </c>
    </row>
    <row r="513" spans="1:120">
      <c r="A513" s="3070">
        <v>512</v>
      </c>
      <c r="B513" s="3070" t="s">
        <v>3224</v>
      </c>
      <c r="C513" s="3070">
        <v>5</v>
      </c>
      <c r="E513" s="3070">
        <v>704</v>
      </c>
      <c r="F513" s="3070" t="s">
        <v>7454</v>
      </c>
      <c r="G513" s="3070" t="s">
        <v>7455</v>
      </c>
      <c r="H513" s="3070">
        <v>1405026</v>
      </c>
      <c r="I513" s="3070">
        <v>1405026</v>
      </c>
      <c r="J513" s="3070">
        <v>114.02</v>
      </c>
      <c r="K513" s="3070">
        <v>82.85</v>
      </c>
      <c r="L513" s="3070">
        <v>0</v>
      </c>
      <c r="M513" s="3070">
        <v>0</v>
      </c>
      <c r="N513" s="3070">
        <v>15244.44</v>
      </c>
      <c r="O513" s="3070">
        <v>1738171</v>
      </c>
      <c r="P513" s="3070">
        <v>12322.63</v>
      </c>
      <c r="Q513" s="3070">
        <v>1405026</v>
      </c>
      <c r="R513" s="3070" t="s">
        <v>3227</v>
      </c>
      <c r="S513" s="3070" t="s">
        <v>7456</v>
      </c>
      <c r="T513" s="3070" t="s">
        <v>3246</v>
      </c>
      <c r="U513" s="3070" t="s">
        <v>3247</v>
      </c>
      <c r="V513" s="3070" t="s">
        <v>3230</v>
      </c>
      <c r="Y513" s="3070">
        <v>425026</v>
      </c>
      <c r="Z513" s="3070">
        <v>425026</v>
      </c>
      <c r="AA513" s="3070">
        <v>425026</v>
      </c>
      <c r="AB513" s="3070">
        <v>0</v>
      </c>
      <c r="AC513" s="3070">
        <v>980000</v>
      </c>
      <c r="AD513" s="3070">
        <v>980000</v>
      </c>
      <c r="AE513" s="3070">
        <v>0</v>
      </c>
      <c r="AI513" s="3070" t="s">
        <v>3227</v>
      </c>
      <c r="AJ513" s="3070">
        <v>0</v>
      </c>
      <c r="AK513" s="3070">
        <v>0</v>
      </c>
      <c r="AL513" s="3070">
        <v>0</v>
      </c>
      <c r="AM513" s="3070">
        <v>12322.63</v>
      </c>
      <c r="AN513" s="3070">
        <v>1405026</v>
      </c>
      <c r="AP513" s="3070">
        <v>1405026</v>
      </c>
      <c r="AQ513" s="3072">
        <v>45138</v>
      </c>
      <c r="AT513" s="3073">
        <v>45678</v>
      </c>
      <c r="AV513" s="3070" t="s">
        <v>7457</v>
      </c>
      <c r="AW513" s="3070" t="s">
        <v>7458</v>
      </c>
      <c r="AX513" s="3070" t="s">
        <v>7459</v>
      </c>
      <c r="AY513" s="3070" t="s">
        <v>3233</v>
      </c>
      <c r="BC513" s="3070" t="s">
        <v>3284</v>
      </c>
      <c r="BD513" s="3070" t="s">
        <v>3077</v>
      </c>
      <c r="BI513" s="3070" t="s">
        <v>3235</v>
      </c>
      <c r="BJ513" s="3070" t="s">
        <v>3296</v>
      </c>
      <c r="BL513" s="3070" t="s">
        <v>7460</v>
      </c>
      <c r="BM513" s="3075">
        <v>44323</v>
      </c>
      <c r="BN513" s="3070">
        <v>4</v>
      </c>
      <c r="BO513" s="3070" t="s">
        <v>3253</v>
      </c>
      <c r="BR513" s="3070">
        <v>43</v>
      </c>
      <c r="BS513" s="3070" t="s">
        <v>3238</v>
      </c>
      <c r="BZ513" s="3073">
        <v>44142.640277777777</v>
      </c>
      <c r="CA513" s="3070">
        <v>5</v>
      </c>
      <c r="CD513" s="3070" t="s">
        <v>3239</v>
      </c>
      <c r="CF513" s="3070" t="s">
        <v>3091</v>
      </c>
      <c r="CH513" s="3070" t="s">
        <v>3240</v>
      </c>
      <c r="CI513" s="3070">
        <v>0</v>
      </c>
      <c r="CK513" s="3070" t="s">
        <v>3233</v>
      </c>
      <c r="CL513" s="3070" t="s">
        <v>3233</v>
      </c>
      <c r="CM513" s="3070">
        <v>1289014.68</v>
      </c>
      <c r="CV513" s="3070" t="s">
        <v>3246</v>
      </c>
      <c r="CW513" s="3070" t="s">
        <v>7461</v>
      </c>
      <c r="CX513" s="3070" t="s">
        <v>3510</v>
      </c>
      <c r="CZ513" s="3070">
        <v>213894.57</v>
      </c>
      <c r="DA513" s="3070">
        <v>159426.93</v>
      </c>
      <c r="DB513" s="3070">
        <v>0</v>
      </c>
      <c r="DC513" s="3070">
        <v>0</v>
      </c>
      <c r="DD513" s="3070">
        <v>3290547602</v>
      </c>
      <c r="DE513" s="3070">
        <v>2764253109</v>
      </c>
      <c r="DF513" s="3070">
        <v>1464966739</v>
      </c>
      <c r="DG513" s="3070">
        <v>14938370</v>
      </c>
      <c r="DH513" s="3070">
        <v>1284348000</v>
      </c>
      <c r="DI513" s="3070">
        <v>1278128000</v>
      </c>
      <c r="DJ513" s="3070">
        <v>6220000</v>
      </c>
      <c r="DK513" s="3070">
        <v>0</v>
      </c>
      <c r="DL513" s="3070">
        <v>0</v>
      </c>
      <c r="DM513" s="3070">
        <v>25491817.620000001</v>
      </c>
      <c r="DN513" s="3070">
        <v>2764253109</v>
      </c>
      <c r="DP513" s="3070">
        <v>2764253109</v>
      </c>
    </row>
    <row r="514" spans="1:120">
      <c r="A514" s="3070">
        <v>513</v>
      </c>
      <c r="B514" s="3070" t="s">
        <v>3224</v>
      </c>
      <c r="C514" s="3070">
        <v>5</v>
      </c>
      <c r="E514" s="3070">
        <v>801</v>
      </c>
      <c r="F514" s="3070" t="s">
        <v>7462</v>
      </c>
      <c r="G514" s="3070" t="s">
        <v>7463</v>
      </c>
      <c r="H514" s="3070">
        <v>1415865</v>
      </c>
      <c r="I514" s="3070">
        <v>1415865</v>
      </c>
      <c r="J514" s="3070">
        <v>114.02</v>
      </c>
      <c r="K514" s="3070">
        <v>82.85</v>
      </c>
      <c r="L514" s="3070">
        <v>0</v>
      </c>
      <c r="M514" s="3070">
        <v>0</v>
      </c>
      <c r="N514" s="3070">
        <v>15344.44</v>
      </c>
      <c r="O514" s="3070">
        <v>1749573</v>
      </c>
      <c r="P514" s="3070">
        <v>12417.69</v>
      </c>
      <c r="Q514" s="3070">
        <v>1415865</v>
      </c>
      <c r="R514" s="3070" t="s">
        <v>3227</v>
      </c>
      <c r="S514" s="3070" t="s">
        <v>7464</v>
      </c>
      <c r="T514" s="3070" t="s">
        <v>3246</v>
      </c>
      <c r="U514" s="3070" t="s">
        <v>3247</v>
      </c>
      <c r="V514" s="3070" t="s">
        <v>3230</v>
      </c>
      <c r="Y514" s="3070">
        <v>425865</v>
      </c>
      <c r="Z514" s="3070">
        <v>425865</v>
      </c>
      <c r="AA514" s="3070">
        <v>425865</v>
      </c>
      <c r="AB514" s="3070">
        <v>0</v>
      </c>
      <c r="AC514" s="3070">
        <v>990000</v>
      </c>
      <c r="AD514" s="3070">
        <v>990000</v>
      </c>
      <c r="AE514" s="3070">
        <v>0</v>
      </c>
      <c r="AI514" s="3070" t="s">
        <v>3227</v>
      </c>
      <c r="AJ514" s="3070">
        <v>0</v>
      </c>
      <c r="AK514" s="3070">
        <v>0</v>
      </c>
      <c r="AL514" s="3070">
        <v>0</v>
      </c>
      <c r="AM514" s="3070">
        <v>12417.69</v>
      </c>
      <c r="AN514" s="3070">
        <v>1415865</v>
      </c>
      <c r="AP514" s="3070">
        <v>1415865</v>
      </c>
      <c r="AQ514" s="3072">
        <v>45138</v>
      </c>
      <c r="AT514" s="3073">
        <v>45678</v>
      </c>
      <c r="AV514" s="3070" t="s">
        <v>7465</v>
      </c>
      <c r="AW514" s="3070" t="s">
        <v>7466</v>
      </c>
      <c r="AX514" s="3070" t="s">
        <v>7467</v>
      </c>
      <c r="AY514" s="3070" t="s">
        <v>3419</v>
      </c>
      <c r="BC514" s="3070" t="s">
        <v>3284</v>
      </c>
      <c r="BD514" s="3070" t="s">
        <v>3077</v>
      </c>
      <c r="BI514" s="3070" t="s">
        <v>3235</v>
      </c>
      <c r="BJ514" s="3070" t="s">
        <v>3338</v>
      </c>
      <c r="BL514" s="3070" t="s">
        <v>7468</v>
      </c>
      <c r="BM514" s="3075">
        <v>44324</v>
      </c>
      <c r="BN514" s="3070">
        <v>1</v>
      </c>
      <c r="BO514" s="3070" t="s">
        <v>3253</v>
      </c>
      <c r="BR514" s="3070">
        <v>39</v>
      </c>
      <c r="BS514" s="3070" t="s">
        <v>3238</v>
      </c>
      <c r="BZ514" s="3073">
        <v>44148.724999999999</v>
      </c>
      <c r="CA514" s="3070">
        <v>5</v>
      </c>
      <c r="CD514" s="3070" t="s">
        <v>3239</v>
      </c>
      <c r="CF514" s="3070" t="s">
        <v>3091</v>
      </c>
      <c r="CH514" s="3070" t="s">
        <v>3240</v>
      </c>
      <c r="CI514" s="3070">
        <v>0</v>
      </c>
      <c r="CK514" s="3070" t="s">
        <v>3419</v>
      </c>
      <c r="CL514" s="3070" t="s">
        <v>3419</v>
      </c>
      <c r="CM514" s="3070">
        <v>1298958.72</v>
      </c>
      <c r="CV514" s="3070" t="s">
        <v>3246</v>
      </c>
      <c r="CW514" s="3070" t="s">
        <v>7469</v>
      </c>
      <c r="CZ514" s="3070">
        <v>213894.57</v>
      </c>
      <c r="DA514" s="3070">
        <v>159426.93</v>
      </c>
      <c r="DB514" s="3070">
        <v>0</v>
      </c>
      <c r="DC514" s="3070">
        <v>0</v>
      </c>
      <c r="DD514" s="3070">
        <v>3290547602</v>
      </c>
      <c r="DE514" s="3070">
        <v>2764253109</v>
      </c>
      <c r="DF514" s="3070">
        <v>1464966739</v>
      </c>
      <c r="DG514" s="3070">
        <v>14938370</v>
      </c>
      <c r="DH514" s="3070">
        <v>1284348000</v>
      </c>
      <c r="DI514" s="3070">
        <v>1278128000</v>
      </c>
      <c r="DJ514" s="3070">
        <v>6220000</v>
      </c>
      <c r="DK514" s="3070">
        <v>0</v>
      </c>
      <c r="DL514" s="3070">
        <v>0</v>
      </c>
      <c r="DM514" s="3070">
        <v>25491817.620000001</v>
      </c>
      <c r="DN514" s="3070">
        <v>2764253109</v>
      </c>
      <c r="DP514" s="3070">
        <v>2764253109</v>
      </c>
    </row>
    <row r="515" spans="1:120">
      <c r="A515" s="3070">
        <v>514</v>
      </c>
      <c r="B515" s="3070" t="s">
        <v>3224</v>
      </c>
      <c r="C515" s="3070">
        <v>5</v>
      </c>
      <c r="E515" s="3070">
        <v>802</v>
      </c>
      <c r="F515" s="3070" t="s">
        <v>7470</v>
      </c>
      <c r="G515" s="3070" t="s">
        <v>7471</v>
      </c>
      <c r="H515" s="3070">
        <v>1294443</v>
      </c>
      <c r="I515" s="3070">
        <v>1294443</v>
      </c>
      <c r="J515" s="3070">
        <v>102.67</v>
      </c>
      <c r="K515" s="3070">
        <v>74.61</v>
      </c>
      <c r="L515" s="3070">
        <v>0</v>
      </c>
      <c r="M515" s="3070">
        <v>0</v>
      </c>
      <c r="N515" s="3070">
        <v>15544.44</v>
      </c>
      <c r="O515" s="3070">
        <v>1595948</v>
      </c>
      <c r="P515" s="3070">
        <v>12607.8</v>
      </c>
      <c r="Q515" s="3070">
        <v>1294443</v>
      </c>
      <c r="R515" s="3070" t="s">
        <v>3227</v>
      </c>
      <c r="S515" s="3070" t="s">
        <v>7472</v>
      </c>
      <c r="T515" s="3070" t="s">
        <v>3246</v>
      </c>
      <c r="U515" s="3070" t="s">
        <v>3247</v>
      </c>
      <c r="V515" s="3070" t="s">
        <v>3230</v>
      </c>
      <c r="Y515" s="3070">
        <v>454443</v>
      </c>
      <c r="Z515" s="3070">
        <v>454443</v>
      </c>
      <c r="AA515" s="3070">
        <v>454443</v>
      </c>
      <c r="AB515" s="3070">
        <v>0</v>
      </c>
      <c r="AC515" s="3070">
        <v>840000</v>
      </c>
      <c r="AD515" s="3070">
        <v>840000</v>
      </c>
      <c r="AE515" s="3070">
        <v>0</v>
      </c>
      <c r="AI515" s="3070" t="s">
        <v>3227</v>
      </c>
      <c r="AJ515" s="3070">
        <v>0</v>
      </c>
      <c r="AK515" s="3070">
        <v>0</v>
      </c>
      <c r="AL515" s="3070">
        <v>0</v>
      </c>
      <c r="AM515" s="3070">
        <v>12607.8</v>
      </c>
      <c r="AN515" s="3070">
        <v>1294443</v>
      </c>
      <c r="AP515" s="3070">
        <v>1294443</v>
      </c>
      <c r="AQ515" s="3072">
        <v>45138</v>
      </c>
      <c r="AT515" s="3073">
        <v>45678</v>
      </c>
      <c r="AV515" s="3070" t="s">
        <v>7473</v>
      </c>
      <c r="AW515" s="3070" t="s">
        <v>7474</v>
      </c>
      <c r="AX515" s="3070" t="s">
        <v>7475</v>
      </c>
      <c r="AY515" s="3070" t="s">
        <v>3273</v>
      </c>
      <c r="BC515" s="3070" t="s">
        <v>3284</v>
      </c>
      <c r="BD515" s="3070" t="s">
        <v>3077</v>
      </c>
      <c r="BI515" s="3070" t="s">
        <v>3235</v>
      </c>
      <c r="BJ515" s="3070" t="s">
        <v>3236</v>
      </c>
      <c r="BL515" s="3070" t="s">
        <v>7476</v>
      </c>
      <c r="BM515" s="3075">
        <v>44324</v>
      </c>
      <c r="BN515" s="3070">
        <v>2</v>
      </c>
      <c r="BO515" s="3070" t="s">
        <v>3253</v>
      </c>
      <c r="BR515" s="3070">
        <v>340</v>
      </c>
      <c r="BS515" s="3070" t="s">
        <v>3238</v>
      </c>
      <c r="BZ515" s="3073">
        <v>44146.463888888888</v>
      </c>
      <c r="CA515" s="3070">
        <v>5</v>
      </c>
      <c r="CD515" s="3070" t="s">
        <v>3239</v>
      </c>
      <c r="CF515" s="3070" t="s">
        <v>3091</v>
      </c>
      <c r="CH515" s="3070" t="s">
        <v>3240</v>
      </c>
      <c r="CI515" s="3070">
        <v>0</v>
      </c>
      <c r="CK515" s="3070" t="s">
        <v>3273</v>
      </c>
      <c r="CL515" s="3070" t="s">
        <v>3273</v>
      </c>
      <c r="CM515" s="3070">
        <v>1187562.3899999999</v>
      </c>
      <c r="CV515" s="3070" t="s">
        <v>3246</v>
      </c>
      <c r="CW515" s="3070" t="s">
        <v>7477</v>
      </c>
      <c r="CX515" s="3070" t="s">
        <v>3510</v>
      </c>
      <c r="CZ515" s="3070">
        <v>213894.57</v>
      </c>
      <c r="DA515" s="3070">
        <v>159426.93</v>
      </c>
      <c r="DB515" s="3070">
        <v>0</v>
      </c>
      <c r="DC515" s="3070">
        <v>0</v>
      </c>
      <c r="DD515" s="3070">
        <v>3290547602</v>
      </c>
      <c r="DE515" s="3070">
        <v>2764253109</v>
      </c>
      <c r="DF515" s="3070">
        <v>1464966739</v>
      </c>
      <c r="DG515" s="3070">
        <v>14938370</v>
      </c>
      <c r="DH515" s="3070">
        <v>1284348000</v>
      </c>
      <c r="DI515" s="3070">
        <v>1278128000</v>
      </c>
      <c r="DJ515" s="3070">
        <v>6220000</v>
      </c>
      <c r="DK515" s="3070">
        <v>0</v>
      </c>
      <c r="DL515" s="3070">
        <v>0</v>
      </c>
      <c r="DM515" s="3070">
        <v>25491817.620000001</v>
      </c>
      <c r="DN515" s="3070">
        <v>2764253109</v>
      </c>
      <c r="DP515" s="3070">
        <v>2764253109</v>
      </c>
    </row>
    <row r="516" spans="1:120">
      <c r="A516" s="3070">
        <v>515</v>
      </c>
      <c r="B516" s="3070" t="s">
        <v>3224</v>
      </c>
      <c r="C516" s="3070">
        <v>5</v>
      </c>
      <c r="E516" s="3070">
        <v>803</v>
      </c>
      <c r="F516" s="3070" t="s">
        <v>7478</v>
      </c>
      <c r="G516" s="3070" t="s">
        <v>7479</v>
      </c>
      <c r="H516" s="3070">
        <v>1268555</v>
      </c>
      <c r="I516" s="3070">
        <v>1268555</v>
      </c>
      <c r="J516" s="3070">
        <v>102.67</v>
      </c>
      <c r="K516" s="3070">
        <v>74.61</v>
      </c>
      <c r="L516" s="3070">
        <v>0</v>
      </c>
      <c r="M516" s="3070">
        <v>0</v>
      </c>
      <c r="N516" s="3070">
        <v>15544.44</v>
      </c>
      <c r="O516" s="3070">
        <v>1595948</v>
      </c>
      <c r="P516" s="3070">
        <v>12355.65</v>
      </c>
      <c r="Q516" s="3070">
        <v>1268555</v>
      </c>
      <c r="R516" s="3070" t="s">
        <v>3227</v>
      </c>
      <c r="S516" s="3070" t="s">
        <v>7480</v>
      </c>
      <c r="T516" s="3070" t="s">
        <v>3246</v>
      </c>
      <c r="U516" s="3070" t="s">
        <v>3371</v>
      </c>
      <c r="V516" s="3070" t="s">
        <v>3230</v>
      </c>
      <c r="Y516" s="3070">
        <v>388555</v>
      </c>
      <c r="Z516" s="3070">
        <v>126856</v>
      </c>
      <c r="AA516" s="3070">
        <v>388555</v>
      </c>
      <c r="AB516" s="3070">
        <v>0</v>
      </c>
      <c r="AC516" s="3070">
        <v>880000</v>
      </c>
      <c r="AD516" s="3070">
        <v>880000</v>
      </c>
      <c r="AE516" s="3070">
        <v>0</v>
      </c>
      <c r="AI516" s="3070" t="s">
        <v>3227</v>
      </c>
      <c r="AJ516" s="3070">
        <v>0</v>
      </c>
      <c r="AK516" s="3070">
        <v>0</v>
      </c>
      <c r="AL516" s="3070">
        <v>0</v>
      </c>
      <c r="AM516" s="3070">
        <v>12355.65</v>
      </c>
      <c r="AN516" s="3070">
        <v>1268555</v>
      </c>
      <c r="AP516" s="3070">
        <v>1268555</v>
      </c>
      <c r="AQ516" s="3072">
        <v>45138</v>
      </c>
      <c r="AT516" s="3073">
        <v>45678</v>
      </c>
      <c r="AV516" s="3074">
        <v>3.21E+17</v>
      </c>
      <c r="AW516" s="3070" t="s">
        <v>7481</v>
      </c>
      <c r="AX516" s="3070" t="s">
        <v>7482</v>
      </c>
      <c r="AY516" s="3070" t="s">
        <v>3656</v>
      </c>
      <c r="BC516" s="3070" t="s">
        <v>3507</v>
      </c>
      <c r="BD516" s="3070" t="s">
        <v>3077</v>
      </c>
      <c r="BI516" s="3070" t="s">
        <v>3235</v>
      </c>
      <c r="BL516" s="3070" t="s">
        <v>7483</v>
      </c>
      <c r="BM516" s="3075">
        <v>44324</v>
      </c>
      <c r="BN516" s="3070">
        <v>3</v>
      </c>
      <c r="BO516" s="3070" t="s">
        <v>3253</v>
      </c>
      <c r="BR516" s="3070">
        <v>836</v>
      </c>
      <c r="BS516" s="3070" t="s">
        <v>3238</v>
      </c>
      <c r="BZ516" s="3073">
        <v>44153.84652777778</v>
      </c>
      <c r="CA516" s="3070">
        <v>5</v>
      </c>
      <c r="CD516" s="3070" t="s">
        <v>3239</v>
      </c>
      <c r="CF516" s="3070" t="s">
        <v>3091</v>
      </c>
      <c r="CH516" s="3070" t="s">
        <v>3240</v>
      </c>
      <c r="CI516" s="3070">
        <v>0</v>
      </c>
      <c r="CK516" s="3070" t="s">
        <v>3656</v>
      </c>
      <c r="CL516" s="3070" t="s">
        <v>3656</v>
      </c>
      <c r="CM516" s="3070">
        <v>1163811.93</v>
      </c>
      <c r="CV516" s="3070" t="s">
        <v>3246</v>
      </c>
      <c r="CW516" s="3070" t="s">
        <v>7484</v>
      </c>
      <c r="CX516" s="3070" t="s">
        <v>3510</v>
      </c>
      <c r="CZ516" s="3070">
        <v>213894.57</v>
      </c>
      <c r="DA516" s="3070">
        <v>159426.93</v>
      </c>
      <c r="DB516" s="3070">
        <v>0</v>
      </c>
      <c r="DC516" s="3070">
        <v>0</v>
      </c>
      <c r="DD516" s="3070">
        <v>3290547602</v>
      </c>
      <c r="DE516" s="3070">
        <v>2764253109</v>
      </c>
      <c r="DF516" s="3070">
        <v>1464966739</v>
      </c>
      <c r="DG516" s="3070">
        <v>14938370</v>
      </c>
      <c r="DH516" s="3070">
        <v>1284348000</v>
      </c>
      <c r="DI516" s="3070">
        <v>1278128000</v>
      </c>
      <c r="DJ516" s="3070">
        <v>6220000</v>
      </c>
      <c r="DK516" s="3070">
        <v>0</v>
      </c>
      <c r="DL516" s="3070">
        <v>0</v>
      </c>
      <c r="DM516" s="3070">
        <v>25491817.620000001</v>
      </c>
      <c r="DN516" s="3070">
        <v>2764253109</v>
      </c>
      <c r="DP516" s="3070">
        <v>2764253109</v>
      </c>
    </row>
    <row r="517" spans="1:120">
      <c r="A517" s="3070">
        <v>516</v>
      </c>
      <c r="B517" s="3070" t="s">
        <v>3224</v>
      </c>
      <c r="C517" s="3070">
        <v>5</v>
      </c>
      <c r="E517" s="3070">
        <v>804</v>
      </c>
      <c r="F517" s="3070" t="s">
        <v>7485</v>
      </c>
      <c r="G517" s="3070" t="s">
        <v>7486</v>
      </c>
      <c r="H517" s="3070">
        <v>1396341</v>
      </c>
      <c r="I517" s="3070">
        <v>1396341</v>
      </c>
      <c r="J517" s="3070">
        <v>114.02</v>
      </c>
      <c r="K517" s="3070">
        <v>82.85</v>
      </c>
      <c r="L517" s="3070">
        <v>0</v>
      </c>
      <c r="M517" s="3070">
        <v>0</v>
      </c>
      <c r="N517" s="3070">
        <v>15294.44</v>
      </c>
      <c r="O517" s="3070">
        <v>1743872</v>
      </c>
      <c r="P517" s="3070">
        <v>12246.46</v>
      </c>
      <c r="Q517" s="3070">
        <v>1396341</v>
      </c>
      <c r="R517" s="3070" t="s">
        <v>3227</v>
      </c>
      <c r="S517" s="3070" t="s">
        <v>7487</v>
      </c>
      <c r="T517" s="3070" t="s">
        <v>3229</v>
      </c>
      <c r="V517" s="3070" t="s">
        <v>3230</v>
      </c>
      <c r="Y517" s="3070">
        <v>418902</v>
      </c>
      <c r="Z517" s="3070">
        <v>418902</v>
      </c>
      <c r="AA517" s="3070">
        <v>1396341</v>
      </c>
      <c r="AB517" s="3070">
        <v>0</v>
      </c>
      <c r="AC517" s="3070">
        <v>0</v>
      </c>
      <c r="AD517" s="3070">
        <v>0</v>
      </c>
      <c r="AE517" s="3070">
        <v>0</v>
      </c>
      <c r="AI517" s="3070" t="s">
        <v>3227</v>
      </c>
      <c r="AJ517" s="3070">
        <v>0</v>
      </c>
      <c r="AK517" s="3070">
        <v>0</v>
      </c>
      <c r="AL517" s="3070">
        <v>0</v>
      </c>
      <c r="AM517" s="3070">
        <v>12246.46</v>
      </c>
      <c r="AN517" s="3070">
        <v>1396341</v>
      </c>
      <c r="AP517" s="3070">
        <v>1396341</v>
      </c>
      <c r="AQ517" s="3072">
        <v>45138</v>
      </c>
      <c r="AT517" s="3073">
        <v>45678</v>
      </c>
      <c r="AV517" s="3074">
        <v>3.21E+17</v>
      </c>
      <c r="AW517" s="3070" t="s">
        <v>7488</v>
      </c>
      <c r="AX517" s="3070" t="s">
        <v>7489</v>
      </c>
      <c r="AY517" s="3070" t="s">
        <v>3429</v>
      </c>
      <c r="BC517" s="3070" t="s">
        <v>3347</v>
      </c>
      <c r="BD517" s="3070" t="s">
        <v>3077</v>
      </c>
      <c r="BI517" s="3070" t="s">
        <v>3235</v>
      </c>
      <c r="BJ517" s="3070" t="s">
        <v>3338</v>
      </c>
      <c r="BL517" s="3070" t="s">
        <v>7490</v>
      </c>
      <c r="BM517" s="3075">
        <v>44324</v>
      </c>
      <c r="BN517" s="3070">
        <v>4</v>
      </c>
      <c r="BR517" s="3070">
        <v>78</v>
      </c>
      <c r="BS517" s="3070" t="s">
        <v>3238</v>
      </c>
      <c r="BZ517" s="3073">
        <v>44143.689583333333</v>
      </c>
      <c r="CA517" s="3070">
        <v>5</v>
      </c>
      <c r="CD517" s="3070" t="s">
        <v>3239</v>
      </c>
      <c r="CF517" s="3070" t="s">
        <v>3091</v>
      </c>
      <c r="CH517" s="3070" t="s">
        <v>3240</v>
      </c>
      <c r="CI517" s="3070">
        <v>0</v>
      </c>
      <c r="CK517" s="3070" t="s">
        <v>3429</v>
      </c>
      <c r="CL517" s="3070" t="s">
        <v>3429</v>
      </c>
      <c r="CM517" s="3070">
        <v>1281046.79</v>
      </c>
      <c r="CV517" s="3070" t="s">
        <v>3229</v>
      </c>
      <c r="CW517" s="3070" t="s">
        <v>7491</v>
      </c>
      <c r="CZ517" s="3070">
        <v>213894.57</v>
      </c>
      <c r="DA517" s="3070">
        <v>159426.93</v>
      </c>
      <c r="DB517" s="3070">
        <v>0</v>
      </c>
      <c r="DC517" s="3070">
        <v>0</v>
      </c>
      <c r="DD517" s="3070">
        <v>3290547602</v>
      </c>
      <c r="DE517" s="3070">
        <v>2764253109</v>
      </c>
      <c r="DF517" s="3070">
        <v>1464966739</v>
      </c>
      <c r="DG517" s="3070">
        <v>14938370</v>
      </c>
      <c r="DH517" s="3070">
        <v>1284348000</v>
      </c>
      <c r="DI517" s="3070">
        <v>1278128000</v>
      </c>
      <c r="DJ517" s="3070">
        <v>6220000</v>
      </c>
      <c r="DK517" s="3070">
        <v>0</v>
      </c>
      <c r="DL517" s="3070">
        <v>0</v>
      </c>
      <c r="DM517" s="3070">
        <v>25491817.620000001</v>
      </c>
      <c r="DN517" s="3070">
        <v>2764253109</v>
      </c>
      <c r="DP517" s="3070">
        <v>2764253109</v>
      </c>
    </row>
    <row r="518" spans="1:120">
      <c r="A518" s="3070">
        <v>517</v>
      </c>
      <c r="B518" s="3070" t="s">
        <v>3224</v>
      </c>
      <c r="C518" s="3070">
        <v>5</v>
      </c>
      <c r="E518" s="3070">
        <v>901</v>
      </c>
      <c r="F518" s="3070" t="s">
        <v>7492</v>
      </c>
      <c r="G518" s="3070" t="s">
        <v>7493</v>
      </c>
      <c r="H518" s="3070">
        <v>1482480</v>
      </c>
      <c r="I518" s="3070">
        <v>1482480</v>
      </c>
      <c r="J518" s="3070">
        <v>114.02</v>
      </c>
      <c r="K518" s="3070">
        <v>82.85</v>
      </c>
      <c r="L518" s="3070">
        <v>0</v>
      </c>
      <c r="M518" s="3070">
        <v>0</v>
      </c>
      <c r="N518" s="3070">
        <v>15394.44</v>
      </c>
      <c r="O518" s="3070">
        <v>1755274</v>
      </c>
      <c r="P518" s="3070">
        <v>13001.93</v>
      </c>
      <c r="Q518" s="3070">
        <v>1482480</v>
      </c>
      <c r="R518" s="3070" t="s">
        <v>3227</v>
      </c>
      <c r="S518" s="3070" t="s">
        <v>7494</v>
      </c>
      <c r="T518" s="3070" t="s">
        <v>3494</v>
      </c>
      <c r="V518" s="3070" t="s">
        <v>3230</v>
      </c>
      <c r="Y518" s="3070">
        <v>148248</v>
      </c>
      <c r="Z518" s="3070">
        <v>148248</v>
      </c>
      <c r="AA518" s="3070">
        <v>1482480</v>
      </c>
      <c r="AB518" s="3070">
        <v>0</v>
      </c>
      <c r="AC518" s="3070">
        <v>0</v>
      </c>
      <c r="AD518" s="3070">
        <v>0</v>
      </c>
      <c r="AE518" s="3070">
        <v>0</v>
      </c>
      <c r="AI518" s="3070" t="s">
        <v>3227</v>
      </c>
      <c r="AJ518" s="3070">
        <v>0</v>
      </c>
      <c r="AK518" s="3070">
        <v>0</v>
      </c>
      <c r="AL518" s="3070">
        <v>0</v>
      </c>
      <c r="AM518" s="3070">
        <v>13001.93</v>
      </c>
      <c r="AN518" s="3070">
        <v>1482480</v>
      </c>
      <c r="AP518" s="3070">
        <v>1482480</v>
      </c>
      <c r="AQ518" s="3072">
        <v>45138</v>
      </c>
      <c r="AT518" s="3073">
        <v>45678</v>
      </c>
      <c r="AV518" s="3074">
        <v>3.21E+17</v>
      </c>
      <c r="AW518" s="3070" t="s">
        <v>7495</v>
      </c>
      <c r="AX518" s="3070" t="s">
        <v>7496</v>
      </c>
      <c r="AY518" s="3070" t="s">
        <v>3722</v>
      </c>
      <c r="BC518" s="3070" t="s">
        <v>7497</v>
      </c>
      <c r="BD518" s="3070" t="s">
        <v>3077</v>
      </c>
      <c r="BI518" s="3070" t="s">
        <v>3235</v>
      </c>
      <c r="BL518" s="3070" t="s">
        <v>7498</v>
      </c>
      <c r="BM518" s="3075">
        <v>44325</v>
      </c>
      <c r="BN518" s="3070">
        <v>1</v>
      </c>
      <c r="BR518" s="3070">
        <v>13</v>
      </c>
      <c r="BS518" s="3070" t="s">
        <v>3238</v>
      </c>
      <c r="BV518" s="3070" t="s">
        <v>7499</v>
      </c>
      <c r="BZ518" s="3073">
        <v>44171.768055555556</v>
      </c>
      <c r="CA518" s="3070">
        <v>5</v>
      </c>
      <c r="CD518" s="3070" t="s">
        <v>3239</v>
      </c>
      <c r="CF518" s="3070" t="s">
        <v>3091</v>
      </c>
      <c r="CH518" s="3070" t="s">
        <v>3240</v>
      </c>
      <c r="CI518" s="3070">
        <v>0</v>
      </c>
      <c r="CK518" s="3070" t="s">
        <v>3722</v>
      </c>
      <c r="CL518" s="3070" t="s">
        <v>3722</v>
      </c>
      <c r="CM518" s="3070">
        <v>1360073.39</v>
      </c>
      <c r="CV518" s="3070" t="s">
        <v>3494</v>
      </c>
      <c r="CW518" s="3070" t="s">
        <v>7500</v>
      </c>
      <c r="CZ518" s="3070">
        <v>213894.57</v>
      </c>
      <c r="DA518" s="3070">
        <v>159426.93</v>
      </c>
      <c r="DB518" s="3070">
        <v>0</v>
      </c>
      <c r="DC518" s="3070">
        <v>0</v>
      </c>
      <c r="DD518" s="3070">
        <v>3290547602</v>
      </c>
      <c r="DE518" s="3070">
        <v>2764253109</v>
      </c>
      <c r="DF518" s="3070">
        <v>1464966739</v>
      </c>
      <c r="DG518" s="3070">
        <v>14938370</v>
      </c>
      <c r="DH518" s="3070">
        <v>1284348000</v>
      </c>
      <c r="DI518" s="3070">
        <v>1278128000</v>
      </c>
      <c r="DJ518" s="3070">
        <v>6220000</v>
      </c>
      <c r="DK518" s="3070">
        <v>0</v>
      </c>
      <c r="DL518" s="3070">
        <v>0</v>
      </c>
      <c r="DM518" s="3070">
        <v>25491817.620000001</v>
      </c>
      <c r="DN518" s="3070">
        <v>2764253109</v>
      </c>
      <c r="DP518" s="3070">
        <v>2764253109</v>
      </c>
    </row>
    <row r="519" spans="1:120">
      <c r="A519" s="3070">
        <v>518</v>
      </c>
      <c r="B519" s="3070" t="s">
        <v>3224</v>
      </c>
      <c r="C519" s="3070">
        <v>5</v>
      </c>
      <c r="E519" s="3070">
        <v>902</v>
      </c>
      <c r="F519" s="3070" t="s">
        <v>7501</v>
      </c>
      <c r="G519" s="3070" t="s">
        <v>7502</v>
      </c>
      <c r="H519" s="3070">
        <v>1365182</v>
      </c>
      <c r="I519" s="3070">
        <v>1365182</v>
      </c>
      <c r="J519" s="3070">
        <v>102.67</v>
      </c>
      <c r="K519" s="3070">
        <v>74.61</v>
      </c>
      <c r="L519" s="3070">
        <v>0</v>
      </c>
      <c r="M519" s="3070">
        <v>0</v>
      </c>
      <c r="N519" s="3070">
        <v>15594.44</v>
      </c>
      <c r="O519" s="3070">
        <v>1601081</v>
      </c>
      <c r="P519" s="3070">
        <v>13296.8</v>
      </c>
      <c r="Q519" s="3070">
        <v>1365182</v>
      </c>
      <c r="R519" s="3070" t="s">
        <v>3227</v>
      </c>
      <c r="S519" s="3070" t="s">
        <v>7503</v>
      </c>
      <c r="T519" s="3070" t="s">
        <v>3494</v>
      </c>
      <c r="V519" s="3070" t="s">
        <v>3230</v>
      </c>
      <c r="Y519" s="3070">
        <v>136518</v>
      </c>
      <c r="Z519" s="3070">
        <v>136518</v>
      </c>
      <c r="AA519" s="3070">
        <v>1365182</v>
      </c>
      <c r="AB519" s="3070">
        <v>0</v>
      </c>
      <c r="AC519" s="3070">
        <v>0</v>
      </c>
      <c r="AD519" s="3070">
        <v>0</v>
      </c>
      <c r="AE519" s="3070">
        <v>0</v>
      </c>
      <c r="AI519" s="3070" t="s">
        <v>3227</v>
      </c>
      <c r="AJ519" s="3070">
        <v>0</v>
      </c>
      <c r="AK519" s="3070">
        <v>0</v>
      </c>
      <c r="AL519" s="3070">
        <v>0</v>
      </c>
      <c r="AM519" s="3070">
        <v>13296.8</v>
      </c>
      <c r="AN519" s="3070">
        <v>1365182</v>
      </c>
      <c r="AP519" s="3070">
        <v>1365182</v>
      </c>
      <c r="AQ519" s="3072">
        <v>45138</v>
      </c>
      <c r="AT519" s="3073">
        <v>45678</v>
      </c>
      <c r="AV519" s="3074">
        <v>3.21E+17</v>
      </c>
      <c r="AW519" s="3070" t="s">
        <v>7504</v>
      </c>
      <c r="AX519" s="3070" t="s">
        <v>7505</v>
      </c>
      <c r="AY519" s="3070" t="s">
        <v>3892</v>
      </c>
      <c r="BC519" s="3070" t="s">
        <v>4117</v>
      </c>
      <c r="BD519" s="3070" t="s">
        <v>3077</v>
      </c>
      <c r="BI519" s="3070" t="s">
        <v>4630</v>
      </c>
      <c r="BL519" s="3070" t="s">
        <v>7506</v>
      </c>
      <c r="BM519" s="3075">
        <v>44325</v>
      </c>
      <c r="BN519" s="3070">
        <v>2</v>
      </c>
      <c r="BR519" s="3070">
        <v>23</v>
      </c>
      <c r="BS519" s="3070" t="s">
        <v>3238</v>
      </c>
      <c r="BZ519" s="3073">
        <v>44188.81527777778</v>
      </c>
      <c r="CA519" s="3070">
        <v>5</v>
      </c>
      <c r="CD519" s="3070" t="s">
        <v>3239</v>
      </c>
      <c r="CF519" s="3070" t="s">
        <v>3091</v>
      </c>
      <c r="CH519" s="3070" t="s">
        <v>3240</v>
      </c>
      <c r="CI519" s="3070">
        <v>0</v>
      </c>
      <c r="CK519" s="3070" t="s">
        <v>3892</v>
      </c>
      <c r="CL519" s="3070" t="s">
        <v>4056</v>
      </c>
      <c r="CM519" s="3070">
        <v>1252460.55</v>
      </c>
      <c r="CV519" s="3070" t="s">
        <v>3494</v>
      </c>
      <c r="CW519" s="3070" t="s">
        <v>7507</v>
      </c>
      <c r="CZ519" s="3070">
        <v>213894.57</v>
      </c>
      <c r="DA519" s="3070">
        <v>159426.93</v>
      </c>
      <c r="DB519" s="3070">
        <v>0</v>
      </c>
      <c r="DC519" s="3070">
        <v>0</v>
      </c>
      <c r="DD519" s="3070">
        <v>3290547602</v>
      </c>
      <c r="DE519" s="3070">
        <v>2764253109</v>
      </c>
      <c r="DF519" s="3070">
        <v>1464966739</v>
      </c>
      <c r="DG519" s="3070">
        <v>14938370</v>
      </c>
      <c r="DH519" s="3070">
        <v>1284348000</v>
      </c>
      <c r="DI519" s="3070">
        <v>1278128000</v>
      </c>
      <c r="DJ519" s="3070">
        <v>6220000</v>
      </c>
      <c r="DK519" s="3070">
        <v>0</v>
      </c>
      <c r="DL519" s="3070">
        <v>0</v>
      </c>
      <c r="DM519" s="3070">
        <v>25491817.620000001</v>
      </c>
      <c r="DN519" s="3070">
        <v>2764253109</v>
      </c>
      <c r="DP519" s="3070">
        <v>2764253109</v>
      </c>
    </row>
    <row r="520" spans="1:120">
      <c r="A520" s="3070">
        <v>519</v>
      </c>
      <c r="B520" s="3070" t="s">
        <v>3224</v>
      </c>
      <c r="C520" s="3070">
        <v>5</v>
      </c>
      <c r="E520" s="3070">
        <v>903</v>
      </c>
      <c r="F520" s="3070" t="s">
        <v>7508</v>
      </c>
      <c r="G520" s="3070" t="s">
        <v>7509</v>
      </c>
      <c r="H520" s="3070">
        <v>399324</v>
      </c>
      <c r="I520" s="3070">
        <v>1299324</v>
      </c>
      <c r="J520" s="3070">
        <v>102.67</v>
      </c>
      <c r="K520" s="3070">
        <v>74.61</v>
      </c>
      <c r="L520" s="3070">
        <v>0</v>
      </c>
      <c r="M520" s="3070">
        <v>0</v>
      </c>
      <c r="N520" s="3070">
        <v>15594.44</v>
      </c>
      <c r="O520" s="3070">
        <v>1601081</v>
      </c>
      <c r="P520" s="3070">
        <v>12655.34</v>
      </c>
      <c r="Q520" s="3070">
        <v>1299324</v>
      </c>
      <c r="R520" s="3070" t="s">
        <v>3227</v>
      </c>
      <c r="S520" s="3070" t="s">
        <v>7510</v>
      </c>
      <c r="T520" s="3070" t="s">
        <v>3302</v>
      </c>
      <c r="V520" s="3070" t="s">
        <v>3230</v>
      </c>
      <c r="Y520" s="3070">
        <v>129932</v>
      </c>
      <c r="Z520" s="3070">
        <v>129932</v>
      </c>
      <c r="AA520" s="3070">
        <v>399324</v>
      </c>
      <c r="AB520" s="3070">
        <v>900000</v>
      </c>
      <c r="AC520" s="3070">
        <v>0</v>
      </c>
      <c r="AD520" s="3070">
        <v>0</v>
      </c>
      <c r="AE520" s="3070">
        <v>0</v>
      </c>
      <c r="AI520" s="3070" t="s">
        <v>3227</v>
      </c>
      <c r="AJ520" s="3070">
        <v>0</v>
      </c>
      <c r="AK520" s="3070">
        <v>0</v>
      </c>
      <c r="AL520" s="3070">
        <v>0</v>
      </c>
      <c r="AM520" s="3070">
        <v>12655.34</v>
      </c>
      <c r="AN520" s="3070">
        <v>1299324</v>
      </c>
      <c r="AP520" s="3070">
        <v>1299324</v>
      </c>
      <c r="AQ520" s="3072">
        <v>45138</v>
      </c>
      <c r="AT520" s="3073">
        <v>45678</v>
      </c>
      <c r="AV520" s="3070" t="s">
        <v>7511</v>
      </c>
      <c r="AW520" s="3070" t="s">
        <v>7512</v>
      </c>
      <c r="AX520" s="3070" t="s">
        <v>7513</v>
      </c>
      <c r="AY520" s="3070" t="s">
        <v>3607</v>
      </c>
      <c r="BC520" s="3070" t="s">
        <v>7514</v>
      </c>
      <c r="BD520" s="3070" t="s">
        <v>3077</v>
      </c>
      <c r="BI520" s="3070" t="s">
        <v>3235</v>
      </c>
      <c r="BJ520" s="3070" t="s">
        <v>3296</v>
      </c>
      <c r="BL520" s="3070" t="s">
        <v>7515</v>
      </c>
      <c r="BM520" s="3075">
        <v>44325</v>
      </c>
      <c r="BN520" s="3070">
        <v>3</v>
      </c>
      <c r="BR520" s="3070">
        <v>801</v>
      </c>
      <c r="BS520" s="3070" t="s">
        <v>3238</v>
      </c>
      <c r="BT520" s="3070" t="s">
        <v>3481</v>
      </c>
      <c r="BZ520" s="3073">
        <v>44142.591666666667</v>
      </c>
      <c r="CA520" s="3070">
        <v>5</v>
      </c>
      <c r="CB520" s="3070" t="s">
        <v>3481</v>
      </c>
      <c r="CD520" s="3070" t="s">
        <v>3239</v>
      </c>
      <c r="CF520" s="3070" t="s">
        <v>3091</v>
      </c>
      <c r="CH520" s="3070" t="s">
        <v>3240</v>
      </c>
      <c r="CI520" s="3070">
        <v>0</v>
      </c>
      <c r="CK520" s="3070" t="s">
        <v>3607</v>
      </c>
      <c r="CL520" s="3070" t="s">
        <v>3607</v>
      </c>
      <c r="CM520" s="3070">
        <v>1192040.3700000001</v>
      </c>
      <c r="CV520" s="3070" t="s">
        <v>3309</v>
      </c>
      <c r="CW520" s="3070" t="s">
        <v>7516</v>
      </c>
      <c r="CX520" s="3070" t="s">
        <v>3510</v>
      </c>
      <c r="CZ520" s="3070">
        <v>213894.57</v>
      </c>
      <c r="DA520" s="3070">
        <v>159426.93</v>
      </c>
      <c r="DB520" s="3070">
        <v>0</v>
      </c>
      <c r="DC520" s="3070">
        <v>0</v>
      </c>
      <c r="DD520" s="3070">
        <v>3290547602</v>
      </c>
      <c r="DE520" s="3070">
        <v>2764253109</v>
      </c>
      <c r="DF520" s="3070">
        <v>1464966739</v>
      </c>
      <c r="DG520" s="3070">
        <v>14938370</v>
      </c>
      <c r="DH520" s="3070">
        <v>1284348000</v>
      </c>
      <c r="DI520" s="3070">
        <v>1278128000</v>
      </c>
      <c r="DJ520" s="3070">
        <v>6220000</v>
      </c>
      <c r="DK520" s="3070">
        <v>0</v>
      </c>
      <c r="DL520" s="3070">
        <v>0</v>
      </c>
      <c r="DM520" s="3070">
        <v>25491817.620000001</v>
      </c>
      <c r="DN520" s="3070">
        <v>2764253109</v>
      </c>
      <c r="DP520" s="3070">
        <v>2764253109</v>
      </c>
    </row>
    <row r="521" spans="1:120">
      <c r="A521" s="3070">
        <v>520</v>
      </c>
      <c r="B521" s="3070" t="s">
        <v>3224</v>
      </c>
      <c r="C521" s="3070">
        <v>5</v>
      </c>
      <c r="E521" s="3070">
        <v>904</v>
      </c>
      <c r="F521" s="3070" t="s">
        <v>7517</v>
      </c>
      <c r="G521" s="3070" t="s">
        <v>7518</v>
      </c>
      <c r="H521" s="3070">
        <v>1415865</v>
      </c>
      <c r="I521" s="3070">
        <v>1415865</v>
      </c>
      <c r="J521" s="3070">
        <v>114.02</v>
      </c>
      <c r="K521" s="3070">
        <v>82.85</v>
      </c>
      <c r="L521" s="3070">
        <v>0</v>
      </c>
      <c r="M521" s="3070">
        <v>0</v>
      </c>
      <c r="N521" s="3070">
        <v>15344.44</v>
      </c>
      <c r="O521" s="3070">
        <v>1749573</v>
      </c>
      <c r="P521" s="3070">
        <v>12417.69</v>
      </c>
      <c r="Q521" s="3070">
        <v>1415865</v>
      </c>
      <c r="R521" s="3070" t="s">
        <v>3227</v>
      </c>
      <c r="S521" s="3070" t="s">
        <v>7519</v>
      </c>
      <c r="T521" s="3070" t="s">
        <v>3246</v>
      </c>
      <c r="U521" s="3070" t="s">
        <v>3279</v>
      </c>
      <c r="V521" s="3070" t="s">
        <v>3230</v>
      </c>
      <c r="Y521" s="3070">
        <v>485865</v>
      </c>
      <c r="Z521" s="3070">
        <v>485865</v>
      </c>
      <c r="AA521" s="3070">
        <v>485865</v>
      </c>
      <c r="AB521" s="3070">
        <v>0</v>
      </c>
      <c r="AC521" s="3070">
        <v>930000</v>
      </c>
      <c r="AD521" s="3070">
        <v>930000</v>
      </c>
      <c r="AE521" s="3070">
        <v>0</v>
      </c>
      <c r="AI521" s="3070" t="s">
        <v>3227</v>
      </c>
      <c r="AJ521" s="3070">
        <v>0</v>
      </c>
      <c r="AK521" s="3070">
        <v>0</v>
      </c>
      <c r="AL521" s="3070">
        <v>0</v>
      </c>
      <c r="AM521" s="3070">
        <v>12417.69</v>
      </c>
      <c r="AN521" s="3070">
        <v>1415865</v>
      </c>
      <c r="AP521" s="3070">
        <v>1415865</v>
      </c>
      <c r="AQ521" s="3072">
        <v>45138</v>
      </c>
      <c r="AT521" s="3073">
        <v>45678</v>
      </c>
      <c r="AV521" s="3070" t="s">
        <v>7520</v>
      </c>
      <c r="AW521" s="3070" t="s">
        <v>7521</v>
      </c>
      <c r="AX521" s="3070" t="s">
        <v>7522</v>
      </c>
      <c r="AY521" s="3070" t="s">
        <v>3250</v>
      </c>
      <c r="BC521" s="3070" t="s">
        <v>3284</v>
      </c>
      <c r="BD521" s="3070" t="s">
        <v>3077</v>
      </c>
      <c r="BI521" s="3070" t="s">
        <v>3235</v>
      </c>
      <c r="BJ521" s="3070" t="s">
        <v>3338</v>
      </c>
      <c r="BL521" s="3070" t="s">
        <v>7523</v>
      </c>
      <c r="BM521" s="3075">
        <v>44325</v>
      </c>
      <c r="BN521" s="3070">
        <v>4</v>
      </c>
      <c r="BO521" s="3070" t="s">
        <v>3253</v>
      </c>
      <c r="BR521" s="3070">
        <v>277</v>
      </c>
      <c r="BS521" s="3070" t="s">
        <v>3238</v>
      </c>
      <c r="BZ521" s="3073">
        <v>44142.63958333333</v>
      </c>
      <c r="CA521" s="3070">
        <v>5</v>
      </c>
      <c r="CD521" s="3070" t="s">
        <v>3239</v>
      </c>
      <c r="CF521" s="3070" t="s">
        <v>3091</v>
      </c>
      <c r="CH521" s="3070" t="s">
        <v>3240</v>
      </c>
      <c r="CI521" s="3070">
        <v>0</v>
      </c>
      <c r="CK521" s="3070" t="s">
        <v>3250</v>
      </c>
      <c r="CL521" s="3070" t="s">
        <v>3250</v>
      </c>
      <c r="CM521" s="3070">
        <v>1298958.72</v>
      </c>
      <c r="CV521" s="3070" t="s">
        <v>3246</v>
      </c>
      <c r="CW521" s="3070" t="s">
        <v>7524</v>
      </c>
      <c r="CZ521" s="3070">
        <v>213894.57</v>
      </c>
      <c r="DA521" s="3070">
        <v>159426.93</v>
      </c>
      <c r="DB521" s="3070">
        <v>0</v>
      </c>
      <c r="DC521" s="3070">
        <v>0</v>
      </c>
      <c r="DD521" s="3070">
        <v>3290547602</v>
      </c>
      <c r="DE521" s="3070">
        <v>2764253109</v>
      </c>
      <c r="DF521" s="3070">
        <v>1464966739</v>
      </c>
      <c r="DG521" s="3070">
        <v>14938370</v>
      </c>
      <c r="DH521" s="3070">
        <v>1284348000</v>
      </c>
      <c r="DI521" s="3070">
        <v>1278128000</v>
      </c>
      <c r="DJ521" s="3070">
        <v>6220000</v>
      </c>
      <c r="DK521" s="3070">
        <v>0</v>
      </c>
      <c r="DL521" s="3070">
        <v>0</v>
      </c>
      <c r="DM521" s="3070">
        <v>25491817.620000001</v>
      </c>
      <c r="DN521" s="3070">
        <v>2764253109</v>
      </c>
      <c r="DP521" s="3070">
        <v>2764253109</v>
      </c>
    </row>
    <row r="522" spans="1:120">
      <c r="A522" s="3070">
        <v>521</v>
      </c>
      <c r="B522" s="3070" t="s">
        <v>3224</v>
      </c>
      <c r="C522" s="3070">
        <v>6</v>
      </c>
      <c r="E522" s="3070">
        <v>1001</v>
      </c>
      <c r="F522" s="3070" t="s">
        <v>7525</v>
      </c>
      <c r="G522" s="3070" t="s">
        <v>7526</v>
      </c>
      <c r="H522" s="3070">
        <v>1357961</v>
      </c>
      <c r="I522" s="3070">
        <v>1357961</v>
      </c>
      <c r="J522" s="3070">
        <v>108.94</v>
      </c>
      <c r="K522" s="3070">
        <v>80.209999999999994</v>
      </c>
      <c r="L522" s="3070">
        <v>0</v>
      </c>
      <c r="M522" s="3070">
        <v>0</v>
      </c>
      <c r="N522" s="3070">
        <v>15394.44</v>
      </c>
      <c r="O522" s="3070">
        <v>1677070</v>
      </c>
      <c r="P522" s="3070">
        <v>12465.22</v>
      </c>
      <c r="Q522" s="3070">
        <v>1357961</v>
      </c>
      <c r="R522" s="3070" t="s">
        <v>3227</v>
      </c>
      <c r="S522" s="3070" t="s">
        <v>7527</v>
      </c>
      <c r="T522" s="3070" t="s">
        <v>3246</v>
      </c>
      <c r="U522" s="3070" t="s">
        <v>3381</v>
      </c>
      <c r="V522" s="3070" t="s">
        <v>3230</v>
      </c>
      <c r="Y522" s="3070">
        <v>757961</v>
      </c>
      <c r="Z522" s="3070">
        <v>757961</v>
      </c>
      <c r="AA522" s="3070">
        <v>757961</v>
      </c>
      <c r="AB522" s="3070">
        <v>0</v>
      </c>
      <c r="AC522" s="3070">
        <v>600000</v>
      </c>
      <c r="AD522" s="3070">
        <v>600000</v>
      </c>
      <c r="AE522" s="3070">
        <v>0</v>
      </c>
      <c r="AI522" s="3070" t="s">
        <v>3227</v>
      </c>
      <c r="AJ522" s="3070">
        <v>0</v>
      </c>
      <c r="AK522" s="3070">
        <v>0</v>
      </c>
      <c r="AL522" s="3070">
        <v>0</v>
      </c>
      <c r="AM522" s="3070">
        <v>12465.22</v>
      </c>
      <c r="AN522" s="3070">
        <v>1357961</v>
      </c>
      <c r="AP522" s="3070">
        <v>1357961</v>
      </c>
      <c r="AQ522" s="3072">
        <v>45138</v>
      </c>
      <c r="AT522" s="3073">
        <v>45678</v>
      </c>
      <c r="AV522" s="3074">
        <v>3.21E+17</v>
      </c>
      <c r="AW522" s="3070" t="s">
        <v>7528</v>
      </c>
      <c r="AX522" s="3070" t="s">
        <v>7529</v>
      </c>
      <c r="AY522" s="3070" t="s">
        <v>3699</v>
      </c>
      <c r="BA522" s="3070" t="s">
        <v>3699</v>
      </c>
      <c r="BC522" s="3070" t="s">
        <v>3284</v>
      </c>
      <c r="BD522" s="3070" t="s">
        <v>3077</v>
      </c>
      <c r="BI522" s="3070" t="s">
        <v>3235</v>
      </c>
      <c r="BJ522" s="3070" t="s">
        <v>3236</v>
      </c>
      <c r="BL522" s="3070" t="s">
        <v>7530</v>
      </c>
      <c r="BM522" s="3075">
        <v>44348</v>
      </c>
      <c r="BN522" s="3070">
        <v>1</v>
      </c>
      <c r="BO522" s="3070" t="s">
        <v>3253</v>
      </c>
      <c r="BR522" s="3070">
        <v>595</v>
      </c>
      <c r="BS522" s="3070" t="s">
        <v>3238</v>
      </c>
      <c r="BU522" s="3070" t="s">
        <v>3699</v>
      </c>
      <c r="BZ522" s="3073">
        <v>44142.866666666669</v>
      </c>
      <c r="CA522" s="3070">
        <v>6</v>
      </c>
      <c r="CD522" s="3070" t="s">
        <v>3239</v>
      </c>
      <c r="CF522" s="3070" t="s">
        <v>3091</v>
      </c>
      <c r="CH522" s="3070" t="s">
        <v>3240</v>
      </c>
      <c r="CI522" s="3070">
        <v>0</v>
      </c>
      <c r="CK522" s="3070" t="s">
        <v>3699</v>
      </c>
      <c r="CL522" s="3070" t="s">
        <v>3699</v>
      </c>
      <c r="CM522" s="3070">
        <v>1245835.78</v>
      </c>
      <c r="CV522" s="3070" t="s">
        <v>3246</v>
      </c>
      <c r="CW522" s="3070" t="s">
        <v>7531</v>
      </c>
      <c r="CZ522" s="3070">
        <v>213894.57</v>
      </c>
      <c r="DA522" s="3070">
        <v>159426.93</v>
      </c>
      <c r="DB522" s="3070">
        <v>0</v>
      </c>
      <c r="DC522" s="3070">
        <v>0</v>
      </c>
      <c r="DD522" s="3070">
        <v>3290547602</v>
      </c>
      <c r="DE522" s="3070">
        <v>2764253109</v>
      </c>
      <c r="DF522" s="3070">
        <v>1464966739</v>
      </c>
      <c r="DG522" s="3070">
        <v>14938370</v>
      </c>
      <c r="DH522" s="3070">
        <v>1284348000</v>
      </c>
      <c r="DI522" s="3070">
        <v>1278128000</v>
      </c>
      <c r="DJ522" s="3070">
        <v>6220000</v>
      </c>
      <c r="DK522" s="3070">
        <v>0</v>
      </c>
      <c r="DL522" s="3070">
        <v>0</v>
      </c>
      <c r="DM522" s="3070">
        <v>25491817.620000001</v>
      </c>
      <c r="DN522" s="3070">
        <v>2764253109</v>
      </c>
      <c r="DP522" s="3070">
        <v>2764253109</v>
      </c>
    </row>
    <row r="523" spans="1:120">
      <c r="A523" s="3070">
        <v>522</v>
      </c>
      <c r="B523" s="3070" t="s">
        <v>3224</v>
      </c>
      <c r="C523" s="3070">
        <v>6</v>
      </c>
      <c r="E523" s="3070">
        <v>1002</v>
      </c>
      <c r="F523" s="3070" t="s">
        <v>7532</v>
      </c>
      <c r="G523" s="3070" t="s">
        <v>5270</v>
      </c>
      <c r="H523" s="3070">
        <v>1068133</v>
      </c>
      <c r="I523" s="3070">
        <v>1068133</v>
      </c>
      <c r="J523" s="3070">
        <v>84.72</v>
      </c>
      <c r="K523" s="3070">
        <v>62.38</v>
      </c>
      <c r="L523" s="3070">
        <v>0</v>
      </c>
      <c r="M523" s="3070">
        <v>0</v>
      </c>
      <c r="N523" s="3070">
        <v>15544.44</v>
      </c>
      <c r="O523" s="3070">
        <v>1316925</v>
      </c>
      <c r="P523" s="3070">
        <v>12607.8</v>
      </c>
      <c r="Q523" s="3070">
        <v>1068133</v>
      </c>
      <c r="R523" s="3070" t="s">
        <v>3227</v>
      </c>
      <c r="S523" s="3070" t="s">
        <v>7533</v>
      </c>
      <c r="T523" s="3070" t="s">
        <v>3258</v>
      </c>
      <c r="U523" s="3070" t="s">
        <v>3259</v>
      </c>
      <c r="V523" s="3070" t="s">
        <v>3230</v>
      </c>
      <c r="Y523" s="3070">
        <v>618133</v>
      </c>
      <c r="Z523" s="3070">
        <v>618133</v>
      </c>
      <c r="AA523" s="3070">
        <v>618133</v>
      </c>
      <c r="AB523" s="3070">
        <v>0</v>
      </c>
      <c r="AC523" s="3070">
        <v>450000</v>
      </c>
      <c r="AD523" s="3070">
        <v>450000</v>
      </c>
      <c r="AE523" s="3070">
        <v>0</v>
      </c>
      <c r="AI523" s="3070" t="s">
        <v>3227</v>
      </c>
      <c r="AJ523" s="3070">
        <v>0</v>
      </c>
      <c r="AK523" s="3070">
        <v>0</v>
      </c>
      <c r="AL523" s="3070">
        <v>0</v>
      </c>
      <c r="AM523" s="3070">
        <v>12607.8</v>
      </c>
      <c r="AN523" s="3070">
        <v>1068133</v>
      </c>
      <c r="AP523" s="3070">
        <v>1068133</v>
      </c>
      <c r="AQ523" s="3072">
        <v>45138</v>
      </c>
      <c r="AT523" s="3073">
        <v>45678</v>
      </c>
      <c r="AV523" s="3074">
        <v>3.21E+17</v>
      </c>
      <c r="AW523" s="3070" t="s">
        <v>7534</v>
      </c>
      <c r="AX523" s="3070" t="s">
        <v>7535</v>
      </c>
      <c r="AY523" s="3070" t="s">
        <v>4084</v>
      </c>
      <c r="BC523" s="3070" t="s">
        <v>3263</v>
      </c>
      <c r="BD523" s="3070" t="s">
        <v>3076</v>
      </c>
      <c r="BI523" s="3070" t="s">
        <v>3235</v>
      </c>
      <c r="BJ523" s="3070" t="s">
        <v>3338</v>
      </c>
      <c r="BL523" s="3070" t="s">
        <v>7536</v>
      </c>
      <c r="BM523" s="3075">
        <v>44348</v>
      </c>
      <c r="BN523" s="3070">
        <v>2</v>
      </c>
      <c r="BO523" s="3070" t="s">
        <v>3253</v>
      </c>
      <c r="BP523" s="3070" t="s">
        <v>3253</v>
      </c>
      <c r="BR523" s="3070">
        <v>906</v>
      </c>
      <c r="BS523" s="3070" t="s">
        <v>3238</v>
      </c>
      <c r="BZ523" s="3073">
        <v>44146.739583333336</v>
      </c>
      <c r="CA523" s="3070">
        <v>6</v>
      </c>
      <c r="CD523" s="3070" t="s">
        <v>3239</v>
      </c>
      <c r="CF523" s="3070" t="s">
        <v>3091</v>
      </c>
      <c r="CH523" s="3070" t="s">
        <v>3240</v>
      </c>
      <c r="CI523" s="3070">
        <v>0</v>
      </c>
      <c r="CJ523" s="3070" t="s">
        <v>3259</v>
      </c>
      <c r="CK523" s="3070" t="s">
        <v>4084</v>
      </c>
      <c r="CL523" s="3070" t="s">
        <v>4084</v>
      </c>
      <c r="CM523" s="3070">
        <v>979938.53</v>
      </c>
      <c r="CV523" s="3070" t="s">
        <v>3258</v>
      </c>
      <c r="CW523" s="3070" t="s">
        <v>7537</v>
      </c>
      <c r="CZ523" s="3070">
        <v>213894.57</v>
      </c>
      <c r="DA523" s="3070">
        <v>159426.93</v>
      </c>
      <c r="DB523" s="3070">
        <v>0</v>
      </c>
      <c r="DC523" s="3070">
        <v>0</v>
      </c>
      <c r="DD523" s="3070">
        <v>3290547602</v>
      </c>
      <c r="DE523" s="3070">
        <v>2764253109</v>
      </c>
      <c r="DF523" s="3070">
        <v>1464966739</v>
      </c>
      <c r="DG523" s="3070">
        <v>14938370</v>
      </c>
      <c r="DH523" s="3070">
        <v>1284348000</v>
      </c>
      <c r="DI523" s="3070">
        <v>1278128000</v>
      </c>
      <c r="DJ523" s="3070">
        <v>6220000</v>
      </c>
      <c r="DK523" s="3070">
        <v>0</v>
      </c>
      <c r="DL523" s="3070">
        <v>0</v>
      </c>
      <c r="DM523" s="3070">
        <v>25491817.620000001</v>
      </c>
      <c r="DN523" s="3070">
        <v>2764253109</v>
      </c>
      <c r="DP523" s="3070">
        <v>2764253109</v>
      </c>
    </row>
    <row r="524" spans="1:120">
      <c r="A524" s="3070">
        <v>523</v>
      </c>
      <c r="B524" s="3070" t="s">
        <v>3224</v>
      </c>
      <c r="C524" s="3070">
        <v>6</v>
      </c>
      <c r="E524" s="3070">
        <v>1003</v>
      </c>
      <c r="F524" s="3070" t="s">
        <v>7538</v>
      </c>
      <c r="G524" s="3070" t="s">
        <v>7539</v>
      </c>
      <c r="H524" s="3070">
        <v>1068133</v>
      </c>
      <c r="I524" s="3070">
        <v>1068133</v>
      </c>
      <c r="J524" s="3070">
        <v>84.72</v>
      </c>
      <c r="K524" s="3070">
        <v>62.38</v>
      </c>
      <c r="L524" s="3070">
        <v>0</v>
      </c>
      <c r="M524" s="3070">
        <v>0</v>
      </c>
      <c r="N524" s="3070">
        <v>15544.44</v>
      </c>
      <c r="O524" s="3070">
        <v>1316925</v>
      </c>
      <c r="P524" s="3070">
        <v>12607.8</v>
      </c>
      <c r="Q524" s="3070">
        <v>1068133</v>
      </c>
      <c r="R524" s="3070" t="s">
        <v>3227</v>
      </c>
      <c r="S524" s="3070" t="s">
        <v>7540</v>
      </c>
      <c r="T524" s="3070" t="s">
        <v>3246</v>
      </c>
      <c r="U524" s="3070" t="s">
        <v>3247</v>
      </c>
      <c r="V524" s="3070" t="s">
        <v>3230</v>
      </c>
      <c r="Y524" s="3070">
        <v>398133</v>
      </c>
      <c r="Z524" s="3070">
        <v>398133</v>
      </c>
      <c r="AA524" s="3070">
        <v>398133</v>
      </c>
      <c r="AB524" s="3070">
        <v>0</v>
      </c>
      <c r="AC524" s="3070">
        <v>670000</v>
      </c>
      <c r="AD524" s="3070">
        <v>670000</v>
      </c>
      <c r="AE524" s="3070">
        <v>0</v>
      </c>
      <c r="AI524" s="3070" t="s">
        <v>3227</v>
      </c>
      <c r="AJ524" s="3070">
        <v>0</v>
      </c>
      <c r="AK524" s="3070">
        <v>0</v>
      </c>
      <c r="AL524" s="3070">
        <v>0</v>
      </c>
      <c r="AM524" s="3070">
        <v>12607.8</v>
      </c>
      <c r="AN524" s="3070">
        <v>1068133</v>
      </c>
      <c r="AP524" s="3070">
        <v>1068133</v>
      </c>
      <c r="AQ524" s="3072">
        <v>45138</v>
      </c>
      <c r="AT524" s="3073">
        <v>45678</v>
      </c>
      <c r="AV524" s="3070" t="s">
        <v>7541</v>
      </c>
      <c r="AW524" s="3070" t="s">
        <v>7542</v>
      </c>
      <c r="AX524" s="3070" t="s">
        <v>7543</v>
      </c>
      <c r="AY524" s="3070" t="s">
        <v>3722</v>
      </c>
      <c r="BC524" s="3070" t="s">
        <v>3284</v>
      </c>
      <c r="BD524" s="3070" t="s">
        <v>3076</v>
      </c>
      <c r="BI524" s="3070" t="s">
        <v>3295</v>
      </c>
      <c r="BJ524" s="3070" t="s">
        <v>7544</v>
      </c>
      <c r="BL524" s="3070" t="s">
        <v>7545</v>
      </c>
      <c r="BM524" s="3075">
        <v>44348</v>
      </c>
      <c r="BN524" s="3070">
        <v>3</v>
      </c>
      <c r="BO524" s="3070" t="s">
        <v>3253</v>
      </c>
      <c r="BR524" s="3070">
        <v>405</v>
      </c>
      <c r="BS524" s="3070" t="s">
        <v>3238</v>
      </c>
      <c r="BZ524" s="3073">
        <v>44143.682638888888</v>
      </c>
      <c r="CA524" s="3070">
        <v>6</v>
      </c>
      <c r="CD524" s="3070" t="s">
        <v>3239</v>
      </c>
      <c r="CF524" s="3070" t="s">
        <v>3091</v>
      </c>
      <c r="CH524" s="3070" t="s">
        <v>3240</v>
      </c>
      <c r="CI524" s="3070">
        <v>0</v>
      </c>
      <c r="CK524" s="3070" t="s">
        <v>3722</v>
      </c>
      <c r="CL524" s="3070" t="s">
        <v>3722</v>
      </c>
      <c r="CM524" s="3070">
        <v>979938.53</v>
      </c>
      <c r="CV524" s="3070" t="s">
        <v>3246</v>
      </c>
      <c r="CW524" s="3070" t="s">
        <v>7546</v>
      </c>
      <c r="CZ524" s="3070">
        <v>213894.57</v>
      </c>
      <c r="DA524" s="3070">
        <v>159426.93</v>
      </c>
      <c r="DB524" s="3070">
        <v>0</v>
      </c>
      <c r="DC524" s="3070">
        <v>0</v>
      </c>
      <c r="DD524" s="3070">
        <v>3290547602</v>
      </c>
      <c r="DE524" s="3070">
        <v>2764253109</v>
      </c>
      <c r="DF524" s="3070">
        <v>1464966739</v>
      </c>
      <c r="DG524" s="3070">
        <v>14938370</v>
      </c>
      <c r="DH524" s="3070">
        <v>1284348000</v>
      </c>
      <c r="DI524" s="3070">
        <v>1278128000</v>
      </c>
      <c r="DJ524" s="3070">
        <v>6220000</v>
      </c>
      <c r="DK524" s="3070">
        <v>0</v>
      </c>
      <c r="DL524" s="3070">
        <v>0</v>
      </c>
      <c r="DM524" s="3070">
        <v>25491817.620000001</v>
      </c>
      <c r="DN524" s="3070">
        <v>2764253109</v>
      </c>
      <c r="DP524" s="3070">
        <v>2764253109</v>
      </c>
    </row>
    <row r="525" spans="1:120">
      <c r="A525" s="3070">
        <v>524</v>
      </c>
      <c r="B525" s="3070" t="s">
        <v>3224</v>
      </c>
      <c r="C525" s="3070">
        <v>6</v>
      </c>
      <c r="E525" s="3070">
        <v>1004</v>
      </c>
      <c r="F525" s="3070" t="s">
        <v>7547</v>
      </c>
      <c r="G525" s="3070" t="s">
        <v>7548</v>
      </c>
      <c r="H525" s="3070">
        <v>1467466</v>
      </c>
      <c r="I525" s="3070">
        <v>1467466</v>
      </c>
      <c r="J525" s="3070">
        <v>120.29</v>
      </c>
      <c r="K525" s="3070">
        <v>88.57</v>
      </c>
      <c r="L525" s="3070">
        <v>0</v>
      </c>
      <c r="M525" s="3070">
        <v>0</v>
      </c>
      <c r="N525" s="3070">
        <v>15244.44</v>
      </c>
      <c r="O525" s="3070">
        <v>1833754</v>
      </c>
      <c r="P525" s="3070">
        <v>12199.4</v>
      </c>
      <c r="Q525" s="3070">
        <v>1467466</v>
      </c>
      <c r="R525" s="3070" t="s">
        <v>3227</v>
      </c>
      <c r="S525" s="3070" t="s">
        <v>7549</v>
      </c>
      <c r="T525" s="3070" t="s">
        <v>3229</v>
      </c>
      <c r="V525" s="3070" t="s">
        <v>3230</v>
      </c>
      <c r="Y525" s="3070">
        <v>440240</v>
      </c>
      <c r="Z525" s="3070">
        <v>440240</v>
      </c>
      <c r="AA525" s="3070">
        <v>1467466</v>
      </c>
      <c r="AB525" s="3070">
        <v>0</v>
      </c>
      <c r="AC525" s="3070">
        <v>0</v>
      </c>
      <c r="AD525" s="3070">
        <v>0</v>
      </c>
      <c r="AE525" s="3070">
        <v>0</v>
      </c>
      <c r="AI525" s="3070" t="s">
        <v>3227</v>
      </c>
      <c r="AJ525" s="3070">
        <v>0</v>
      </c>
      <c r="AK525" s="3070">
        <v>0</v>
      </c>
      <c r="AL525" s="3070">
        <v>0</v>
      </c>
      <c r="AM525" s="3070">
        <v>12199.4</v>
      </c>
      <c r="AN525" s="3070">
        <v>1467466</v>
      </c>
      <c r="AP525" s="3070">
        <v>1467466</v>
      </c>
      <c r="AQ525" s="3072">
        <v>45138</v>
      </c>
      <c r="AT525" s="3073">
        <v>45678</v>
      </c>
      <c r="AV525" s="3074">
        <v>3.21E+17</v>
      </c>
      <c r="AW525" s="3070" t="s">
        <v>7550</v>
      </c>
      <c r="AX525" s="3070" t="s">
        <v>7551</v>
      </c>
      <c r="AY525" s="3070" t="s">
        <v>3429</v>
      </c>
      <c r="BA525" s="3070" t="s">
        <v>3429</v>
      </c>
      <c r="BC525" s="3070" t="s">
        <v>3347</v>
      </c>
      <c r="BD525" s="3070" t="s">
        <v>3075</v>
      </c>
      <c r="BI525" s="3070" t="s">
        <v>3235</v>
      </c>
      <c r="BL525" s="3070" t="s">
        <v>7552</v>
      </c>
      <c r="BM525" s="3075">
        <v>44348</v>
      </c>
      <c r="BN525" s="3070">
        <v>4</v>
      </c>
      <c r="BR525" s="3070">
        <v>444</v>
      </c>
      <c r="BS525" s="3070" t="s">
        <v>3238</v>
      </c>
      <c r="BU525" s="3070" t="s">
        <v>3429</v>
      </c>
      <c r="BZ525" s="3073">
        <v>44142.618055555555</v>
      </c>
      <c r="CA525" s="3070">
        <v>6</v>
      </c>
      <c r="CD525" s="3070" t="s">
        <v>3239</v>
      </c>
      <c r="CF525" s="3070" t="s">
        <v>3091</v>
      </c>
      <c r="CH525" s="3070" t="s">
        <v>3240</v>
      </c>
      <c r="CI525" s="3070">
        <v>0</v>
      </c>
      <c r="CK525" s="3070" t="s">
        <v>3429</v>
      </c>
      <c r="CL525" s="3070" t="s">
        <v>3429</v>
      </c>
      <c r="CM525" s="3070">
        <v>1346299.08</v>
      </c>
      <c r="CV525" s="3070" t="s">
        <v>3229</v>
      </c>
      <c r="CW525" s="3070" t="s">
        <v>7553</v>
      </c>
      <c r="CZ525" s="3070">
        <v>213894.57</v>
      </c>
      <c r="DA525" s="3070">
        <v>159426.93</v>
      </c>
      <c r="DB525" s="3070">
        <v>0</v>
      </c>
      <c r="DC525" s="3070">
        <v>0</v>
      </c>
      <c r="DD525" s="3070">
        <v>3290547602</v>
      </c>
      <c r="DE525" s="3070">
        <v>2764253109</v>
      </c>
      <c r="DF525" s="3070">
        <v>1464966739</v>
      </c>
      <c r="DG525" s="3070">
        <v>14938370</v>
      </c>
      <c r="DH525" s="3070">
        <v>1284348000</v>
      </c>
      <c r="DI525" s="3070">
        <v>1278128000</v>
      </c>
      <c r="DJ525" s="3070">
        <v>6220000</v>
      </c>
      <c r="DK525" s="3070">
        <v>0</v>
      </c>
      <c r="DL525" s="3070">
        <v>0</v>
      </c>
      <c r="DM525" s="3070">
        <v>25491817.620000001</v>
      </c>
      <c r="DN525" s="3070">
        <v>2764253109</v>
      </c>
      <c r="DP525" s="3070">
        <v>2764253109</v>
      </c>
    </row>
    <row r="526" spans="1:120">
      <c r="A526" s="3070">
        <v>525</v>
      </c>
      <c r="B526" s="3070" t="s">
        <v>3224</v>
      </c>
      <c r="C526" s="3070">
        <v>6</v>
      </c>
      <c r="E526" s="3070">
        <v>101</v>
      </c>
      <c r="F526" s="3070" t="s">
        <v>7554</v>
      </c>
      <c r="G526" s="3070" t="s">
        <v>7555</v>
      </c>
      <c r="H526" s="3070">
        <v>1301004</v>
      </c>
      <c r="I526" s="3070">
        <v>1301004</v>
      </c>
      <c r="J526" s="3070">
        <v>108.94</v>
      </c>
      <c r="K526" s="3070">
        <v>80.209999999999994</v>
      </c>
      <c r="L526" s="3070">
        <v>0</v>
      </c>
      <c r="M526" s="3070">
        <v>0</v>
      </c>
      <c r="N526" s="3070">
        <v>14844.44</v>
      </c>
      <c r="O526" s="3070">
        <v>1617153</v>
      </c>
      <c r="P526" s="3070">
        <v>11942.39</v>
      </c>
      <c r="Q526" s="3070">
        <v>1301004</v>
      </c>
      <c r="R526" s="3070" t="s">
        <v>3227</v>
      </c>
      <c r="S526" s="3070" t="s">
        <v>7556</v>
      </c>
      <c r="T526" s="3070" t="s">
        <v>3246</v>
      </c>
      <c r="U526" s="3070" t="s">
        <v>3371</v>
      </c>
      <c r="V526" s="3070" t="s">
        <v>3230</v>
      </c>
      <c r="Y526" s="3070">
        <v>491004</v>
      </c>
      <c r="Z526" s="3070">
        <v>491004</v>
      </c>
      <c r="AA526" s="3070">
        <v>491004</v>
      </c>
      <c r="AB526" s="3070">
        <v>0</v>
      </c>
      <c r="AC526" s="3070">
        <v>810000</v>
      </c>
      <c r="AD526" s="3070">
        <v>810000</v>
      </c>
      <c r="AE526" s="3070">
        <v>0</v>
      </c>
      <c r="AI526" s="3070" t="s">
        <v>3227</v>
      </c>
      <c r="AJ526" s="3070">
        <v>0</v>
      </c>
      <c r="AK526" s="3070">
        <v>0</v>
      </c>
      <c r="AL526" s="3070">
        <v>0</v>
      </c>
      <c r="AM526" s="3070">
        <v>11942.39</v>
      </c>
      <c r="AN526" s="3070">
        <v>1301004</v>
      </c>
      <c r="AP526" s="3070">
        <v>1301004</v>
      </c>
      <c r="AQ526" s="3072">
        <v>45138</v>
      </c>
      <c r="AT526" s="3073">
        <v>45678</v>
      </c>
      <c r="AV526" s="3074">
        <v>3.21E+17</v>
      </c>
      <c r="AW526" s="3070" t="s">
        <v>7557</v>
      </c>
      <c r="AX526" s="3070" t="s">
        <v>7558</v>
      </c>
      <c r="AY526" s="3070" t="s">
        <v>3385</v>
      </c>
      <c r="BA526" s="3070" t="s">
        <v>3385</v>
      </c>
      <c r="BC526" s="3070" t="s">
        <v>3284</v>
      </c>
      <c r="BD526" s="3070" t="s">
        <v>3077</v>
      </c>
      <c r="BI526" s="3070" t="s">
        <v>3235</v>
      </c>
      <c r="BJ526" s="3070" t="s">
        <v>3338</v>
      </c>
      <c r="BL526" s="3070" t="s">
        <v>7559</v>
      </c>
      <c r="BM526" s="3075">
        <v>44348</v>
      </c>
      <c r="BN526" s="3070">
        <v>1</v>
      </c>
      <c r="BO526" s="3070" t="s">
        <v>3253</v>
      </c>
      <c r="BR526" s="3070">
        <v>750</v>
      </c>
      <c r="BS526" s="3070" t="s">
        <v>3238</v>
      </c>
      <c r="BU526" s="3070" t="s">
        <v>3385</v>
      </c>
      <c r="BZ526" s="3073">
        <v>44142.863194444442</v>
      </c>
      <c r="CA526" s="3070">
        <v>6</v>
      </c>
      <c r="CD526" s="3070" t="s">
        <v>3239</v>
      </c>
      <c r="CF526" s="3070" t="s">
        <v>3091</v>
      </c>
      <c r="CH526" s="3070" t="s">
        <v>3240</v>
      </c>
      <c r="CI526" s="3070">
        <v>0</v>
      </c>
      <c r="CK526" s="3070" t="s">
        <v>3385</v>
      </c>
      <c r="CL526" s="3070" t="s">
        <v>3385</v>
      </c>
      <c r="CM526" s="3070">
        <v>1193581.6499999999</v>
      </c>
      <c r="CV526" s="3070" t="s">
        <v>3246</v>
      </c>
      <c r="CW526" s="3070" t="s">
        <v>7560</v>
      </c>
      <c r="CZ526" s="3070">
        <v>213894.57</v>
      </c>
      <c r="DA526" s="3070">
        <v>159426.93</v>
      </c>
      <c r="DB526" s="3070">
        <v>0</v>
      </c>
      <c r="DC526" s="3070">
        <v>0</v>
      </c>
      <c r="DD526" s="3070">
        <v>3290547602</v>
      </c>
      <c r="DE526" s="3070">
        <v>2764253109</v>
      </c>
      <c r="DF526" s="3070">
        <v>1464966739</v>
      </c>
      <c r="DG526" s="3070">
        <v>14938370</v>
      </c>
      <c r="DH526" s="3070">
        <v>1284348000</v>
      </c>
      <c r="DI526" s="3070">
        <v>1278128000</v>
      </c>
      <c r="DJ526" s="3070">
        <v>6220000</v>
      </c>
      <c r="DK526" s="3070">
        <v>0</v>
      </c>
      <c r="DL526" s="3070">
        <v>0</v>
      </c>
      <c r="DM526" s="3070">
        <v>25491817.620000001</v>
      </c>
      <c r="DN526" s="3070">
        <v>2764253109</v>
      </c>
      <c r="DP526" s="3070">
        <v>2764253109</v>
      </c>
    </row>
    <row r="527" spans="1:120">
      <c r="A527" s="3070">
        <v>526</v>
      </c>
      <c r="B527" s="3070" t="s">
        <v>3224</v>
      </c>
      <c r="C527" s="3070">
        <v>6</v>
      </c>
      <c r="E527" s="3070">
        <v>104</v>
      </c>
      <c r="F527" s="3070" t="s">
        <v>7561</v>
      </c>
      <c r="G527" s="3070" t="s">
        <v>7562</v>
      </c>
      <c r="H527" s="3070">
        <v>1380130</v>
      </c>
      <c r="I527" s="3070">
        <v>1380130</v>
      </c>
      <c r="J527" s="3070">
        <v>120.29</v>
      </c>
      <c r="K527" s="3070">
        <v>88.57</v>
      </c>
      <c r="L527" s="3070">
        <v>0</v>
      </c>
      <c r="M527" s="3070">
        <v>0</v>
      </c>
      <c r="N527" s="3070">
        <v>13569.44</v>
      </c>
      <c r="O527" s="3070">
        <v>1632268</v>
      </c>
      <c r="P527" s="3070">
        <v>11473.36</v>
      </c>
      <c r="Q527" s="3070">
        <v>1380130</v>
      </c>
      <c r="R527" s="3070" t="s">
        <v>3227</v>
      </c>
      <c r="S527" s="3070" t="s">
        <v>7563</v>
      </c>
      <c r="T527" s="3070" t="s">
        <v>3494</v>
      </c>
      <c r="V527" s="3070" t="s">
        <v>3230</v>
      </c>
      <c r="Y527" s="3070">
        <v>138013</v>
      </c>
      <c r="Z527" s="3070">
        <v>138013</v>
      </c>
      <c r="AA527" s="3070">
        <v>1380130</v>
      </c>
      <c r="AB527" s="3070">
        <v>0</v>
      </c>
      <c r="AC527" s="3070">
        <v>0</v>
      </c>
      <c r="AD527" s="3070">
        <v>0</v>
      </c>
      <c r="AE527" s="3070">
        <v>0</v>
      </c>
      <c r="AI527" s="3070" t="s">
        <v>3227</v>
      </c>
      <c r="AJ527" s="3070">
        <v>0</v>
      </c>
      <c r="AK527" s="3070">
        <v>0</v>
      </c>
      <c r="AL527" s="3070">
        <v>0</v>
      </c>
      <c r="AM527" s="3070">
        <v>11473.36</v>
      </c>
      <c r="AN527" s="3070">
        <v>1380130</v>
      </c>
      <c r="AP527" s="3070">
        <v>1380130</v>
      </c>
      <c r="AQ527" s="3072">
        <v>45138</v>
      </c>
      <c r="AT527" s="3073">
        <v>45678</v>
      </c>
      <c r="AV527" s="3074">
        <v>3.21E+17</v>
      </c>
      <c r="AW527" s="3070" t="s">
        <v>7564</v>
      </c>
      <c r="AX527" s="3070" t="s">
        <v>7565</v>
      </c>
      <c r="AY527" s="3070" t="s">
        <v>3346</v>
      </c>
      <c r="BC527" s="3070" t="s">
        <v>4117</v>
      </c>
      <c r="BD527" s="3070" t="s">
        <v>3075</v>
      </c>
      <c r="BI527" s="3070" t="s">
        <v>3235</v>
      </c>
      <c r="BL527" s="3070" t="s">
        <v>7566</v>
      </c>
      <c r="BM527" s="3075">
        <v>44348</v>
      </c>
      <c r="BN527" s="3070">
        <v>4</v>
      </c>
      <c r="BR527" s="3070">
        <v>18</v>
      </c>
      <c r="BS527" s="3070" t="s">
        <v>3238</v>
      </c>
      <c r="BV527" s="3070" t="s">
        <v>7567</v>
      </c>
      <c r="BZ527" s="3073">
        <v>44183.822916666664</v>
      </c>
      <c r="CA527" s="3070">
        <v>6</v>
      </c>
      <c r="CD527" s="3070" t="s">
        <v>3239</v>
      </c>
      <c r="CF527" s="3070" t="s">
        <v>3091</v>
      </c>
      <c r="CH527" s="3070" t="s">
        <v>3240</v>
      </c>
      <c r="CI527" s="3070">
        <v>0</v>
      </c>
      <c r="CK527" s="3070" t="s">
        <v>3346</v>
      </c>
      <c r="CL527" s="3070" t="s">
        <v>3346</v>
      </c>
      <c r="CM527" s="3070">
        <v>1266174.31</v>
      </c>
      <c r="CV527" s="3070" t="s">
        <v>3494</v>
      </c>
      <c r="CW527" s="3070" t="s">
        <v>7568</v>
      </c>
      <c r="CZ527" s="3070">
        <v>213894.57</v>
      </c>
      <c r="DA527" s="3070">
        <v>159426.93</v>
      </c>
      <c r="DB527" s="3070">
        <v>0</v>
      </c>
      <c r="DC527" s="3070">
        <v>0</v>
      </c>
      <c r="DD527" s="3070">
        <v>3290547602</v>
      </c>
      <c r="DE527" s="3070">
        <v>2764253109</v>
      </c>
      <c r="DF527" s="3070">
        <v>1464966739</v>
      </c>
      <c r="DG527" s="3070">
        <v>14938370</v>
      </c>
      <c r="DH527" s="3070">
        <v>1284348000</v>
      </c>
      <c r="DI527" s="3070">
        <v>1278128000</v>
      </c>
      <c r="DJ527" s="3070">
        <v>6220000</v>
      </c>
      <c r="DK527" s="3070">
        <v>0</v>
      </c>
      <c r="DL527" s="3070">
        <v>0</v>
      </c>
      <c r="DM527" s="3070">
        <v>25491817.620000001</v>
      </c>
      <c r="DN527" s="3070">
        <v>2764253109</v>
      </c>
      <c r="DP527" s="3070">
        <v>2764253109</v>
      </c>
    </row>
    <row r="528" spans="1:120">
      <c r="A528" s="3070">
        <v>527</v>
      </c>
      <c r="B528" s="3070" t="s">
        <v>3224</v>
      </c>
      <c r="C528" s="3070">
        <v>6</v>
      </c>
      <c r="E528" s="3070">
        <v>1101</v>
      </c>
      <c r="F528" s="3070" t="s">
        <v>7569</v>
      </c>
      <c r="G528" s="3070" t="s">
        <v>7570</v>
      </c>
      <c r="H528" s="3070">
        <v>1363139</v>
      </c>
      <c r="I528" s="3070">
        <v>1363139</v>
      </c>
      <c r="J528" s="3070">
        <v>108.94</v>
      </c>
      <c r="K528" s="3070">
        <v>80.209999999999994</v>
      </c>
      <c r="L528" s="3070">
        <v>0</v>
      </c>
      <c r="M528" s="3070">
        <v>0</v>
      </c>
      <c r="N528" s="3070">
        <v>15444.44</v>
      </c>
      <c r="O528" s="3070">
        <v>1682517</v>
      </c>
      <c r="P528" s="3070">
        <v>12512.75</v>
      </c>
      <c r="Q528" s="3070">
        <v>1363139</v>
      </c>
      <c r="R528" s="3070" t="s">
        <v>3227</v>
      </c>
      <c r="S528" s="3070" t="s">
        <v>7571</v>
      </c>
      <c r="T528" s="3070" t="s">
        <v>3246</v>
      </c>
      <c r="U528" s="3070" t="s">
        <v>3259</v>
      </c>
      <c r="V528" s="3070" t="s">
        <v>3230</v>
      </c>
      <c r="Y528" s="3070">
        <v>863139</v>
      </c>
      <c r="Z528" s="3070">
        <v>463139</v>
      </c>
      <c r="AA528" s="3070">
        <v>863139</v>
      </c>
      <c r="AB528" s="3070">
        <v>0</v>
      </c>
      <c r="AC528" s="3070">
        <v>500000</v>
      </c>
      <c r="AD528" s="3070">
        <v>500000</v>
      </c>
      <c r="AE528" s="3070">
        <v>0</v>
      </c>
      <c r="AI528" s="3070" t="s">
        <v>3227</v>
      </c>
      <c r="AJ528" s="3070">
        <v>0</v>
      </c>
      <c r="AK528" s="3070">
        <v>0</v>
      </c>
      <c r="AL528" s="3070">
        <v>0</v>
      </c>
      <c r="AM528" s="3070">
        <v>12512.75</v>
      </c>
      <c r="AN528" s="3070">
        <v>1363139</v>
      </c>
      <c r="AP528" s="3070">
        <v>1363139</v>
      </c>
      <c r="AQ528" s="3072">
        <v>45138</v>
      </c>
      <c r="AT528" s="3073">
        <v>45678</v>
      </c>
      <c r="AV528" s="3074">
        <v>3.21E+17</v>
      </c>
      <c r="AW528" s="3070" t="s">
        <v>7572</v>
      </c>
      <c r="AX528" s="3070" t="s">
        <v>7573</v>
      </c>
      <c r="AY528" s="3070" t="s">
        <v>3429</v>
      </c>
      <c r="BA528" s="3070" t="s">
        <v>3429</v>
      </c>
      <c r="BC528" s="3070" t="s">
        <v>3284</v>
      </c>
      <c r="BD528" s="3070" t="s">
        <v>3077</v>
      </c>
      <c r="BI528" s="3070" t="s">
        <v>3235</v>
      </c>
      <c r="BJ528" s="3070" t="s">
        <v>3296</v>
      </c>
      <c r="BL528" s="3070" t="s">
        <v>7574</v>
      </c>
      <c r="BM528" s="3075">
        <v>44348</v>
      </c>
      <c r="BN528" s="3070">
        <v>101</v>
      </c>
      <c r="BO528" s="3070" t="s">
        <v>3253</v>
      </c>
      <c r="BR528" s="3070">
        <v>16</v>
      </c>
      <c r="BS528" s="3070" t="s">
        <v>3238</v>
      </c>
      <c r="BU528" s="3070" t="s">
        <v>3429</v>
      </c>
      <c r="BZ528" s="3073">
        <v>44142.867361111108</v>
      </c>
      <c r="CA528" s="3070">
        <v>6</v>
      </c>
      <c r="CD528" s="3070" t="s">
        <v>3239</v>
      </c>
      <c r="CF528" s="3070" t="s">
        <v>3091</v>
      </c>
      <c r="CH528" s="3070" t="s">
        <v>3240</v>
      </c>
      <c r="CI528" s="3070">
        <v>0</v>
      </c>
      <c r="CK528" s="3070" t="s">
        <v>3429</v>
      </c>
      <c r="CL528" s="3070" t="s">
        <v>3429</v>
      </c>
      <c r="CM528" s="3070">
        <v>1250586.24</v>
      </c>
      <c r="CV528" s="3070" t="s">
        <v>3246</v>
      </c>
      <c r="CW528" s="3070" t="s">
        <v>7575</v>
      </c>
      <c r="CZ528" s="3070">
        <v>213894.57</v>
      </c>
      <c r="DA528" s="3070">
        <v>159426.93</v>
      </c>
      <c r="DB528" s="3070">
        <v>0</v>
      </c>
      <c r="DC528" s="3070">
        <v>0</v>
      </c>
      <c r="DD528" s="3070">
        <v>3290547602</v>
      </c>
      <c r="DE528" s="3070">
        <v>2764253109</v>
      </c>
      <c r="DF528" s="3070">
        <v>1464966739</v>
      </c>
      <c r="DG528" s="3070">
        <v>14938370</v>
      </c>
      <c r="DH528" s="3070">
        <v>1284348000</v>
      </c>
      <c r="DI528" s="3070">
        <v>1278128000</v>
      </c>
      <c r="DJ528" s="3070">
        <v>6220000</v>
      </c>
      <c r="DK528" s="3070">
        <v>0</v>
      </c>
      <c r="DL528" s="3070">
        <v>0</v>
      </c>
      <c r="DM528" s="3070">
        <v>25491817.620000001</v>
      </c>
      <c r="DN528" s="3070">
        <v>2764253109</v>
      </c>
      <c r="DP528" s="3070">
        <v>2764253109</v>
      </c>
    </row>
    <row r="529" spans="1:120">
      <c r="A529" s="3070">
        <v>528</v>
      </c>
      <c r="B529" s="3070" t="s">
        <v>3224</v>
      </c>
      <c r="C529" s="3070">
        <v>6</v>
      </c>
      <c r="E529" s="3070">
        <v>1102</v>
      </c>
      <c r="F529" s="3070" t="s">
        <v>7576</v>
      </c>
      <c r="G529" s="3070" t="s">
        <v>7577</v>
      </c>
      <c r="H529" s="3070">
        <v>1072160</v>
      </c>
      <c r="I529" s="3070">
        <v>1072160</v>
      </c>
      <c r="J529" s="3070">
        <v>84.72</v>
      </c>
      <c r="K529" s="3070">
        <v>62.38</v>
      </c>
      <c r="L529" s="3070">
        <v>0</v>
      </c>
      <c r="M529" s="3070">
        <v>0</v>
      </c>
      <c r="N529" s="3070">
        <v>15594.44</v>
      </c>
      <c r="O529" s="3070">
        <v>1321161</v>
      </c>
      <c r="P529" s="3070">
        <v>12655.34</v>
      </c>
      <c r="Q529" s="3070">
        <v>1072160</v>
      </c>
      <c r="R529" s="3070" t="s">
        <v>3227</v>
      </c>
      <c r="S529" s="3070" t="s">
        <v>7578</v>
      </c>
      <c r="T529" s="3070" t="s">
        <v>3425</v>
      </c>
      <c r="V529" s="3070" t="s">
        <v>3230</v>
      </c>
      <c r="Y529" s="3070">
        <v>572160</v>
      </c>
      <c r="Z529" s="3070">
        <v>572160</v>
      </c>
      <c r="AA529" s="3070">
        <v>572160</v>
      </c>
      <c r="AB529" s="3070">
        <v>0</v>
      </c>
      <c r="AC529" s="3070">
        <v>500000</v>
      </c>
      <c r="AD529" s="3070">
        <v>500000</v>
      </c>
      <c r="AE529" s="3070">
        <v>0</v>
      </c>
      <c r="AI529" s="3070" t="s">
        <v>3227</v>
      </c>
      <c r="AJ529" s="3070">
        <v>0</v>
      </c>
      <c r="AK529" s="3070">
        <v>0</v>
      </c>
      <c r="AL529" s="3070">
        <v>0</v>
      </c>
      <c r="AM529" s="3070">
        <v>12655.34</v>
      </c>
      <c r="AN529" s="3070">
        <v>1072160</v>
      </c>
      <c r="AP529" s="3070">
        <v>1072160</v>
      </c>
      <c r="AQ529" s="3072">
        <v>45138</v>
      </c>
      <c r="AT529" s="3073">
        <v>45678</v>
      </c>
      <c r="AV529" s="3070" t="s">
        <v>7579</v>
      </c>
      <c r="AW529" s="3070" t="s">
        <v>7580</v>
      </c>
      <c r="AX529" s="3070" t="s">
        <v>7581</v>
      </c>
      <c r="AY529" s="3070" t="s">
        <v>3429</v>
      </c>
      <c r="BA529" s="3070" t="s">
        <v>3429</v>
      </c>
      <c r="BC529" s="3070" t="s">
        <v>3461</v>
      </c>
      <c r="BD529" s="3070" t="s">
        <v>3076</v>
      </c>
      <c r="BI529" s="3070" t="s">
        <v>3235</v>
      </c>
      <c r="BJ529" s="3070" t="s">
        <v>3338</v>
      </c>
      <c r="BL529" s="3070" t="s">
        <v>7582</v>
      </c>
      <c r="BM529" s="3075">
        <v>44348</v>
      </c>
      <c r="BN529" s="3070">
        <v>102</v>
      </c>
      <c r="BP529" s="3070" t="s">
        <v>3253</v>
      </c>
      <c r="BR529" s="3070">
        <v>849</v>
      </c>
      <c r="BS529" s="3070" t="s">
        <v>3238</v>
      </c>
      <c r="BU529" s="3070" t="s">
        <v>3429</v>
      </c>
      <c r="BZ529" s="3073">
        <v>44142.630555555559</v>
      </c>
      <c r="CA529" s="3070">
        <v>6</v>
      </c>
      <c r="CD529" s="3070" t="s">
        <v>3239</v>
      </c>
      <c r="CF529" s="3070" t="s">
        <v>3091</v>
      </c>
      <c r="CH529" s="3070" t="s">
        <v>3240</v>
      </c>
      <c r="CI529" s="3070">
        <v>0</v>
      </c>
      <c r="CJ529" s="3070" t="s">
        <v>3259</v>
      </c>
      <c r="CK529" s="3070" t="s">
        <v>3429</v>
      </c>
      <c r="CL529" s="3070" t="s">
        <v>3429</v>
      </c>
      <c r="CM529" s="3070">
        <v>983633.03</v>
      </c>
      <c r="CV529" s="3070" t="s">
        <v>3425</v>
      </c>
      <c r="CW529" s="3070" t="s">
        <v>7583</v>
      </c>
      <c r="CZ529" s="3070">
        <v>213894.57</v>
      </c>
      <c r="DA529" s="3070">
        <v>159426.93</v>
      </c>
      <c r="DB529" s="3070">
        <v>0</v>
      </c>
      <c r="DC529" s="3070">
        <v>0</v>
      </c>
      <c r="DD529" s="3070">
        <v>3290547602</v>
      </c>
      <c r="DE529" s="3070">
        <v>2764253109</v>
      </c>
      <c r="DF529" s="3070">
        <v>1464966739</v>
      </c>
      <c r="DG529" s="3070">
        <v>14938370</v>
      </c>
      <c r="DH529" s="3070">
        <v>1284348000</v>
      </c>
      <c r="DI529" s="3070">
        <v>1278128000</v>
      </c>
      <c r="DJ529" s="3070">
        <v>6220000</v>
      </c>
      <c r="DK529" s="3070">
        <v>0</v>
      </c>
      <c r="DL529" s="3070">
        <v>0</v>
      </c>
      <c r="DM529" s="3070">
        <v>25491817.620000001</v>
      </c>
      <c r="DN529" s="3070">
        <v>2764253109</v>
      </c>
      <c r="DP529" s="3070">
        <v>2764253109</v>
      </c>
    </row>
    <row r="530" spans="1:120">
      <c r="A530" s="3070">
        <v>529</v>
      </c>
      <c r="B530" s="3070" t="s">
        <v>3224</v>
      </c>
      <c r="C530" s="3070">
        <v>6</v>
      </c>
      <c r="E530" s="3070">
        <v>1103</v>
      </c>
      <c r="F530" s="3070" t="s">
        <v>7584</v>
      </c>
      <c r="G530" s="3070" t="s">
        <v>7585</v>
      </c>
      <c r="H530" s="3070">
        <v>1072160</v>
      </c>
      <c r="I530" s="3070">
        <v>1072160</v>
      </c>
      <c r="J530" s="3070">
        <v>84.72</v>
      </c>
      <c r="K530" s="3070">
        <v>62.38</v>
      </c>
      <c r="L530" s="3070">
        <v>0</v>
      </c>
      <c r="M530" s="3070">
        <v>0</v>
      </c>
      <c r="N530" s="3070">
        <v>15594.44</v>
      </c>
      <c r="O530" s="3070">
        <v>1321161</v>
      </c>
      <c r="P530" s="3070">
        <v>12655.34</v>
      </c>
      <c r="Q530" s="3070">
        <v>1072160</v>
      </c>
      <c r="R530" s="3070" t="s">
        <v>3227</v>
      </c>
      <c r="S530" s="3070" t="s">
        <v>7586</v>
      </c>
      <c r="T530" s="3070" t="s">
        <v>3246</v>
      </c>
      <c r="U530" s="3070" t="s">
        <v>3381</v>
      </c>
      <c r="V530" s="3070" t="s">
        <v>3230</v>
      </c>
      <c r="Y530" s="3070">
        <v>322160</v>
      </c>
      <c r="Z530" s="3070">
        <v>107216</v>
      </c>
      <c r="AA530" s="3070">
        <v>322160</v>
      </c>
      <c r="AB530" s="3070">
        <v>0</v>
      </c>
      <c r="AC530" s="3070">
        <v>750000</v>
      </c>
      <c r="AD530" s="3070">
        <v>750000</v>
      </c>
      <c r="AE530" s="3070">
        <v>0</v>
      </c>
      <c r="AI530" s="3070" t="s">
        <v>3227</v>
      </c>
      <c r="AJ530" s="3070">
        <v>0</v>
      </c>
      <c r="AK530" s="3070">
        <v>0</v>
      </c>
      <c r="AL530" s="3070">
        <v>0</v>
      </c>
      <c r="AM530" s="3070">
        <v>12655.34</v>
      </c>
      <c r="AN530" s="3070">
        <v>1072160</v>
      </c>
      <c r="AP530" s="3070">
        <v>1072160</v>
      </c>
      <c r="AQ530" s="3072">
        <v>45138</v>
      </c>
      <c r="AT530" s="3073">
        <v>45678</v>
      </c>
      <c r="AV530" s="3074">
        <v>3.21E+17</v>
      </c>
      <c r="AW530" s="3070" t="s">
        <v>7587</v>
      </c>
      <c r="AX530" s="3070" t="s">
        <v>7588</v>
      </c>
      <c r="AY530" s="3070" t="s">
        <v>3411</v>
      </c>
      <c r="BC530" s="3070" t="s">
        <v>3284</v>
      </c>
      <c r="BD530" s="3070" t="s">
        <v>3076</v>
      </c>
      <c r="BI530" s="3070" t="s">
        <v>3235</v>
      </c>
      <c r="BJ530" s="3070" t="s">
        <v>3682</v>
      </c>
      <c r="BL530" s="3070" t="s">
        <v>7589</v>
      </c>
      <c r="BM530" s="3075">
        <v>44348</v>
      </c>
      <c r="BN530" s="3070">
        <v>103</v>
      </c>
      <c r="BO530" s="3070" t="s">
        <v>3253</v>
      </c>
      <c r="BR530" s="3070">
        <v>489</v>
      </c>
      <c r="BS530" s="3070" t="s">
        <v>3238</v>
      </c>
      <c r="BZ530" s="3073">
        <v>44149.779166666667</v>
      </c>
      <c r="CA530" s="3070">
        <v>6</v>
      </c>
      <c r="CD530" s="3070" t="s">
        <v>3239</v>
      </c>
      <c r="CF530" s="3070" t="s">
        <v>3091</v>
      </c>
      <c r="CH530" s="3070" t="s">
        <v>3240</v>
      </c>
      <c r="CI530" s="3070">
        <v>0</v>
      </c>
      <c r="CK530" s="3070" t="s">
        <v>3411</v>
      </c>
      <c r="CL530" s="3070" t="s">
        <v>3411</v>
      </c>
      <c r="CM530" s="3070">
        <v>983633.02</v>
      </c>
      <c r="CV530" s="3070" t="s">
        <v>3246</v>
      </c>
      <c r="CW530" s="3070" t="s">
        <v>7590</v>
      </c>
      <c r="CX530" s="3070" t="s">
        <v>3267</v>
      </c>
      <c r="CZ530" s="3070">
        <v>213894.57</v>
      </c>
      <c r="DA530" s="3070">
        <v>159426.93</v>
      </c>
      <c r="DB530" s="3070">
        <v>0</v>
      </c>
      <c r="DC530" s="3070">
        <v>0</v>
      </c>
      <c r="DD530" s="3070">
        <v>3290547602</v>
      </c>
      <c r="DE530" s="3070">
        <v>2764253109</v>
      </c>
      <c r="DF530" s="3070">
        <v>1464966739</v>
      </c>
      <c r="DG530" s="3070">
        <v>14938370</v>
      </c>
      <c r="DH530" s="3070">
        <v>1284348000</v>
      </c>
      <c r="DI530" s="3070">
        <v>1278128000</v>
      </c>
      <c r="DJ530" s="3070">
        <v>6220000</v>
      </c>
      <c r="DK530" s="3070">
        <v>0</v>
      </c>
      <c r="DL530" s="3070">
        <v>0</v>
      </c>
      <c r="DM530" s="3070">
        <v>25491817.620000001</v>
      </c>
      <c r="DN530" s="3070">
        <v>2764253109</v>
      </c>
      <c r="DP530" s="3070">
        <v>2764253109</v>
      </c>
    </row>
    <row r="531" spans="1:120">
      <c r="A531" s="3070">
        <v>530</v>
      </c>
      <c r="B531" s="3070" t="s">
        <v>3224</v>
      </c>
      <c r="C531" s="3070">
        <v>6</v>
      </c>
      <c r="E531" s="3070">
        <v>1104</v>
      </c>
      <c r="F531" s="3070" t="s">
        <v>7591</v>
      </c>
      <c r="G531" s="3070" t="s">
        <v>7592</v>
      </c>
      <c r="H531" s="3070">
        <v>1436239</v>
      </c>
      <c r="I531" s="3070">
        <v>1436239</v>
      </c>
      <c r="J531" s="3070">
        <v>120.29</v>
      </c>
      <c r="K531" s="3070">
        <v>88.57</v>
      </c>
      <c r="L531" s="3070">
        <v>0</v>
      </c>
      <c r="M531" s="3070">
        <v>0</v>
      </c>
      <c r="N531" s="3070">
        <v>15294.44</v>
      </c>
      <c r="O531" s="3070">
        <v>1839768</v>
      </c>
      <c r="P531" s="3070">
        <v>11939.8</v>
      </c>
      <c r="Q531" s="3070">
        <v>1436239</v>
      </c>
      <c r="R531" s="3070" t="s">
        <v>3227</v>
      </c>
      <c r="S531" s="3070" t="s">
        <v>3353</v>
      </c>
      <c r="T531" s="3070" t="s">
        <v>3991</v>
      </c>
      <c r="V531" s="3070" t="s">
        <v>3230</v>
      </c>
      <c r="Y531" s="3070">
        <v>430872</v>
      </c>
      <c r="Z531" s="3070">
        <v>430872</v>
      </c>
      <c r="AA531" s="3070">
        <v>1436239</v>
      </c>
      <c r="AB531" s="3070">
        <v>0</v>
      </c>
      <c r="AC531" s="3070">
        <v>0</v>
      </c>
      <c r="AD531" s="3070">
        <v>0</v>
      </c>
      <c r="AE531" s="3070">
        <v>0</v>
      </c>
      <c r="AI531" s="3070" t="s">
        <v>3227</v>
      </c>
      <c r="AJ531" s="3070">
        <v>0</v>
      </c>
      <c r="AK531" s="3070">
        <v>0</v>
      </c>
      <c r="AL531" s="3070">
        <v>0</v>
      </c>
      <c r="AM531" s="3070">
        <v>11939.8</v>
      </c>
      <c r="AN531" s="3070">
        <v>1436239</v>
      </c>
      <c r="AP531" s="3070">
        <v>1436239</v>
      </c>
      <c r="AQ531" s="3072">
        <v>45138</v>
      </c>
      <c r="AT531" s="3073">
        <v>45678</v>
      </c>
      <c r="AV531" s="3074">
        <v>3.21E+17</v>
      </c>
      <c r="AW531" s="3070" t="s">
        <v>7593</v>
      </c>
      <c r="AX531" s="3070" t="s">
        <v>7594</v>
      </c>
      <c r="AY531" s="3070" t="s">
        <v>3981</v>
      </c>
      <c r="BC531" s="3070" t="s">
        <v>4145</v>
      </c>
      <c r="BD531" s="3070" t="s">
        <v>3075</v>
      </c>
      <c r="BI531" s="3070" t="s">
        <v>3235</v>
      </c>
      <c r="BL531" s="3070" t="s">
        <v>7595</v>
      </c>
      <c r="BM531" s="3075">
        <v>44348</v>
      </c>
      <c r="BN531" s="3070">
        <v>104</v>
      </c>
      <c r="BR531" s="3070">
        <v>21</v>
      </c>
      <c r="BS531" s="3070" t="s">
        <v>3238</v>
      </c>
      <c r="BZ531" s="3073">
        <v>44207.439583333333</v>
      </c>
      <c r="CA531" s="3070">
        <v>6</v>
      </c>
      <c r="CD531" s="3070" t="s">
        <v>3239</v>
      </c>
      <c r="CF531" s="3070" t="s">
        <v>3091</v>
      </c>
      <c r="CH531" s="3070" t="s">
        <v>3240</v>
      </c>
      <c r="CI531" s="3070">
        <v>0</v>
      </c>
      <c r="CK531" s="3070" t="s">
        <v>3985</v>
      </c>
      <c r="CL531" s="3070" t="s">
        <v>3986</v>
      </c>
      <c r="CM531" s="3070">
        <v>1317650.46</v>
      </c>
      <c r="CV531" s="3070" t="s">
        <v>3494</v>
      </c>
      <c r="CW531" s="3070" t="s">
        <v>7596</v>
      </c>
      <c r="CX531" s="3070" t="s">
        <v>3510</v>
      </c>
      <c r="CZ531" s="3070">
        <v>213894.57</v>
      </c>
      <c r="DA531" s="3070">
        <v>159426.93</v>
      </c>
      <c r="DB531" s="3070">
        <v>0</v>
      </c>
      <c r="DC531" s="3070">
        <v>0</v>
      </c>
      <c r="DD531" s="3070">
        <v>3290547602</v>
      </c>
      <c r="DE531" s="3070">
        <v>2764253109</v>
      </c>
      <c r="DF531" s="3070">
        <v>1464966739</v>
      </c>
      <c r="DG531" s="3070">
        <v>14938370</v>
      </c>
      <c r="DH531" s="3070">
        <v>1284348000</v>
      </c>
      <c r="DI531" s="3070">
        <v>1278128000</v>
      </c>
      <c r="DJ531" s="3070">
        <v>6220000</v>
      </c>
      <c r="DK531" s="3070">
        <v>0</v>
      </c>
      <c r="DL531" s="3070">
        <v>0</v>
      </c>
      <c r="DM531" s="3070">
        <v>25491817.620000001</v>
      </c>
      <c r="DN531" s="3070">
        <v>2764253109</v>
      </c>
      <c r="DP531" s="3070">
        <v>2764253109</v>
      </c>
    </row>
    <row r="532" spans="1:120">
      <c r="A532" s="3070">
        <v>531</v>
      </c>
      <c r="B532" s="3070" t="s">
        <v>3224</v>
      </c>
      <c r="C532" s="3070">
        <v>6</v>
      </c>
      <c r="E532" s="3070">
        <v>1201</v>
      </c>
      <c r="F532" s="3070" t="s">
        <v>7597</v>
      </c>
      <c r="G532" s="3070" t="s">
        <v>7598</v>
      </c>
      <c r="H532" s="3070">
        <v>1368316</v>
      </c>
      <c r="I532" s="3070">
        <v>1368316</v>
      </c>
      <c r="J532" s="3070">
        <v>108.94</v>
      </c>
      <c r="K532" s="3070">
        <v>80.209999999999994</v>
      </c>
      <c r="L532" s="3070">
        <v>0</v>
      </c>
      <c r="M532" s="3070">
        <v>0</v>
      </c>
      <c r="N532" s="3070">
        <v>15494.44</v>
      </c>
      <c r="O532" s="3070">
        <v>1687964</v>
      </c>
      <c r="P532" s="3070">
        <v>12560.27</v>
      </c>
      <c r="Q532" s="3070">
        <v>1368316</v>
      </c>
      <c r="R532" s="3070" t="s">
        <v>3227</v>
      </c>
      <c r="S532" s="3070" t="s">
        <v>7599</v>
      </c>
      <c r="T532" s="3070" t="s">
        <v>3246</v>
      </c>
      <c r="U532" s="3070" t="s">
        <v>3381</v>
      </c>
      <c r="V532" s="3070" t="s">
        <v>3230</v>
      </c>
      <c r="Y532" s="3070">
        <v>568316</v>
      </c>
      <c r="Z532" s="3070">
        <v>568316</v>
      </c>
      <c r="AA532" s="3070">
        <v>568316</v>
      </c>
      <c r="AB532" s="3070">
        <v>0</v>
      </c>
      <c r="AC532" s="3070">
        <v>800000</v>
      </c>
      <c r="AD532" s="3070">
        <v>800000</v>
      </c>
      <c r="AE532" s="3070">
        <v>0</v>
      </c>
      <c r="AI532" s="3070" t="s">
        <v>3227</v>
      </c>
      <c r="AJ532" s="3070">
        <v>0</v>
      </c>
      <c r="AK532" s="3070">
        <v>0</v>
      </c>
      <c r="AL532" s="3070">
        <v>0</v>
      </c>
      <c r="AM532" s="3070">
        <v>12560.27</v>
      </c>
      <c r="AN532" s="3070">
        <v>1368316</v>
      </c>
      <c r="AP532" s="3070">
        <v>1368316</v>
      </c>
      <c r="AQ532" s="3072">
        <v>45138</v>
      </c>
      <c r="AT532" s="3073">
        <v>45678</v>
      </c>
      <c r="AV532" s="3074">
        <v>3.42E+17</v>
      </c>
      <c r="AW532" s="3070" t="s">
        <v>7600</v>
      </c>
      <c r="AX532" s="3070" t="s">
        <v>7601</v>
      </c>
      <c r="AY532" s="3070" t="s">
        <v>3648</v>
      </c>
      <c r="BC532" s="3070" t="s">
        <v>3284</v>
      </c>
      <c r="BD532" s="3070" t="s">
        <v>3077</v>
      </c>
      <c r="BI532" s="3070" t="s">
        <v>3235</v>
      </c>
      <c r="BJ532" s="3070" t="s">
        <v>3682</v>
      </c>
      <c r="BL532" s="3070" t="s">
        <v>7602</v>
      </c>
      <c r="BM532" s="3075">
        <v>44348</v>
      </c>
      <c r="BN532" s="3070">
        <v>201</v>
      </c>
      <c r="BO532" s="3070" t="s">
        <v>3253</v>
      </c>
      <c r="BR532" s="3070">
        <v>224</v>
      </c>
      <c r="BS532" s="3070" t="s">
        <v>3238</v>
      </c>
      <c r="BZ532" s="3073">
        <v>44142.611111111109</v>
      </c>
      <c r="CA532" s="3070">
        <v>6</v>
      </c>
      <c r="CD532" s="3070" t="s">
        <v>3239</v>
      </c>
      <c r="CF532" s="3070" t="s">
        <v>3091</v>
      </c>
      <c r="CH532" s="3070" t="s">
        <v>3240</v>
      </c>
      <c r="CI532" s="3070">
        <v>0</v>
      </c>
      <c r="CK532" s="3070" t="s">
        <v>3648</v>
      </c>
      <c r="CL532" s="3070" t="s">
        <v>3648</v>
      </c>
      <c r="CM532" s="3070">
        <v>1255335.78</v>
      </c>
      <c r="CV532" s="3070" t="s">
        <v>3246</v>
      </c>
      <c r="CW532" s="3070" t="s">
        <v>7603</v>
      </c>
      <c r="CX532" s="3070" t="s">
        <v>3510</v>
      </c>
      <c r="CZ532" s="3070">
        <v>213894.57</v>
      </c>
      <c r="DA532" s="3070">
        <v>159426.93</v>
      </c>
      <c r="DB532" s="3070">
        <v>0</v>
      </c>
      <c r="DC532" s="3070">
        <v>0</v>
      </c>
      <c r="DD532" s="3070">
        <v>3290547602</v>
      </c>
      <c r="DE532" s="3070">
        <v>2764253109</v>
      </c>
      <c r="DF532" s="3070">
        <v>1464966739</v>
      </c>
      <c r="DG532" s="3070">
        <v>14938370</v>
      </c>
      <c r="DH532" s="3070">
        <v>1284348000</v>
      </c>
      <c r="DI532" s="3070">
        <v>1278128000</v>
      </c>
      <c r="DJ532" s="3070">
        <v>6220000</v>
      </c>
      <c r="DK532" s="3070">
        <v>0</v>
      </c>
      <c r="DL532" s="3070">
        <v>0</v>
      </c>
      <c r="DM532" s="3070">
        <v>25491817.620000001</v>
      </c>
      <c r="DN532" s="3070">
        <v>2764253109</v>
      </c>
      <c r="DP532" s="3070">
        <v>2764253109</v>
      </c>
    </row>
    <row r="533" spans="1:120">
      <c r="A533" s="3070">
        <v>532</v>
      </c>
      <c r="B533" s="3070" t="s">
        <v>3224</v>
      </c>
      <c r="C533" s="3070">
        <v>6</v>
      </c>
      <c r="E533" s="3070">
        <v>1202</v>
      </c>
      <c r="F533" s="3070" t="s">
        <v>7604</v>
      </c>
      <c r="G533" s="3070" t="s">
        <v>7605</v>
      </c>
      <c r="H533" s="3070">
        <v>1076187</v>
      </c>
      <c r="I533" s="3070">
        <v>1076187</v>
      </c>
      <c r="J533" s="3070">
        <v>84.72</v>
      </c>
      <c r="K533" s="3070">
        <v>62.38</v>
      </c>
      <c r="L533" s="3070">
        <v>0</v>
      </c>
      <c r="M533" s="3070">
        <v>0</v>
      </c>
      <c r="N533" s="3070">
        <v>15644.44</v>
      </c>
      <c r="O533" s="3070">
        <v>1325397</v>
      </c>
      <c r="P533" s="3070">
        <v>12702.87</v>
      </c>
      <c r="Q533" s="3070">
        <v>1076187</v>
      </c>
      <c r="R533" s="3070" t="s">
        <v>3227</v>
      </c>
      <c r="S533" s="3070" t="s">
        <v>7606</v>
      </c>
      <c r="T533" s="3070" t="s">
        <v>3246</v>
      </c>
      <c r="U533" s="3070" t="s">
        <v>3247</v>
      </c>
      <c r="V533" s="3070" t="s">
        <v>3230</v>
      </c>
      <c r="Y533" s="3070">
        <v>436187</v>
      </c>
      <c r="Z533" s="3070">
        <v>436187</v>
      </c>
      <c r="AA533" s="3070">
        <v>436187</v>
      </c>
      <c r="AB533" s="3070">
        <v>0</v>
      </c>
      <c r="AC533" s="3070">
        <v>640000</v>
      </c>
      <c r="AD533" s="3070">
        <v>640000</v>
      </c>
      <c r="AE533" s="3070">
        <v>0</v>
      </c>
      <c r="AI533" s="3070" t="s">
        <v>3227</v>
      </c>
      <c r="AJ533" s="3070">
        <v>0</v>
      </c>
      <c r="AK533" s="3070">
        <v>0</v>
      </c>
      <c r="AL533" s="3070">
        <v>0</v>
      </c>
      <c r="AM533" s="3070">
        <v>12702.87</v>
      </c>
      <c r="AN533" s="3070">
        <v>1076187</v>
      </c>
      <c r="AP533" s="3070">
        <v>1076187</v>
      </c>
      <c r="AQ533" s="3072">
        <v>45138</v>
      </c>
      <c r="AT533" s="3073">
        <v>45678</v>
      </c>
      <c r="AV533" s="3074">
        <v>3.21E+17</v>
      </c>
      <c r="AW533" s="3070" t="s">
        <v>7607</v>
      </c>
      <c r="AX533" s="3070" t="s">
        <v>7608</v>
      </c>
      <c r="AY533" s="3070" t="s">
        <v>3393</v>
      </c>
      <c r="BC533" s="3070" t="s">
        <v>3284</v>
      </c>
      <c r="BD533" s="3070" t="s">
        <v>3076</v>
      </c>
      <c r="BI533" s="3070" t="s">
        <v>3235</v>
      </c>
      <c r="BJ533" s="3070" t="s">
        <v>3682</v>
      </c>
      <c r="BL533" s="3070" t="s">
        <v>7609</v>
      </c>
      <c r="BM533" s="3075">
        <v>44348</v>
      </c>
      <c r="BN533" s="3070">
        <v>202</v>
      </c>
      <c r="BO533" s="3070" t="s">
        <v>3253</v>
      </c>
      <c r="BR533" s="3070">
        <v>774</v>
      </c>
      <c r="BS533" s="3070" t="s">
        <v>3238</v>
      </c>
      <c r="BZ533" s="3073">
        <v>44142.617361111108</v>
      </c>
      <c r="CA533" s="3070">
        <v>6</v>
      </c>
      <c r="CD533" s="3070" t="s">
        <v>3239</v>
      </c>
      <c r="CF533" s="3070" t="s">
        <v>3091</v>
      </c>
      <c r="CH533" s="3070" t="s">
        <v>3240</v>
      </c>
      <c r="CI533" s="3070">
        <v>0</v>
      </c>
      <c r="CK533" s="3070" t="s">
        <v>3393</v>
      </c>
      <c r="CL533" s="3070" t="s">
        <v>3393</v>
      </c>
      <c r="CM533" s="3070">
        <v>987327.52</v>
      </c>
      <c r="CV533" s="3070" t="s">
        <v>3246</v>
      </c>
      <c r="CW533" s="3070" t="s">
        <v>7610</v>
      </c>
      <c r="CX533" s="3070" t="s">
        <v>3267</v>
      </c>
      <c r="CZ533" s="3070">
        <v>213894.57</v>
      </c>
      <c r="DA533" s="3070">
        <v>159426.93</v>
      </c>
      <c r="DB533" s="3070">
        <v>0</v>
      </c>
      <c r="DC533" s="3070">
        <v>0</v>
      </c>
      <c r="DD533" s="3070">
        <v>3290547602</v>
      </c>
      <c r="DE533" s="3070">
        <v>2764253109</v>
      </c>
      <c r="DF533" s="3070">
        <v>1464966739</v>
      </c>
      <c r="DG533" s="3070">
        <v>14938370</v>
      </c>
      <c r="DH533" s="3070">
        <v>1284348000</v>
      </c>
      <c r="DI533" s="3070">
        <v>1278128000</v>
      </c>
      <c r="DJ533" s="3070">
        <v>6220000</v>
      </c>
      <c r="DK533" s="3070">
        <v>0</v>
      </c>
      <c r="DL533" s="3070">
        <v>0</v>
      </c>
      <c r="DM533" s="3070">
        <v>25491817.620000001</v>
      </c>
      <c r="DN533" s="3070">
        <v>2764253109</v>
      </c>
      <c r="DP533" s="3070">
        <v>2764253109</v>
      </c>
    </row>
    <row r="534" spans="1:120">
      <c r="A534" s="3070">
        <v>533</v>
      </c>
      <c r="B534" s="3070" t="s">
        <v>3224</v>
      </c>
      <c r="C534" s="3070">
        <v>6</v>
      </c>
      <c r="E534" s="3070">
        <v>1203</v>
      </c>
      <c r="F534" s="3070" t="s">
        <v>7611</v>
      </c>
      <c r="G534" s="3070" t="s">
        <v>7612</v>
      </c>
      <c r="H534" s="3070">
        <v>1076187</v>
      </c>
      <c r="I534" s="3070">
        <v>1076187</v>
      </c>
      <c r="J534" s="3070">
        <v>84.72</v>
      </c>
      <c r="K534" s="3070">
        <v>62.38</v>
      </c>
      <c r="L534" s="3070">
        <v>0</v>
      </c>
      <c r="M534" s="3070">
        <v>0</v>
      </c>
      <c r="N534" s="3070">
        <v>15644.44</v>
      </c>
      <c r="O534" s="3070">
        <v>1325397</v>
      </c>
      <c r="P534" s="3070">
        <v>12702.87</v>
      </c>
      <c r="Q534" s="3070">
        <v>1076187</v>
      </c>
      <c r="R534" s="3070" t="s">
        <v>3227</v>
      </c>
      <c r="S534" s="3070" t="s">
        <v>7613</v>
      </c>
      <c r="T534" s="3070" t="s">
        <v>3246</v>
      </c>
      <c r="U534" s="3070" t="s">
        <v>3467</v>
      </c>
      <c r="V534" s="3070" t="s">
        <v>3230</v>
      </c>
      <c r="Y534" s="3070">
        <v>326187</v>
      </c>
      <c r="Z534" s="3070">
        <v>326187</v>
      </c>
      <c r="AA534" s="3070">
        <v>326187</v>
      </c>
      <c r="AB534" s="3070">
        <v>0</v>
      </c>
      <c r="AC534" s="3070">
        <v>750000</v>
      </c>
      <c r="AD534" s="3070">
        <v>750000</v>
      </c>
      <c r="AE534" s="3070">
        <v>0</v>
      </c>
      <c r="AI534" s="3070" t="s">
        <v>3227</v>
      </c>
      <c r="AJ534" s="3070">
        <v>0</v>
      </c>
      <c r="AK534" s="3070">
        <v>0</v>
      </c>
      <c r="AL534" s="3070">
        <v>0</v>
      </c>
      <c r="AM534" s="3070">
        <v>12702.87</v>
      </c>
      <c r="AN534" s="3070">
        <v>1076187</v>
      </c>
      <c r="AP534" s="3070">
        <v>1076187</v>
      </c>
      <c r="AQ534" s="3072">
        <v>45138</v>
      </c>
      <c r="AT534" s="3073">
        <v>45678</v>
      </c>
      <c r="AV534" s="3070" t="s">
        <v>7614</v>
      </c>
      <c r="AW534" s="3070" t="s">
        <v>7615</v>
      </c>
      <c r="AX534" s="3070" t="s">
        <v>7616</v>
      </c>
      <c r="AY534" s="3070" t="s">
        <v>3429</v>
      </c>
      <c r="BC534" s="3070" t="s">
        <v>3284</v>
      </c>
      <c r="BD534" s="3070" t="s">
        <v>3076</v>
      </c>
      <c r="BI534" s="3070" t="s">
        <v>3235</v>
      </c>
      <c r="BJ534" s="3070" t="s">
        <v>3296</v>
      </c>
      <c r="BL534" s="3070" t="s">
        <v>7617</v>
      </c>
      <c r="BM534" s="3075">
        <v>44348</v>
      </c>
      <c r="BN534" s="3070">
        <v>203</v>
      </c>
      <c r="BO534" s="3070" t="s">
        <v>3253</v>
      </c>
      <c r="BR534" s="3070">
        <v>466</v>
      </c>
      <c r="BS534" s="3070" t="s">
        <v>3238</v>
      </c>
      <c r="BZ534" s="3073">
        <v>44142.63958333333</v>
      </c>
      <c r="CA534" s="3070">
        <v>6</v>
      </c>
      <c r="CD534" s="3070" t="s">
        <v>3239</v>
      </c>
      <c r="CF534" s="3070" t="s">
        <v>3091</v>
      </c>
      <c r="CH534" s="3070" t="s">
        <v>3240</v>
      </c>
      <c r="CI534" s="3070">
        <v>0</v>
      </c>
      <c r="CK534" s="3070" t="s">
        <v>3429</v>
      </c>
      <c r="CL534" s="3070" t="s">
        <v>3429</v>
      </c>
      <c r="CM534" s="3070">
        <v>987327.52</v>
      </c>
      <c r="CV534" s="3070" t="s">
        <v>3246</v>
      </c>
      <c r="CW534" s="3070" t="s">
        <v>7618</v>
      </c>
      <c r="CX534" s="3070" t="s">
        <v>3242</v>
      </c>
      <c r="CZ534" s="3070">
        <v>213894.57</v>
      </c>
      <c r="DA534" s="3070">
        <v>159426.93</v>
      </c>
      <c r="DB534" s="3070">
        <v>0</v>
      </c>
      <c r="DC534" s="3070">
        <v>0</v>
      </c>
      <c r="DD534" s="3070">
        <v>3290547602</v>
      </c>
      <c r="DE534" s="3070">
        <v>2764253109</v>
      </c>
      <c r="DF534" s="3070">
        <v>1464966739</v>
      </c>
      <c r="DG534" s="3070">
        <v>14938370</v>
      </c>
      <c r="DH534" s="3070">
        <v>1284348000</v>
      </c>
      <c r="DI534" s="3070">
        <v>1278128000</v>
      </c>
      <c r="DJ534" s="3070">
        <v>6220000</v>
      </c>
      <c r="DK534" s="3070">
        <v>0</v>
      </c>
      <c r="DL534" s="3070">
        <v>0</v>
      </c>
      <c r="DM534" s="3070">
        <v>25491817.620000001</v>
      </c>
      <c r="DN534" s="3070">
        <v>2764253109</v>
      </c>
      <c r="DP534" s="3070">
        <v>2764253109</v>
      </c>
    </row>
    <row r="535" spans="1:120">
      <c r="A535" s="3070">
        <v>534</v>
      </c>
      <c r="B535" s="3070" t="s">
        <v>3224</v>
      </c>
      <c r="C535" s="3070">
        <v>6</v>
      </c>
      <c r="E535" s="3070">
        <v>1204</v>
      </c>
      <c r="F535" s="3070" t="s">
        <v>7619</v>
      </c>
      <c r="G535" s="3070" t="s">
        <v>7620</v>
      </c>
      <c r="H535" s="3070">
        <v>1493723</v>
      </c>
      <c r="I535" s="3070">
        <v>1493723</v>
      </c>
      <c r="J535" s="3070">
        <v>120.29</v>
      </c>
      <c r="K535" s="3070">
        <v>88.57</v>
      </c>
      <c r="L535" s="3070">
        <v>0</v>
      </c>
      <c r="M535" s="3070">
        <v>0</v>
      </c>
      <c r="N535" s="3070">
        <v>15344.44</v>
      </c>
      <c r="O535" s="3070">
        <v>1845783</v>
      </c>
      <c r="P535" s="3070">
        <v>12417.68</v>
      </c>
      <c r="Q535" s="3070">
        <v>1493723</v>
      </c>
      <c r="R535" s="3070" t="s">
        <v>3227</v>
      </c>
      <c r="S535" s="3070" t="s">
        <v>7621</v>
      </c>
      <c r="T535" s="3070" t="s">
        <v>3246</v>
      </c>
      <c r="U535" s="3070" t="s">
        <v>3247</v>
      </c>
      <c r="V535" s="3070" t="s">
        <v>3230</v>
      </c>
      <c r="Y535" s="3070">
        <v>793723</v>
      </c>
      <c r="Z535" s="3070">
        <v>793723</v>
      </c>
      <c r="AA535" s="3070">
        <v>793723</v>
      </c>
      <c r="AB535" s="3070">
        <v>0</v>
      </c>
      <c r="AC535" s="3070">
        <v>700000</v>
      </c>
      <c r="AD535" s="3070">
        <v>700000</v>
      </c>
      <c r="AE535" s="3070">
        <v>0</v>
      </c>
      <c r="AI535" s="3070" t="s">
        <v>3227</v>
      </c>
      <c r="AJ535" s="3070">
        <v>0</v>
      </c>
      <c r="AK535" s="3070">
        <v>0</v>
      </c>
      <c r="AL535" s="3070">
        <v>0</v>
      </c>
      <c r="AM535" s="3070">
        <v>12417.68</v>
      </c>
      <c r="AN535" s="3070">
        <v>1493723</v>
      </c>
      <c r="AP535" s="3070">
        <v>1493723</v>
      </c>
      <c r="AQ535" s="3072">
        <v>45138</v>
      </c>
      <c r="AT535" s="3073">
        <v>45678</v>
      </c>
      <c r="AV535" s="3070" t="s">
        <v>7622</v>
      </c>
      <c r="AW535" s="3070" t="s">
        <v>7623</v>
      </c>
      <c r="AX535" s="3070" t="s">
        <v>7624</v>
      </c>
      <c r="AY535" s="3070" t="s">
        <v>3954</v>
      </c>
      <c r="BC535" s="3070" t="s">
        <v>3284</v>
      </c>
      <c r="BD535" s="3070" t="s">
        <v>3075</v>
      </c>
      <c r="BI535" s="3070" t="s">
        <v>3235</v>
      </c>
      <c r="BJ535" s="3070" t="s">
        <v>3338</v>
      </c>
      <c r="BL535" s="3070" t="s">
        <v>7625</v>
      </c>
      <c r="BM535" s="3075">
        <v>44348</v>
      </c>
      <c r="BN535" s="3070">
        <v>204</v>
      </c>
      <c r="BO535" s="3070" t="s">
        <v>3253</v>
      </c>
      <c r="BR535" s="3070">
        <v>499</v>
      </c>
      <c r="BS535" s="3070" t="s">
        <v>3238</v>
      </c>
      <c r="BZ535" s="3073">
        <v>44146.375</v>
      </c>
      <c r="CA535" s="3070">
        <v>6</v>
      </c>
      <c r="CD535" s="3070" t="s">
        <v>3239</v>
      </c>
      <c r="CF535" s="3070" t="s">
        <v>3091</v>
      </c>
      <c r="CH535" s="3070" t="s">
        <v>3240</v>
      </c>
      <c r="CI535" s="3070">
        <v>0</v>
      </c>
      <c r="CK535" s="3070" t="s">
        <v>3957</v>
      </c>
      <c r="CL535" s="3070" t="s">
        <v>3954</v>
      </c>
      <c r="CM535" s="3070">
        <v>1370388.07</v>
      </c>
      <c r="CV535" s="3070" t="s">
        <v>3246</v>
      </c>
      <c r="CW535" s="3070" t="s">
        <v>7626</v>
      </c>
      <c r="CZ535" s="3070">
        <v>213894.57</v>
      </c>
      <c r="DA535" s="3070">
        <v>159426.93</v>
      </c>
      <c r="DB535" s="3070">
        <v>0</v>
      </c>
      <c r="DC535" s="3070">
        <v>0</v>
      </c>
      <c r="DD535" s="3070">
        <v>3290547602</v>
      </c>
      <c r="DE535" s="3070">
        <v>2764253109</v>
      </c>
      <c r="DF535" s="3070">
        <v>1464966739</v>
      </c>
      <c r="DG535" s="3070">
        <v>14938370</v>
      </c>
      <c r="DH535" s="3070">
        <v>1284348000</v>
      </c>
      <c r="DI535" s="3070">
        <v>1278128000</v>
      </c>
      <c r="DJ535" s="3070">
        <v>6220000</v>
      </c>
      <c r="DK535" s="3070">
        <v>0</v>
      </c>
      <c r="DL535" s="3070">
        <v>0</v>
      </c>
      <c r="DM535" s="3070">
        <v>25491817.620000001</v>
      </c>
      <c r="DN535" s="3070">
        <v>2764253109</v>
      </c>
      <c r="DP535" s="3070">
        <v>2764253109</v>
      </c>
    </row>
    <row r="536" spans="1:120">
      <c r="A536" s="3070">
        <v>535</v>
      </c>
      <c r="B536" s="3070" t="s">
        <v>3224</v>
      </c>
      <c r="C536" s="3070">
        <v>6</v>
      </c>
      <c r="E536" s="3070">
        <v>1301</v>
      </c>
      <c r="F536" s="3070" t="s">
        <v>7627</v>
      </c>
      <c r="G536" s="3070" t="s">
        <v>7628</v>
      </c>
      <c r="H536" s="3070">
        <v>1444522</v>
      </c>
      <c r="I536" s="3070">
        <v>1444522</v>
      </c>
      <c r="J536" s="3070">
        <v>108.94</v>
      </c>
      <c r="K536" s="3070">
        <v>80.209999999999994</v>
      </c>
      <c r="L536" s="3070">
        <v>0</v>
      </c>
      <c r="M536" s="3070">
        <v>0</v>
      </c>
      <c r="N536" s="3070">
        <v>15494.44</v>
      </c>
      <c r="O536" s="3070">
        <v>1687964</v>
      </c>
      <c r="P536" s="3070">
        <v>13259.79</v>
      </c>
      <c r="Q536" s="3070">
        <v>1444522</v>
      </c>
      <c r="R536" s="3070" t="s">
        <v>3227</v>
      </c>
      <c r="S536" s="3070" t="s">
        <v>7629</v>
      </c>
      <c r="T536" s="3070" t="s">
        <v>3246</v>
      </c>
      <c r="U536" s="3070" t="s">
        <v>3247</v>
      </c>
      <c r="V536" s="3070" t="s">
        <v>3230</v>
      </c>
      <c r="Y536" s="3070">
        <v>444522</v>
      </c>
      <c r="Z536" s="3070">
        <v>144452</v>
      </c>
      <c r="AA536" s="3070">
        <v>444522</v>
      </c>
      <c r="AB536" s="3070">
        <v>0</v>
      </c>
      <c r="AC536" s="3070">
        <v>1000000</v>
      </c>
      <c r="AD536" s="3070">
        <v>1000000</v>
      </c>
      <c r="AE536" s="3070">
        <v>0</v>
      </c>
      <c r="AI536" s="3070" t="s">
        <v>3227</v>
      </c>
      <c r="AJ536" s="3070">
        <v>0</v>
      </c>
      <c r="AK536" s="3070">
        <v>0</v>
      </c>
      <c r="AL536" s="3070">
        <v>0</v>
      </c>
      <c r="AM536" s="3070">
        <v>13259.79</v>
      </c>
      <c r="AN536" s="3070">
        <v>1444522</v>
      </c>
      <c r="AP536" s="3070">
        <v>1444522</v>
      </c>
      <c r="AQ536" s="3072">
        <v>45138</v>
      </c>
      <c r="AT536" s="3073">
        <v>45678</v>
      </c>
      <c r="AV536" s="3070" t="s">
        <v>7630</v>
      </c>
      <c r="AW536" s="3070" t="s">
        <v>7631</v>
      </c>
      <c r="AX536" s="3070" t="s">
        <v>7632</v>
      </c>
      <c r="AY536" s="3070" t="s">
        <v>3233</v>
      </c>
      <c r="BC536" s="3070" t="s">
        <v>7633</v>
      </c>
      <c r="BD536" s="3070" t="s">
        <v>3077</v>
      </c>
      <c r="BI536" s="3070" t="s">
        <v>3235</v>
      </c>
      <c r="BJ536" s="3070" t="s">
        <v>3338</v>
      </c>
      <c r="BL536" s="3070" t="s">
        <v>7634</v>
      </c>
      <c r="BM536" s="3075">
        <v>44348</v>
      </c>
      <c r="BN536" s="3070">
        <v>301</v>
      </c>
      <c r="BO536" s="3070" t="s">
        <v>3253</v>
      </c>
      <c r="BR536" s="3070">
        <v>0</v>
      </c>
      <c r="BS536" s="3070" t="s">
        <v>3238</v>
      </c>
      <c r="BZ536" s="3073">
        <v>44159.369444444441</v>
      </c>
      <c r="CA536" s="3070">
        <v>6</v>
      </c>
      <c r="CD536" s="3070" t="s">
        <v>3239</v>
      </c>
      <c r="CF536" s="3070" t="s">
        <v>3091</v>
      </c>
      <c r="CH536" s="3070" t="s">
        <v>3240</v>
      </c>
      <c r="CI536" s="3070">
        <v>0</v>
      </c>
      <c r="CK536" s="3070" t="s">
        <v>3233</v>
      </c>
      <c r="CL536" s="3070" t="s">
        <v>3233</v>
      </c>
      <c r="CM536" s="3070">
        <v>1325249.54</v>
      </c>
      <c r="CV536" s="3070" t="s">
        <v>3246</v>
      </c>
      <c r="CW536" s="3070" t="s">
        <v>7635</v>
      </c>
      <c r="CZ536" s="3070">
        <v>213894.57</v>
      </c>
      <c r="DA536" s="3070">
        <v>159426.93</v>
      </c>
      <c r="DB536" s="3070">
        <v>0</v>
      </c>
      <c r="DC536" s="3070">
        <v>0</v>
      </c>
      <c r="DD536" s="3070">
        <v>3290547602</v>
      </c>
      <c r="DE536" s="3070">
        <v>2764253109</v>
      </c>
      <c r="DF536" s="3070">
        <v>1464966739</v>
      </c>
      <c r="DG536" s="3070">
        <v>14938370</v>
      </c>
      <c r="DH536" s="3070">
        <v>1284348000</v>
      </c>
      <c r="DI536" s="3070">
        <v>1278128000</v>
      </c>
      <c r="DJ536" s="3070">
        <v>6220000</v>
      </c>
      <c r="DK536" s="3070">
        <v>0</v>
      </c>
      <c r="DL536" s="3070">
        <v>0</v>
      </c>
      <c r="DM536" s="3070">
        <v>25491817.620000001</v>
      </c>
      <c r="DN536" s="3070">
        <v>2764253109</v>
      </c>
      <c r="DP536" s="3070">
        <v>2764253109</v>
      </c>
    </row>
    <row r="537" spans="1:120">
      <c r="A537" s="3070">
        <v>536</v>
      </c>
      <c r="B537" s="3070" t="s">
        <v>3224</v>
      </c>
      <c r="C537" s="3070">
        <v>6</v>
      </c>
      <c r="E537" s="3070">
        <v>1302</v>
      </c>
      <c r="F537" s="3070" t="s">
        <v>7636</v>
      </c>
      <c r="G537" s="3070" t="s">
        <v>7637</v>
      </c>
      <c r="H537" s="3070">
        <v>1101699</v>
      </c>
      <c r="I537" s="3070">
        <v>1101699</v>
      </c>
      <c r="J537" s="3070">
        <v>84.72</v>
      </c>
      <c r="K537" s="3070">
        <v>62.38</v>
      </c>
      <c r="L537" s="3070">
        <v>0</v>
      </c>
      <c r="M537" s="3070">
        <v>0</v>
      </c>
      <c r="N537" s="3070">
        <v>15644.44</v>
      </c>
      <c r="O537" s="3070">
        <v>1325397</v>
      </c>
      <c r="P537" s="3070">
        <v>13004</v>
      </c>
      <c r="Q537" s="3070">
        <v>1101699</v>
      </c>
      <c r="R537" s="3070" t="s">
        <v>3227</v>
      </c>
      <c r="S537" s="3070" t="s">
        <v>7638</v>
      </c>
      <c r="T537" s="3070" t="s">
        <v>3494</v>
      </c>
      <c r="V537" s="3070" t="s">
        <v>3230</v>
      </c>
      <c r="Y537" s="3070">
        <v>110170</v>
      </c>
      <c r="Z537" s="3070">
        <v>110170</v>
      </c>
      <c r="AA537" s="3070">
        <v>1101699</v>
      </c>
      <c r="AB537" s="3070">
        <v>0</v>
      </c>
      <c r="AC537" s="3070">
        <v>0</v>
      </c>
      <c r="AD537" s="3070">
        <v>0</v>
      </c>
      <c r="AE537" s="3070">
        <v>0</v>
      </c>
      <c r="AI537" s="3070" t="s">
        <v>3227</v>
      </c>
      <c r="AJ537" s="3070">
        <v>0</v>
      </c>
      <c r="AK537" s="3070">
        <v>0</v>
      </c>
      <c r="AL537" s="3070">
        <v>0</v>
      </c>
      <c r="AM537" s="3070">
        <v>13004</v>
      </c>
      <c r="AN537" s="3070">
        <v>1101699</v>
      </c>
      <c r="AP537" s="3070">
        <v>1101699</v>
      </c>
      <c r="AQ537" s="3072">
        <v>45138</v>
      </c>
      <c r="AT537" s="3073">
        <v>45678</v>
      </c>
      <c r="AV537" s="3074">
        <v>3.21E+17</v>
      </c>
      <c r="AW537" s="3070" t="s">
        <v>7639</v>
      </c>
      <c r="AX537" s="3070" t="s">
        <v>7640</v>
      </c>
      <c r="AY537" s="3070" t="s">
        <v>4618</v>
      </c>
      <c r="BA537" s="3070" t="s">
        <v>4618</v>
      </c>
      <c r="BC537" s="3070" t="s">
        <v>7641</v>
      </c>
      <c r="BD537" s="3070" t="s">
        <v>3076</v>
      </c>
      <c r="BI537" s="3070" t="s">
        <v>3235</v>
      </c>
      <c r="BL537" s="3070" t="s">
        <v>7642</v>
      </c>
      <c r="BM537" s="3075">
        <v>44348</v>
      </c>
      <c r="BN537" s="3070">
        <v>302</v>
      </c>
      <c r="BR537" s="3070">
        <v>0</v>
      </c>
      <c r="BS537" s="3070" t="s">
        <v>3238</v>
      </c>
      <c r="BU537" s="3070" t="s">
        <v>4618</v>
      </c>
      <c r="BV537" s="3070" t="s">
        <v>7643</v>
      </c>
      <c r="BZ537" s="3073">
        <v>44175.586805555555</v>
      </c>
      <c r="CA537" s="3070">
        <v>6</v>
      </c>
      <c r="CD537" s="3070" t="s">
        <v>3239</v>
      </c>
      <c r="CF537" s="3070" t="s">
        <v>3091</v>
      </c>
      <c r="CH537" s="3070" t="s">
        <v>3240</v>
      </c>
      <c r="CI537" s="3070">
        <v>0</v>
      </c>
      <c r="CK537" s="3070" t="s">
        <v>4618</v>
      </c>
      <c r="CL537" s="3070" t="s">
        <v>4618</v>
      </c>
      <c r="CM537" s="3070">
        <v>1010733.03</v>
      </c>
      <c r="CV537" s="3070" t="s">
        <v>3494</v>
      </c>
      <c r="CW537" s="3070" t="s">
        <v>7644</v>
      </c>
      <c r="CX537" s="3070" t="s">
        <v>3510</v>
      </c>
      <c r="CZ537" s="3070">
        <v>213894.57</v>
      </c>
      <c r="DA537" s="3070">
        <v>159426.93</v>
      </c>
      <c r="DB537" s="3070">
        <v>0</v>
      </c>
      <c r="DC537" s="3070">
        <v>0</v>
      </c>
      <c r="DD537" s="3070">
        <v>3290547602</v>
      </c>
      <c r="DE537" s="3070">
        <v>2764253109</v>
      </c>
      <c r="DF537" s="3070">
        <v>1464966739</v>
      </c>
      <c r="DG537" s="3070">
        <v>14938370</v>
      </c>
      <c r="DH537" s="3070">
        <v>1284348000</v>
      </c>
      <c r="DI537" s="3070">
        <v>1278128000</v>
      </c>
      <c r="DJ537" s="3070">
        <v>6220000</v>
      </c>
      <c r="DK537" s="3070">
        <v>0</v>
      </c>
      <c r="DL537" s="3070">
        <v>0</v>
      </c>
      <c r="DM537" s="3070">
        <v>25491817.620000001</v>
      </c>
      <c r="DN537" s="3070">
        <v>2764253109</v>
      </c>
      <c r="DP537" s="3070">
        <v>2764253109</v>
      </c>
    </row>
    <row r="538" spans="1:120">
      <c r="A538" s="3070">
        <v>537</v>
      </c>
      <c r="B538" s="3070" t="s">
        <v>3224</v>
      </c>
      <c r="C538" s="3070">
        <v>6</v>
      </c>
      <c r="E538" s="3070">
        <v>1303</v>
      </c>
      <c r="F538" s="3070" t="s">
        <v>7645</v>
      </c>
      <c r="G538" s="3070" t="s">
        <v>7646</v>
      </c>
      <c r="H538" s="3070">
        <v>1076187</v>
      </c>
      <c r="I538" s="3070">
        <v>1076187</v>
      </c>
      <c r="J538" s="3070">
        <v>84.72</v>
      </c>
      <c r="K538" s="3070">
        <v>62.38</v>
      </c>
      <c r="L538" s="3070">
        <v>0</v>
      </c>
      <c r="M538" s="3070">
        <v>0</v>
      </c>
      <c r="N538" s="3070">
        <v>15644.44</v>
      </c>
      <c r="O538" s="3070">
        <v>1325397</v>
      </c>
      <c r="P538" s="3070">
        <v>12702.87</v>
      </c>
      <c r="Q538" s="3070">
        <v>1076187</v>
      </c>
      <c r="R538" s="3070" t="s">
        <v>3227</v>
      </c>
      <c r="S538" s="3070" t="s">
        <v>7647</v>
      </c>
      <c r="T538" s="3070" t="s">
        <v>3258</v>
      </c>
      <c r="U538" s="3070" t="s">
        <v>3259</v>
      </c>
      <c r="V538" s="3070" t="s">
        <v>3230</v>
      </c>
      <c r="Y538" s="3070">
        <v>326187</v>
      </c>
      <c r="Z538" s="3070">
        <v>326187</v>
      </c>
      <c r="AA538" s="3070">
        <v>326187</v>
      </c>
      <c r="AB538" s="3070">
        <v>0</v>
      </c>
      <c r="AC538" s="3070">
        <v>750000</v>
      </c>
      <c r="AD538" s="3070">
        <v>750000</v>
      </c>
      <c r="AE538" s="3070">
        <v>0</v>
      </c>
      <c r="AI538" s="3070" t="s">
        <v>3227</v>
      </c>
      <c r="AJ538" s="3070">
        <v>0</v>
      </c>
      <c r="AK538" s="3070">
        <v>0</v>
      </c>
      <c r="AL538" s="3070">
        <v>0</v>
      </c>
      <c r="AM538" s="3070">
        <v>12702.87</v>
      </c>
      <c r="AN538" s="3070">
        <v>1076187</v>
      </c>
      <c r="AP538" s="3070">
        <v>1076187</v>
      </c>
      <c r="AQ538" s="3072">
        <v>45138</v>
      </c>
      <c r="AT538" s="3073">
        <v>45678</v>
      </c>
      <c r="AV538" s="3070" t="s">
        <v>7648</v>
      </c>
      <c r="AW538" s="3070" t="s">
        <v>7649</v>
      </c>
      <c r="AX538" s="3070" t="s">
        <v>7650</v>
      </c>
      <c r="AY538" s="3070" t="s">
        <v>3294</v>
      </c>
      <c r="BC538" s="3070" t="s">
        <v>3263</v>
      </c>
      <c r="BD538" s="3070" t="s">
        <v>3076</v>
      </c>
      <c r="BI538" s="3070" t="s">
        <v>3235</v>
      </c>
      <c r="BJ538" s="3070" t="s">
        <v>3296</v>
      </c>
      <c r="BL538" s="3070" t="s">
        <v>7651</v>
      </c>
      <c r="BM538" s="3075">
        <v>44348</v>
      </c>
      <c r="BN538" s="3070">
        <v>303</v>
      </c>
      <c r="BO538" s="3070" t="s">
        <v>3253</v>
      </c>
      <c r="BP538" s="3070" t="s">
        <v>3253</v>
      </c>
      <c r="BR538" s="3070">
        <v>493</v>
      </c>
      <c r="BS538" s="3070" t="s">
        <v>3238</v>
      </c>
      <c r="BZ538" s="3073">
        <v>44147.796527777777</v>
      </c>
      <c r="CA538" s="3070">
        <v>6</v>
      </c>
      <c r="CD538" s="3070" t="s">
        <v>3239</v>
      </c>
      <c r="CF538" s="3070" t="s">
        <v>3091</v>
      </c>
      <c r="CH538" s="3070" t="s">
        <v>3240</v>
      </c>
      <c r="CI538" s="3070">
        <v>0</v>
      </c>
      <c r="CJ538" s="3070" t="s">
        <v>3259</v>
      </c>
      <c r="CK538" s="3070" t="s">
        <v>3294</v>
      </c>
      <c r="CL538" s="3070" t="s">
        <v>3294</v>
      </c>
      <c r="CM538" s="3070">
        <v>987327.52</v>
      </c>
      <c r="CV538" s="3070" t="s">
        <v>3258</v>
      </c>
      <c r="CW538" s="3070" t="s">
        <v>7652</v>
      </c>
      <c r="CZ538" s="3070">
        <v>213894.57</v>
      </c>
      <c r="DA538" s="3070">
        <v>159426.93</v>
      </c>
      <c r="DB538" s="3070">
        <v>0</v>
      </c>
      <c r="DC538" s="3070">
        <v>0</v>
      </c>
      <c r="DD538" s="3070">
        <v>3290547602</v>
      </c>
      <c r="DE538" s="3070">
        <v>2764253109</v>
      </c>
      <c r="DF538" s="3070">
        <v>1464966739</v>
      </c>
      <c r="DG538" s="3070">
        <v>14938370</v>
      </c>
      <c r="DH538" s="3070">
        <v>1284348000</v>
      </c>
      <c r="DI538" s="3070">
        <v>1278128000</v>
      </c>
      <c r="DJ538" s="3070">
        <v>6220000</v>
      </c>
      <c r="DK538" s="3070">
        <v>0</v>
      </c>
      <c r="DL538" s="3070">
        <v>0</v>
      </c>
      <c r="DM538" s="3070">
        <v>25491817.620000001</v>
      </c>
      <c r="DN538" s="3070">
        <v>2764253109</v>
      </c>
      <c r="DP538" s="3070">
        <v>2764253109</v>
      </c>
    </row>
    <row r="539" spans="1:120">
      <c r="A539" s="3070">
        <v>538</v>
      </c>
      <c r="B539" s="3070" t="s">
        <v>3224</v>
      </c>
      <c r="C539" s="3070">
        <v>6</v>
      </c>
      <c r="E539" s="3070">
        <v>1304</v>
      </c>
      <c r="F539" s="3070" t="s">
        <v>7653</v>
      </c>
      <c r="G539" s="3070" t="s">
        <v>7654</v>
      </c>
      <c r="H539" s="3070">
        <v>1601205</v>
      </c>
      <c r="I539" s="3070">
        <v>1601205</v>
      </c>
      <c r="J539" s="3070">
        <v>120.29</v>
      </c>
      <c r="K539" s="3070">
        <v>88.57</v>
      </c>
      <c r="L539" s="3070">
        <v>0</v>
      </c>
      <c r="M539" s="3070">
        <v>0</v>
      </c>
      <c r="N539" s="3070">
        <v>15344.44</v>
      </c>
      <c r="O539" s="3070">
        <v>1845783</v>
      </c>
      <c r="P539" s="3070">
        <v>13311.21</v>
      </c>
      <c r="Q539" s="3070">
        <v>1601205</v>
      </c>
      <c r="R539" s="3070" t="s">
        <v>3227</v>
      </c>
      <c r="S539" s="3070" t="s">
        <v>7655</v>
      </c>
      <c r="T539" s="3070" t="s">
        <v>4061</v>
      </c>
      <c r="V539" s="3070" t="s">
        <v>3230</v>
      </c>
      <c r="Y539" s="3070">
        <v>160121</v>
      </c>
      <c r="Z539" s="3070">
        <v>160121</v>
      </c>
      <c r="AA539" s="3070">
        <v>1601205</v>
      </c>
      <c r="AB539" s="3070">
        <v>0</v>
      </c>
      <c r="AC539" s="3070">
        <v>0</v>
      </c>
      <c r="AD539" s="3070">
        <v>0</v>
      </c>
      <c r="AE539" s="3070">
        <v>0</v>
      </c>
      <c r="AI539" s="3070" t="s">
        <v>3227</v>
      </c>
      <c r="AJ539" s="3070">
        <v>0</v>
      </c>
      <c r="AK539" s="3070">
        <v>0</v>
      </c>
      <c r="AL539" s="3070">
        <v>0</v>
      </c>
      <c r="AM539" s="3070">
        <v>13311.21</v>
      </c>
      <c r="AN539" s="3070">
        <v>1601205</v>
      </c>
      <c r="AP539" s="3070">
        <v>1601205</v>
      </c>
      <c r="AQ539" s="3072">
        <v>45138</v>
      </c>
      <c r="AT539" s="3073">
        <v>45678</v>
      </c>
      <c r="AV539" s="3070" t="s">
        <v>7656</v>
      </c>
      <c r="AW539" s="3070" t="s">
        <v>7657</v>
      </c>
      <c r="AX539" s="3070" t="s">
        <v>7658</v>
      </c>
      <c r="AY539" s="3070" t="s">
        <v>3883</v>
      </c>
      <c r="BC539" s="3070" t="s">
        <v>7659</v>
      </c>
      <c r="BD539" s="3070" t="s">
        <v>3075</v>
      </c>
      <c r="BI539" s="3070" t="s">
        <v>3235</v>
      </c>
      <c r="BJ539" s="3070" t="s">
        <v>3296</v>
      </c>
      <c r="BL539" s="3070" t="s">
        <v>7660</v>
      </c>
      <c r="BM539" s="3075">
        <v>44348</v>
      </c>
      <c r="BN539" s="3070">
        <v>304</v>
      </c>
      <c r="BR539" s="3070">
        <v>0</v>
      </c>
      <c r="BS539" s="3070" t="s">
        <v>3238</v>
      </c>
      <c r="BV539" s="3070" t="s">
        <v>7661</v>
      </c>
      <c r="BW539" s="3070" t="s">
        <v>7662</v>
      </c>
      <c r="BX539" s="3070" t="s">
        <v>7663</v>
      </c>
      <c r="BZ539" s="3073">
        <v>44265.684027777781</v>
      </c>
      <c r="CA539" s="3070">
        <v>6</v>
      </c>
      <c r="CD539" s="3070" t="s">
        <v>3239</v>
      </c>
      <c r="CF539" s="3070" t="s">
        <v>3091</v>
      </c>
      <c r="CH539" s="3070" t="s">
        <v>3240</v>
      </c>
      <c r="CI539" s="3070">
        <v>0</v>
      </c>
      <c r="CK539" s="3070" t="s">
        <v>4100</v>
      </c>
      <c r="CL539" s="3070" t="s">
        <v>3883</v>
      </c>
      <c r="CM539" s="3070">
        <v>1468995.41</v>
      </c>
      <c r="CV539" s="3070" t="s">
        <v>3494</v>
      </c>
      <c r="CW539" s="3070" t="s">
        <v>7664</v>
      </c>
      <c r="CX539" s="3070" t="s">
        <v>3267</v>
      </c>
      <c r="CZ539" s="3070">
        <v>213894.57</v>
      </c>
      <c r="DA539" s="3070">
        <v>159426.93</v>
      </c>
      <c r="DB539" s="3070">
        <v>0</v>
      </c>
      <c r="DC539" s="3070">
        <v>0</v>
      </c>
      <c r="DD539" s="3070">
        <v>3290547602</v>
      </c>
      <c r="DE539" s="3070">
        <v>2764253109</v>
      </c>
      <c r="DF539" s="3070">
        <v>1464966739</v>
      </c>
      <c r="DG539" s="3070">
        <v>14938370</v>
      </c>
      <c r="DH539" s="3070">
        <v>1284348000</v>
      </c>
      <c r="DI539" s="3070">
        <v>1278128000</v>
      </c>
      <c r="DJ539" s="3070">
        <v>6220000</v>
      </c>
      <c r="DK539" s="3070">
        <v>0</v>
      </c>
      <c r="DL539" s="3070">
        <v>0</v>
      </c>
      <c r="DM539" s="3070">
        <v>25491817.620000001</v>
      </c>
      <c r="DN539" s="3070">
        <v>2764253109</v>
      </c>
      <c r="DP539" s="3070">
        <v>2764253109</v>
      </c>
    </row>
    <row r="540" spans="1:120">
      <c r="A540" s="3070">
        <v>539</v>
      </c>
      <c r="B540" s="3070" t="s">
        <v>3224</v>
      </c>
      <c r="C540" s="3070">
        <v>6</v>
      </c>
      <c r="E540" s="3070">
        <v>1401</v>
      </c>
      <c r="F540" s="3070" t="s">
        <v>7665</v>
      </c>
      <c r="G540" s="3070" t="s">
        <v>7666</v>
      </c>
      <c r="H540" s="3070">
        <v>1357961</v>
      </c>
      <c r="I540" s="3070">
        <v>1357961</v>
      </c>
      <c r="J540" s="3070">
        <v>108.94</v>
      </c>
      <c r="K540" s="3070">
        <v>80.209999999999994</v>
      </c>
      <c r="L540" s="3070">
        <v>0</v>
      </c>
      <c r="M540" s="3070">
        <v>0</v>
      </c>
      <c r="N540" s="3070">
        <v>15394.44</v>
      </c>
      <c r="O540" s="3070">
        <v>1677070</v>
      </c>
      <c r="P540" s="3070">
        <v>12465.22</v>
      </c>
      <c r="Q540" s="3070">
        <v>1357961</v>
      </c>
      <c r="R540" s="3070" t="s">
        <v>3227</v>
      </c>
      <c r="S540" s="3070" t="s">
        <v>7667</v>
      </c>
      <c r="T540" s="3070" t="s">
        <v>3246</v>
      </c>
      <c r="U540" s="3070" t="s">
        <v>3371</v>
      </c>
      <c r="V540" s="3070" t="s">
        <v>3230</v>
      </c>
      <c r="Y540" s="3070">
        <v>657961</v>
      </c>
      <c r="Z540" s="3070">
        <v>657961</v>
      </c>
      <c r="AA540" s="3070">
        <v>657961</v>
      </c>
      <c r="AB540" s="3070">
        <v>0</v>
      </c>
      <c r="AC540" s="3070">
        <v>700000</v>
      </c>
      <c r="AD540" s="3070">
        <v>700000</v>
      </c>
      <c r="AE540" s="3070">
        <v>0</v>
      </c>
      <c r="AI540" s="3070" t="s">
        <v>3227</v>
      </c>
      <c r="AJ540" s="3070">
        <v>0</v>
      </c>
      <c r="AK540" s="3070">
        <v>0</v>
      </c>
      <c r="AL540" s="3070">
        <v>0</v>
      </c>
      <c r="AM540" s="3070">
        <v>12465.22</v>
      </c>
      <c r="AN540" s="3070">
        <v>1357961</v>
      </c>
      <c r="AP540" s="3070">
        <v>1357961</v>
      </c>
      <c r="AQ540" s="3072">
        <v>45138</v>
      </c>
      <c r="AT540" s="3073">
        <v>45678</v>
      </c>
      <c r="AV540" s="3070" t="s">
        <v>7668</v>
      </c>
      <c r="AW540" s="3070" t="s">
        <v>7669</v>
      </c>
      <c r="AX540" s="3070" t="s">
        <v>7670</v>
      </c>
      <c r="AY540" s="3070" t="s">
        <v>3656</v>
      </c>
      <c r="BA540" s="3070" t="s">
        <v>3656</v>
      </c>
      <c r="BC540" s="3070" t="s">
        <v>3284</v>
      </c>
      <c r="BD540" s="3070" t="s">
        <v>3077</v>
      </c>
      <c r="BI540" s="3070" t="s">
        <v>3235</v>
      </c>
      <c r="BL540" s="3070" t="s">
        <v>7671</v>
      </c>
      <c r="BM540" s="3075">
        <v>44348</v>
      </c>
      <c r="BN540" s="3070">
        <v>401</v>
      </c>
      <c r="BO540" s="3070" t="s">
        <v>3253</v>
      </c>
      <c r="BR540" s="3070">
        <v>497</v>
      </c>
      <c r="BS540" s="3070" t="s">
        <v>3238</v>
      </c>
      <c r="BU540" s="3070" t="s">
        <v>3656</v>
      </c>
      <c r="BZ540" s="3073">
        <v>44142.863888888889</v>
      </c>
      <c r="CA540" s="3070">
        <v>6</v>
      </c>
      <c r="CD540" s="3070" t="s">
        <v>3239</v>
      </c>
      <c r="CF540" s="3070" t="s">
        <v>3091</v>
      </c>
      <c r="CH540" s="3070" t="s">
        <v>3240</v>
      </c>
      <c r="CI540" s="3070">
        <v>0</v>
      </c>
      <c r="CK540" s="3070" t="s">
        <v>3656</v>
      </c>
      <c r="CL540" s="3070" t="s">
        <v>3656</v>
      </c>
      <c r="CM540" s="3070">
        <v>1245835.78</v>
      </c>
      <c r="CV540" s="3070" t="s">
        <v>3246</v>
      </c>
      <c r="CW540" s="3070" t="s">
        <v>7672</v>
      </c>
      <c r="CZ540" s="3070">
        <v>213894.57</v>
      </c>
      <c r="DA540" s="3070">
        <v>159426.93</v>
      </c>
      <c r="DB540" s="3070">
        <v>0</v>
      </c>
      <c r="DC540" s="3070">
        <v>0</v>
      </c>
      <c r="DD540" s="3070">
        <v>3290547602</v>
      </c>
      <c r="DE540" s="3070">
        <v>2764253109</v>
      </c>
      <c r="DF540" s="3070">
        <v>1464966739</v>
      </c>
      <c r="DG540" s="3070">
        <v>14938370</v>
      </c>
      <c r="DH540" s="3070">
        <v>1284348000</v>
      </c>
      <c r="DI540" s="3070">
        <v>1278128000</v>
      </c>
      <c r="DJ540" s="3070">
        <v>6220000</v>
      </c>
      <c r="DK540" s="3070">
        <v>0</v>
      </c>
      <c r="DL540" s="3070">
        <v>0</v>
      </c>
      <c r="DM540" s="3070">
        <v>25491817.620000001</v>
      </c>
      <c r="DN540" s="3070">
        <v>2764253109</v>
      </c>
      <c r="DP540" s="3070">
        <v>2764253109</v>
      </c>
    </row>
    <row r="541" spans="1:120">
      <c r="A541" s="3070">
        <v>540</v>
      </c>
      <c r="B541" s="3070" t="s">
        <v>3224</v>
      </c>
      <c r="C541" s="3070">
        <v>6</v>
      </c>
      <c r="E541" s="3070">
        <v>1402</v>
      </c>
      <c r="F541" s="3070" t="s">
        <v>7673</v>
      </c>
      <c r="G541" s="3070" t="s">
        <v>7674</v>
      </c>
      <c r="H541" s="3070">
        <v>1057452</v>
      </c>
      <c r="I541" s="3070">
        <v>1057452</v>
      </c>
      <c r="J541" s="3070">
        <v>84.72</v>
      </c>
      <c r="K541" s="3070">
        <v>62.38</v>
      </c>
      <c r="L541" s="3070">
        <v>0</v>
      </c>
      <c r="M541" s="3070">
        <v>0</v>
      </c>
      <c r="N541" s="3070">
        <v>15544.44</v>
      </c>
      <c r="O541" s="3070">
        <v>1316925</v>
      </c>
      <c r="P541" s="3070">
        <v>12481.73</v>
      </c>
      <c r="Q541" s="3070">
        <v>1057452</v>
      </c>
      <c r="R541" s="3070" t="s">
        <v>3227</v>
      </c>
      <c r="S541" s="3070" t="s">
        <v>7675</v>
      </c>
      <c r="T541" s="3070" t="s">
        <v>3229</v>
      </c>
      <c r="V541" s="3070" t="s">
        <v>3230</v>
      </c>
      <c r="Y541" s="3070">
        <v>317236</v>
      </c>
      <c r="Z541" s="3070">
        <v>317236</v>
      </c>
      <c r="AA541" s="3070">
        <v>1057452</v>
      </c>
      <c r="AB541" s="3070">
        <v>0</v>
      </c>
      <c r="AC541" s="3070">
        <v>0</v>
      </c>
      <c r="AD541" s="3070">
        <v>0</v>
      </c>
      <c r="AE541" s="3070">
        <v>0</v>
      </c>
      <c r="AI541" s="3070" t="s">
        <v>3227</v>
      </c>
      <c r="AJ541" s="3070">
        <v>0</v>
      </c>
      <c r="AK541" s="3070">
        <v>0</v>
      </c>
      <c r="AL541" s="3070">
        <v>0</v>
      </c>
      <c r="AM541" s="3070">
        <v>12481.73</v>
      </c>
      <c r="AN541" s="3070">
        <v>1057452</v>
      </c>
      <c r="AP541" s="3070">
        <v>1057452</v>
      </c>
      <c r="AQ541" s="3072">
        <v>45138</v>
      </c>
      <c r="AT541" s="3073">
        <v>45678</v>
      </c>
      <c r="AV541" s="3074">
        <v>6.3E+17</v>
      </c>
      <c r="AW541" s="3070" t="s">
        <v>7676</v>
      </c>
      <c r="AX541" s="3070" t="s">
        <v>7677</v>
      </c>
      <c r="AY541" s="3070" t="s">
        <v>3250</v>
      </c>
      <c r="BC541" s="3070" t="s">
        <v>3347</v>
      </c>
      <c r="BD541" s="3070" t="s">
        <v>3076</v>
      </c>
      <c r="BI541" s="3070" t="s">
        <v>3235</v>
      </c>
      <c r="BJ541" s="3070" t="s">
        <v>3338</v>
      </c>
      <c r="BL541" s="3070" t="s">
        <v>7678</v>
      </c>
      <c r="BM541" s="3075">
        <v>44348</v>
      </c>
      <c r="BN541" s="3070">
        <v>402</v>
      </c>
      <c r="BR541" s="3070">
        <v>152</v>
      </c>
      <c r="BS541" s="3070" t="s">
        <v>3238</v>
      </c>
      <c r="BZ541" s="3073">
        <v>44142.628472222219</v>
      </c>
      <c r="CA541" s="3070">
        <v>6</v>
      </c>
      <c r="CD541" s="3070" t="s">
        <v>3239</v>
      </c>
      <c r="CF541" s="3070" t="s">
        <v>3091</v>
      </c>
      <c r="CH541" s="3070" t="s">
        <v>3240</v>
      </c>
      <c r="CI541" s="3070">
        <v>0</v>
      </c>
      <c r="CK541" s="3070" t="s">
        <v>3250</v>
      </c>
      <c r="CL541" s="3070" t="s">
        <v>3250</v>
      </c>
      <c r="CM541" s="3070">
        <v>970139.45</v>
      </c>
      <c r="CV541" s="3070" t="s">
        <v>3229</v>
      </c>
      <c r="CW541" s="3070" t="s">
        <v>7679</v>
      </c>
      <c r="CZ541" s="3070">
        <v>213894.57</v>
      </c>
      <c r="DA541" s="3070">
        <v>159426.93</v>
      </c>
      <c r="DB541" s="3070">
        <v>0</v>
      </c>
      <c r="DC541" s="3070">
        <v>0</v>
      </c>
      <c r="DD541" s="3070">
        <v>3290547602</v>
      </c>
      <c r="DE541" s="3070">
        <v>2764253109</v>
      </c>
      <c r="DF541" s="3070">
        <v>1464966739</v>
      </c>
      <c r="DG541" s="3070">
        <v>14938370</v>
      </c>
      <c r="DH541" s="3070">
        <v>1284348000</v>
      </c>
      <c r="DI541" s="3070">
        <v>1278128000</v>
      </c>
      <c r="DJ541" s="3070">
        <v>6220000</v>
      </c>
      <c r="DK541" s="3070">
        <v>0</v>
      </c>
      <c r="DL541" s="3070">
        <v>0</v>
      </c>
      <c r="DM541" s="3070">
        <v>25491817.620000001</v>
      </c>
      <c r="DN541" s="3070">
        <v>2764253109</v>
      </c>
      <c r="DP541" s="3070">
        <v>2764253109</v>
      </c>
    </row>
    <row r="542" spans="1:120">
      <c r="A542" s="3070">
        <v>541</v>
      </c>
      <c r="B542" s="3070" t="s">
        <v>3224</v>
      </c>
      <c r="C542" s="3070">
        <v>6</v>
      </c>
      <c r="E542" s="3070">
        <v>1403</v>
      </c>
      <c r="F542" s="3070" t="s">
        <v>7680</v>
      </c>
      <c r="G542" s="3070" t="s">
        <v>7681</v>
      </c>
      <c r="H542" s="3070">
        <v>1068133</v>
      </c>
      <c r="I542" s="3070">
        <v>1068133</v>
      </c>
      <c r="J542" s="3070">
        <v>84.72</v>
      </c>
      <c r="K542" s="3070">
        <v>62.38</v>
      </c>
      <c r="L542" s="3070">
        <v>0</v>
      </c>
      <c r="M542" s="3070">
        <v>0</v>
      </c>
      <c r="N542" s="3070">
        <v>15544.44</v>
      </c>
      <c r="O542" s="3070">
        <v>1316925</v>
      </c>
      <c r="P542" s="3070">
        <v>12607.8</v>
      </c>
      <c r="Q542" s="3070">
        <v>1068133</v>
      </c>
      <c r="R542" s="3070" t="s">
        <v>3227</v>
      </c>
      <c r="S542" s="3070" t="s">
        <v>7682</v>
      </c>
      <c r="T542" s="3070" t="s">
        <v>3258</v>
      </c>
      <c r="U542" s="3070" t="s">
        <v>3259</v>
      </c>
      <c r="V542" s="3070" t="s">
        <v>3230</v>
      </c>
      <c r="Y542" s="3070">
        <v>328133</v>
      </c>
      <c r="Z542" s="3070">
        <v>328133</v>
      </c>
      <c r="AA542" s="3070">
        <v>328133</v>
      </c>
      <c r="AB542" s="3070">
        <v>0</v>
      </c>
      <c r="AC542" s="3070">
        <v>740000</v>
      </c>
      <c r="AD542" s="3070">
        <v>740000</v>
      </c>
      <c r="AE542" s="3070">
        <v>0</v>
      </c>
      <c r="AI542" s="3070" t="s">
        <v>3227</v>
      </c>
      <c r="AJ542" s="3070">
        <v>0</v>
      </c>
      <c r="AK542" s="3070">
        <v>0</v>
      </c>
      <c r="AL542" s="3070">
        <v>0</v>
      </c>
      <c r="AM542" s="3070">
        <v>12607.8</v>
      </c>
      <c r="AN542" s="3070">
        <v>1068133</v>
      </c>
      <c r="AP542" s="3070">
        <v>1068133</v>
      </c>
      <c r="AQ542" s="3072">
        <v>45138</v>
      </c>
      <c r="AT542" s="3073">
        <v>45678</v>
      </c>
      <c r="AV542" s="3070" t="s">
        <v>7683</v>
      </c>
      <c r="AW542" s="3070" t="s">
        <v>7684</v>
      </c>
      <c r="AX542" s="3070" t="s">
        <v>7685</v>
      </c>
      <c r="AY542" s="3070" t="s">
        <v>3699</v>
      </c>
      <c r="BC542" s="3070" t="s">
        <v>3263</v>
      </c>
      <c r="BD542" s="3070" t="s">
        <v>3076</v>
      </c>
      <c r="BI542" s="3070" t="s">
        <v>3235</v>
      </c>
      <c r="BJ542" s="3070" t="s">
        <v>3236</v>
      </c>
      <c r="BL542" s="3070" t="s">
        <v>7686</v>
      </c>
      <c r="BM542" s="3075">
        <v>44348</v>
      </c>
      <c r="BN542" s="3070">
        <v>403</v>
      </c>
      <c r="BO542" s="3070" t="s">
        <v>3253</v>
      </c>
      <c r="BP542" s="3070" t="s">
        <v>3253</v>
      </c>
      <c r="BR542" s="3070">
        <v>183</v>
      </c>
      <c r="BS542" s="3070" t="s">
        <v>3238</v>
      </c>
      <c r="BZ542" s="3073">
        <v>44149.582638888889</v>
      </c>
      <c r="CA542" s="3070">
        <v>6</v>
      </c>
      <c r="CD542" s="3070" t="s">
        <v>3239</v>
      </c>
      <c r="CF542" s="3070" t="s">
        <v>3091</v>
      </c>
      <c r="CH542" s="3070" t="s">
        <v>3240</v>
      </c>
      <c r="CI542" s="3070">
        <v>0</v>
      </c>
      <c r="CJ542" s="3070" t="s">
        <v>3259</v>
      </c>
      <c r="CK542" s="3070" t="s">
        <v>3699</v>
      </c>
      <c r="CL542" s="3070" t="s">
        <v>3699</v>
      </c>
      <c r="CM542" s="3070">
        <v>979938.53</v>
      </c>
      <c r="CV542" s="3070" t="s">
        <v>3258</v>
      </c>
      <c r="CW542" s="3070" t="s">
        <v>7687</v>
      </c>
      <c r="CZ542" s="3070">
        <v>213894.57</v>
      </c>
      <c r="DA542" s="3070">
        <v>159426.93</v>
      </c>
      <c r="DB542" s="3070">
        <v>0</v>
      </c>
      <c r="DC542" s="3070">
        <v>0</v>
      </c>
      <c r="DD542" s="3070">
        <v>3290547602</v>
      </c>
      <c r="DE542" s="3070">
        <v>2764253109</v>
      </c>
      <c r="DF542" s="3070">
        <v>1464966739</v>
      </c>
      <c r="DG542" s="3070">
        <v>14938370</v>
      </c>
      <c r="DH542" s="3070">
        <v>1284348000</v>
      </c>
      <c r="DI542" s="3070">
        <v>1278128000</v>
      </c>
      <c r="DJ542" s="3070">
        <v>6220000</v>
      </c>
      <c r="DK542" s="3070">
        <v>0</v>
      </c>
      <c r="DL542" s="3070">
        <v>0</v>
      </c>
      <c r="DM542" s="3070">
        <v>25491817.620000001</v>
      </c>
      <c r="DN542" s="3070">
        <v>2764253109</v>
      </c>
      <c r="DP542" s="3070">
        <v>2764253109</v>
      </c>
    </row>
    <row r="543" spans="1:120">
      <c r="A543" s="3070">
        <v>542</v>
      </c>
      <c r="B543" s="3070" t="s">
        <v>3224</v>
      </c>
      <c r="C543" s="3070">
        <v>6</v>
      </c>
      <c r="E543" s="3070">
        <v>1404</v>
      </c>
      <c r="F543" s="3070" t="s">
        <v>7688</v>
      </c>
      <c r="G543" s="3070" t="s">
        <v>7689</v>
      </c>
      <c r="H543" s="3070">
        <v>1431198</v>
      </c>
      <c r="I543" s="3070">
        <v>1431198</v>
      </c>
      <c r="J543" s="3070">
        <v>120.29</v>
      </c>
      <c r="K543" s="3070">
        <v>88.57</v>
      </c>
      <c r="L543" s="3070">
        <v>0</v>
      </c>
      <c r="M543" s="3070">
        <v>0</v>
      </c>
      <c r="N543" s="3070">
        <v>15244.44</v>
      </c>
      <c r="O543" s="3070">
        <v>1833754</v>
      </c>
      <c r="P543" s="3070">
        <v>11897.9</v>
      </c>
      <c r="Q543" s="3070">
        <v>1431198</v>
      </c>
      <c r="R543" s="3070" t="s">
        <v>3227</v>
      </c>
      <c r="S543" s="3070" t="s">
        <v>7690</v>
      </c>
      <c r="T543" s="3070" t="s">
        <v>3991</v>
      </c>
      <c r="V543" s="3070" t="s">
        <v>3230</v>
      </c>
      <c r="Y543" s="3070">
        <v>429359</v>
      </c>
      <c r="Z543" s="3070">
        <v>429359</v>
      </c>
      <c r="AA543" s="3070">
        <v>1431198</v>
      </c>
      <c r="AB543" s="3070">
        <v>0</v>
      </c>
      <c r="AC543" s="3070">
        <v>0</v>
      </c>
      <c r="AD543" s="3070">
        <v>0</v>
      </c>
      <c r="AE543" s="3070">
        <v>0</v>
      </c>
      <c r="AI543" s="3070" t="s">
        <v>3227</v>
      </c>
      <c r="AJ543" s="3070">
        <v>0</v>
      </c>
      <c r="AK543" s="3070">
        <v>0</v>
      </c>
      <c r="AL543" s="3070">
        <v>0</v>
      </c>
      <c r="AM543" s="3070">
        <v>11897.9</v>
      </c>
      <c r="AN543" s="3070">
        <v>1431198</v>
      </c>
      <c r="AP543" s="3070">
        <v>1431198</v>
      </c>
      <c r="AQ543" s="3072">
        <v>45138</v>
      </c>
      <c r="AT543" s="3073">
        <v>45678</v>
      </c>
      <c r="AV543" s="3074">
        <v>3.21E+17</v>
      </c>
      <c r="AW543" s="3070" t="s">
        <v>7691</v>
      </c>
      <c r="AX543" s="3070" t="s">
        <v>7692</v>
      </c>
      <c r="AY543" s="3070" t="s">
        <v>3883</v>
      </c>
      <c r="BA543" s="3070" t="s">
        <v>3883</v>
      </c>
      <c r="BC543" s="3070" t="s">
        <v>4145</v>
      </c>
      <c r="BD543" s="3070" t="s">
        <v>3075</v>
      </c>
      <c r="BI543" s="3070" t="s">
        <v>3235</v>
      </c>
      <c r="BL543" s="3070" t="s">
        <v>7693</v>
      </c>
      <c r="BM543" s="3075">
        <v>44348</v>
      </c>
      <c r="BN543" s="3070">
        <v>404</v>
      </c>
      <c r="BR543" s="3070">
        <v>20</v>
      </c>
      <c r="BS543" s="3070" t="s">
        <v>3238</v>
      </c>
      <c r="BU543" s="3070" t="s">
        <v>3883</v>
      </c>
      <c r="BZ543" s="3073">
        <v>44225.786805555559</v>
      </c>
      <c r="CA543" s="3070">
        <v>6</v>
      </c>
      <c r="CD543" s="3070" t="s">
        <v>3239</v>
      </c>
      <c r="CF543" s="3070" t="s">
        <v>3091</v>
      </c>
      <c r="CH543" s="3070" t="s">
        <v>3240</v>
      </c>
      <c r="CI543" s="3070">
        <v>0</v>
      </c>
      <c r="CK543" s="3070" t="s">
        <v>3883</v>
      </c>
      <c r="CL543" s="3070" t="s">
        <v>4303</v>
      </c>
      <c r="CM543" s="3070">
        <v>1313025.69</v>
      </c>
      <c r="CV543" s="3070" t="s">
        <v>3494</v>
      </c>
      <c r="CW543" s="3070" t="s">
        <v>7694</v>
      </c>
      <c r="CX543" s="3070" t="s">
        <v>3242</v>
      </c>
      <c r="CZ543" s="3070">
        <v>213894.57</v>
      </c>
      <c r="DA543" s="3070">
        <v>159426.93</v>
      </c>
      <c r="DB543" s="3070">
        <v>0</v>
      </c>
      <c r="DC543" s="3070">
        <v>0</v>
      </c>
      <c r="DD543" s="3070">
        <v>3290547602</v>
      </c>
      <c r="DE543" s="3070">
        <v>2764253109</v>
      </c>
      <c r="DF543" s="3070">
        <v>1464966739</v>
      </c>
      <c r="DG543" s="3070">
        <v>14938370</v>
      </c>
      <c r="DH543" s="3070">
        <v>1284348000</v>
      </c>
      <c r="DI543" s="3070">
        <v>1278128000</v>
      </c>
      <c r="DJ543" s="3070">
        <v>6220000</v>
      </c>
      <c r="DK543" s="3070">
        <v>0</v>
      </c>
      <c r="DL543" s="3070">
        <v>0</v>
      </c>
      <c r="DM543" s="3070">
        <v>25491817.620000001</v>
      </c>
      <c r="DN543" s="3070">
        <v>2764253109</v>
      </c>
      <c r="DP543" s="3070">
        <v>2764253109</v>
      </c>
    </row>
    <row r="544" spans="1:120">
      <c r="A544" s="3070">
        <v>543</v>
      </c>
      <c r="B544" s="3070" t="s">
        <v>3224</v>
      </c>
      <c r="C544" s="3070">
        <v>6</v>
      </c>
      <c r="E544" s="3070">
        <v>1501</v>
      </c>
      <c r="F544" s="3070" t="s">
        <v>7695</v>
      </c>
      <c r="G544" s="3070" t="s">
        <v>7696</v>
      </c>
      <c r="H544" s="3070">
        <v>1363139</v>
      </c>
      <c r="I544" s="3070">
        <v>1363139</v>
      </c>
      <c r="J544" s="3070">
        <v>108.94</v>
      </c>
      <c r="K544" s="3070">
        <v>80.209999999999994</v>
      </c>
      <c r="L544" s="3070">
        <v>0</v>
      </c>
      <c r="M544" s="3070">
        <v>0</v>
      </c>
      <c r="N544" s="3070">
        <v>15444.44</v>
      </c>
      <c r="O544" s="3070">
        <v>1682517</v>
      </c>
      <c r="P544" s="3070">
        <v>12512.75</v>
      </c>
      <c r="Q544" s="3070">
        <v>1363139</v>
      </c>
      <c r="R544" s="3070" t="s">
        <v>3227</v>
      </c>
      <c r="S544" s="3070" t="s">
        <v>7697</v>
      </c>
      <c r="T544" s="3070" t="s">
        <v>3246</v>
      </c>
      <c r="U544" s="3070" t="s">
        <v>3381</v>
      </c>
      <c r="V544" s="3070" t="s">
        <v>3230</v>
      </c>
      <c r="Y544" s="3070">
        <v>603139</v>
      </c>
      <c r="Z544" s="3070">
        <v>603139</v>
      </c>
      <c r="AA544" s="3070">
        <v>603139</v>
      </c>
      <c r="AB544" s="3070">
        <v>0</v>
      </c>
      <c r="AC544" s="3070">
        <v>760000</v>
      </c>
      <c r="AD544" s="3070">
        <v>760000</v>
      </c>
      <c r="AE544" s="3070">
        <v>0</v>
      </c>
      <c r="AI544" s="3070" t="s">
        <v>3227</v>
      </c>
      <c r="AJ544" s="3070">
        <v>0</v>
      </c>
      <c r="AK544" s="3070">
        <v>0</v>
      </c>
      <c r="AL544" s="3070">
        <v>0</v>
      </c>
      <c r="AM544" s="3070">
        <v>12512.75</v>
      </c>
      <c r="AN544" s="3070">
        <v>1363139</v>
      </c>
      <c r="AP544" s="3070">
        <v>1363139</v>
      </c>
      <c r="AQ544" s="3072">
        <v>45138</v>
      </c>
      <c r="AT544" s="3073">
        <v>45678</v>
      </c>
      <c r="AV544" s="3070" t="s">
        <v>7698</v>
      </c>
      <c r="AW544" s="3070" t="s">
        <v>7699</v>
      </c>
      <c r="AX544" s="3070" t="s">
        <v>7700</v>
      </c>
      <c r="AY544" s="3070" t="s">
        <v>3385</v>
      </c>
      <c r="BA544" s="3070" t="s">
        <v>3385</v>
      </c>
      <c r="BC544" s="3070" t="s">
        <v>3284</v>
      </c>
      <c r="BD544" s="3070" t="s">
        <v>3077</v>
      </c>
      <c r="BI544" s="3070" t="s">
        <v>3235</v>
      </c>
      <c r="BJ544" s="3070" t="s">
        <v>3338</v>
      </c>
      <c r="BL544" s="3070" t="s">
        <v>7701</v>
      </c>
      <c r="BM544" s="3075">
        <v>44348</v>
      </c>
      <c r="BN544" s="3070">
        <v>501</v>
      </c>
      <c r="BO544" s="3070" t="s">
        <v>3253</v>
      </c>
      <c r="BR544" s="3070">
        <v>383</v>
      </c>
      <c r="BS544" s="3070" t="s">
        <v>3238</v>
      </c>
      <c r="BU544" s="3070" t="s">
        <v>3385</v>
      </c>
      <c r="BZ544" s="3073">
        <v>44142.868750000001</v>
      </c>
      <c r="CA544" s="3070">
        <v>6</v>
      </c>
      <c r="CD544" s="3070" t="s">
        <v>3239</v>
      </c>
      <c r="CF544" s="3070" t="s">
        <v>3091</v>
      </c>
      <c r="CH544" s="3070" t="s">
        <v>3240</v>
      </c>
      <c r="CI544" s="3070">
        <v>0</v>
      </c>
      <c r="CK544" s="3070" t="s">
        <v>3385</v>
      </c>
      <c r="CL544" s="3070" t="s">
        <v>3385</v>
      </c>
      <c r="CM544" s="3070">
        <v>1250586.24</v>
      </c>
      <c r="CV544" s="3070" t="s">
        <v>3246</v>
      </c>
      <c r="CW544" s="3070" t="s">
        <v>7702</v>
      </c>
      <c r="CZ544" s="3070">
        <v>213894.57</v>
      </c>
      <c r="DA544" s="3070">
        <v>159426.93</v>
      </c>
      <c r="DB544" s="3070">
        <v>0</v>
      </c>
      <c r="DC544" s="3070">
        <v>0</v>
      </c>
      <c r="DD544" s="3070">
        <v>3290547602</v>
      </c>
      <c r="DE544" s="3070">
        <v>2764253109</v>
      </c>
      <c r="DF544" s="3070">
        <v>1464966739</v>
      </c>
      <c r="DG544" s="3070">
        <v>14938370</v>
      </c>
      <c r="DH544" s="3070">
        <v>1284348000</v>
      </c>
      <c r="DI544" s="3070">
        <v>1278128000</v>
      </c>
      <c r="DJ544" s="3070">
        <v>6220000</v>
      </c>
      <c r="DK544" s="3070">
        <v>0</v>
      </c>
      <c r="DL544" s="3070">
        <v>0</v>
      </c>
      <c r="DM544" s="3070">
        <v>25491817.620000001</v>
      </c>
      <c r="DN544" s="3070">
        <v>2764253109</v>
      </c>
      <c r="DP544" s="3070">
        <v>2764253109</v>
      </c>
    </row>
    <row r="545" spans="1:120">
      <c r="A545" s="3070">
        <v>544</v>
      </c>
      <c r="B545" s="3070" t="s">
        <v>3224</v>
      </c>
      <c r="C545" s="3070">
        <v>6</v>
      </c>
      <c r="E545" s="3070">
        <v>1502</v>
      </c>
      <c r="F545" s="3070" t="s">
        <v>7703</v>
      </c>
      <c r="G545" s="3070" t="s">
        <v>7704</v>
      </c>
      <c r="H545" s="3070">
        <v>1072160</v>
      </c>
      <c r="I545" s="3070">
        <v>1072160</v>
      </c>
      <c r="J545" s="3070">
        <v>84.72</v>
      </c>
      <c r="K545" s="3070">
        <v>62.38</v>
      </c>
      <c r="L545" s="3070">
        <v>0</v>
      </c>
      <c r="M545" s="3070">
        <v>0</v>
      </c>
      <c r="N545" s="3070">
        <v>15594.44</v>
      </c>
      <c r="O545" s="3070">
        <v>1321161</v>
      </c>
      <c r="P545" s="3070">
        <v>12655.34</v>
      </c>
      <c r="Q545" s="3070">
        <v>1072160</v>
      </c>
      <c r="R545" s="3070" t="s">
        <v>3227</v>
      </c>
      <c r="S545" s="3070" t="s">
        <v>7705</v>
      </c>
      <c r="T545" s="3070" t="s">
        <v>3425</v>
      </c>
      <c r="V545" s="3070" t="s">
        <v>3230</v>
      </c>
      <c r="Y545" s="3070">
        <v>822160</v>
      </c>
      <c r="Z545" s="3070">
        <v>107216</v>
      </c>
      <c r="AA545" s="3070">
        <v>822160</v>
      </c>
      <c r="AB545" s="3070">
        <v>0</v>
      </c>
      <c r="AC545" s="3070">
        <v>250000</v>
      </c>
      <c r="AD545" s="3070">
        <v>250000</v>
      </c>
      <c r="AE545" s="3070">
        <v>0</v>
      </c>
      <c r="AI545" s="3070" t="s">
        <v>3227</v>
      </c>
      <c r="AJ545" s="3070">
        <v>0</v>
      </c>
      <c r="AK545" s="3070">
        <v>0</v>
      </c>
      <c r="AL545" s="3070">
        <v>0</v>
      </c>
      <c r="AM545" s="3070">
        <v>12655.34</v>
      </c>
      <c r="AN545" s="3070">
        <v>1072160</v>
      </c>
      <c r="AP545" s="3070">
        <v>1072160</v>
      </c>
      <c r="AQ545" s="3072">
        <v>45138</v>
      </c>
      <c r="AT545" s="3073">
        <v>45678</v>
      </c>
      <c r="AV545" s="3070" t="s">
        <v>7706</v>
      </c>
      <c r="AW545" s="3070" t="s">
        <v>7707</v>
      </c>
      <c r="AX545" s="3070" t="s">
        <v>7708</v>
      </c>
      <c r="AY545" s="3070" t="s">
        <v>3681</v>
      </c>
      <c r="BC545" s="3070" t="s">
        <v>3461</v>
      </c>
      <c r="BD545" s="3070" t="s">
        <v>3076</v>
      </c>
      <c r="BI545" s="3070" t="s">
        <v>3235</v>
      </c>
      <c r="BJ545" s="3070" t="s">
        <v>3296</v>
      </c>
      <c r="BL545" s="3070" t="s">
        <v>7709</v>
      </c>
      <c r="BM545" s="3075">
        <v>44348</v>
      </c>
      <c r="BN545" s="3070">
        <v>502</v>
      </c>
      <c r="BP545" s="3070" t="s">
        <v>3253</v>
      </c>
      <c r="BR545" s="3070">
        <v>737</v>
      </c>
      <c r="BS545" s="3070" t="s">
        <v>3238</v>
      </c>
      <c r="BZ545" s="3073">
        <v>44153.848611111112</v>
      </c>
      <c r="CA545" s="3070">
        <v>6</v>
      </c>
      <c r="CD545" s="3070" t="s">
        <v>3239</v>
      </c>
      <c r="CF545" s="3070" t="s">
        <v>3091</v>
      </c>
      <c r="CH545" s="3070" t="s">
        <v>3240</v>
      </c>
      <c r="CI545" s="3070">
        <v>0</v>
      </c>
      <c r="CJ545" s="3070" t="s">
        <v>3259</v>
      </c>
      <c r="CK545" s="3070" t="s">
        <v>3346</v>
      </c>
      <c r="CL545" s="3070" t="s">
        <v>3346</v>
      </c>
      <c r="CM545" s="3070">
        <v>983633.03</v>
      </c>
      <c r="CV545" s="3070" t="s">
        <v>3425</v>
      </c>
      <c r="CW545" s="3070" t="s">
        <v>7710</v>
      </c>
      <c r="CX545" s="3070" t="s">
        <v>3267</v>
      </c>
      <c r="CZ545" s="3070">
        <v>213894.57</v>
      </c>
      <c r="DA545" s="3070">
        <v>159426.93</v>
      </c>
      <c r="DB545" s="3070">
        <v>0</v>
      </c>
      <c r="DC545" s="3070">
        <v>0</v>
      </c>
      <c r="DD545" s="3070">
        <v>3290547602</v>
      </c>
      <c r="DE545" s="3070">
        <v>2764253109</v>
      </c>
      <c r="DF545" s="3070">
        <v>1464966739</v>
      </c>
      <c r="DG545" s="3070">
        <v>14938370</v>
      </c>
      <c r="DH545" s="3070">
        <v>1284348000</v>
      </c>
      <c r="DI545" s="3070">
        <v>1278128000</v>
      </c>
      <c r="DJ545" s="3070">
        <v>6220000</v>
      </c>
      <c r="DK545" s="3070">
        <v>0</v>
      </c>
      <c r="DL545" s="3070">
        <v>0</v>
      </c>
      <c r="DM545" s="3070">
        <v>25491817.620000001</v>
      </c>
      <c r="DN545" s="3070">
        <v>2764253109</v>
      </c>
      <c r="DP545" s="3070">
        <v>2764253109</v>
      </c>
    </row>
    <row r="546" spans="1:120">
      <c r="A546" s="3070">
        <v>545</v>
      </c>
      <c r="B546" s="3070" t="s">
        <v>3224</v>
      </c>
      <c r="C546" s="3070">
        <v>6</v>
      </c>
      <c r="E546" s="3070">
        <v>1503</v>
      </c>
      <c r="F546" s="3070" t="s">
        <v>7711</v>
      </c>
      <c r="G546" s="3070" t="s">
        <v>7712</v>
      </c>
      <c r="H546" s="3070">
        <v>1072160</v>
      </c>
      <c r="I546" s="3070">
        <v>1072160</v>
      </c>
      <c r="J546" s="3070">
        <v>84.72</v>
      </c>
      <c r="K546" s="3070">
        <v>62.38</v>
      </c>
      <c r="L546" s="3070">
        <v>0</v>
      </c>
      <c r="M546" s="3070">
        <v>0</v>
      </c>
      <c r="N546" s="3070">
        <v>15594.44</v>
      </c>
      <c r="O546" s="3070">
        <v>1321161</v>
      </c>
      <c r="P546" s="3070">
        <v>12655.34</v>
      </c>
      <c r="Q546" s="3070">
        <v>1072160</v>
      </c>
      <c r="R546" s="3070" t="s">
        <v>3227</v>
      </c>
      <c r="S546" s="3070" t="s">
        <v>7713</v>
      </c>
      <c r="T546" s="3070" t="s">
        <v>3246</v>
      </c>
      <c r="U546" s="3070" t="s">
        <v>3247</v>
      </c>
      <c r="V546" s="3070" t="s">
        <v>3230</v>
      </c>
      <c r="Y546" s="3070">
        <v>402160</v>
      </c>
      <c r="Z546" s="3070">
        <v>402160</v>
      </c>
      <c r="AA546" s="3070">
        <v>402160</v>
      </c>
      <c r="AB546" s="3070">
        <v>0</v>
      </c>
      <c r="AC546" s="3070">
        <v>670000</v>
      </c>
      <c r="AD546" s="3070">
        <v>670000</v>
      </c>
      <c r="AE546" s="3070">
        <v>0</v>
      </c>
      <c r="AI546" s="3070" t="s">
        <v>3227</v>
      </c>
      <c r="AJ546" s="3070">
        <v>0</v>
      </c>
      <c r="AK546" s="3070">
        <v>0</v>
      </c>
      <c r="AL546" s="3070">
        <v>0</v>
      </c>
      <c r="AM546" s="3070">
        <v>12655.34</v>
      </c>
      <c r="AN546" s="3070">
        <v>1072160</v>
      </c>
      <c r="AP546" s="3070">
        <v>1072160</v>
      </c>
      <c r="AQ546" s="3072">
        <v>45138</v>
      </c>
      <c r="AT546" s="3073">
        <v>45678</v>
      </c>
      <c r="AV546" s="3074">
        <v>3.2E+17</v>
      </c>
      <c r="AW546" s="3070" t="s">
        <v>7714</v>
      </c>
      <c r="AX546" s="3070" t="s">
        <v>7715</v>
      </c>
      <c r="AY546" s="3070" t="s">
        <v>3273</v>
      </c>
      <c r="BA546" s="3070" t="s">
        <v>3273</v>
      </c>
      <c r="BC546" s="3070" t="s">
        <v>3284</v>
      </c>
      <c r="BD546" s="3070" t="s">
        <v>3076</v>
      </c>
      <c r="BI546" s="3070" t="s">
        <v>3235</v>
      </c>
      <c r="BJ546" s="3070" t="s">
        <v>3338</v>
      </c>
      <c r="BL546" s="3070" t="s">
        <v>7716</v>
      </c>
      <c r="BM546" s="3075">
        <v>44348</v>
      </c>
      <c r="BN546" s="3070">
        <v>503</v>
      </c>
      <c r="BO546" s="3070" t="s">
        <v>3253</v>
      </c>
      <c r="BR546" s="3070">
        <v>564</v>
      </c>
      <c r="BS546" s="3070" t="s">
        <v>3238</v>
      </c>
      <c r="BU546" s="3070" t="s">
        <v>3273</v>
      </c>
      <c r="BZ546" s="3073">
        <v>44142.65347222222</v>
      </c>
      <c r="CA546" s="3070">
        <v>6</v>
      </c>
      <c r="CD546" s="3070" t="s">
        <v>3239</v>
      </c>
      <c r="CF546" s="3070" t="s">
        <v>3091</v>
      </c>
      <c r="CH546" s="3070" t="s">
        <v>3240</v>
      </c>
      <c r="CI546" s="3070">
        <v>0</v>
      </c>
      <c r="CK546" s="3070" t="s">
        <v>3273</v>
      </c>
      <c r="CL546" s="3070" t="s">
        <v>3273</v>
      </c>
      <c r="CM546" s="3070">
        <v>983633.03</v>
      </c>
      <c r="CV546" s="3070" t="s">
        <v>3246</v>
      </c>
      <c r="CW546" s="3070" t="s">
        <v>7717</v>
      </c>
      <c r="CZ546" s="3070">
        <v>213894.57</v>
      </c>
      <c r="DA546" s="3070">
        <v>159426.93</v>
      </c>
      <c r="DB546" s="3070">
        <v>0</v>
      </c>
      <c r="DC546" s="3070">
        <v>0</v>
      </c>
      <c r="DD546" s="3070">
        <v>3290547602</v>
      </c>
      <c r="DE546" s="3070">
        <v>2764253109</v>
      </c>
      <c r="DF546" s="3070">
        <v>1464966739</v>
      </c>
      <c r="DG546" s="3070">
        <v>14938370</v>
      </c>
      <c r="DH546" s="3070">
        <v>1284348000</v>
      </c>
      <c r="DI546" s="3070">
        <v>1278128000</v>
      </c>
      <c r="DJ546" s="3070">
        <v>6220000</v>
      </c>
      <c r="DK546" s="3070">
        <v>0</v>
      </c>
      <c r="DL546" s="3070">
        <v>0</v>
      </c>
      <c r="DM546" s="3070">
        <v>25491817.620000001</v>
      </c>
      <c r="DN546" s="3070">
        <v>2764253109</v>
      </c>
      <c r="DP546" s="3070">
        <v>2764253109</v>
      </c>
    </row>
    <row r="547" spans="1:120">
      <c r="A547" s="3070">
        <v>546</v>
      </c>
      <c r="B547" s="3070" t="s">
        <v>3224</v>
      </c>
      <c r="C547" s="3070">
        <v>6</v>
      </c>
      <c r="E547" s="3070">
        <v>1504</v>
      </c>
      <c r="F547" s="3070" t="s">
        <v>7718</v>
      </c>
      <c r="G547" s="3070" t="s">
        <v>7719</v>
      </c>
      <c r="H547" s="3070">
        <v>1436239</v>
      </c>
      <c r="I547" s="3070">
        <v>1436239</v>
      </c>
      <c r="J547" s="3070">
        <v>120.29</v>
      </c>
      <c r="K547" s="3070">
        <v>88.57</v>
      </c>
      <c r="L547" s="3070">
        <v>0</v>
      </c>
      <c r="M547" s="3070">
        <v>0</v>
      </c>
      <c r="N547" s="3070">
        <v>15294.44</v>
      </c>
      <c r="O547" s="3070">
        <v>1839768</v>
      </c>
      <c r="P547" s="3070">
        <v>11939.8</v>
      </c>
      <c r="Q547" s="3070">
        <v>1436239</v>
      </c>
      <c r="R547" s="3070" t="s">
        <v>3227</v>
      </c>
      <c r="S547" s="3070" t="s">
        <v>7720</v>
      </c>
      <c r="T547" s="3070" t="s">
        <v>3991</v>
      </c>
      <c r="V547" s="3070" t="s">
        <v>3230</v>
      </c>
      <c r="Y547" s="3070">
        <v>430872</v>
      </c>
      <c r="Z547" s="3070">
        <v>430872</v>
      </c>
      <c r="AA547" s="3070">
        <v>1436239</v>
      </c>
      <c r="AB547" s="3070">
        <v>0</v>
      </c>
      <c r="AC547" s="3070">
        <v>0</v>
      </c>
      <c r="AD547" s="3070">
        <v>0</v>
      </c>
      <c r="AE547" s="3070">
        <v>0</v>
      </c>
      <c r="AI547" s="3070" t="s">
        <v>3227</v>
      </c>
      <c r="AJ547" s="3070">
        <v>0</v>
      </c>
      <c r="AK547" s="3070">
        <v>0</v>
      </c>
      <c r="AL547" s="3070">
        <v>0</v>
      </c>
      <c r="AM547" s="3070">
        <v>11939.8</v>
      </c>
      <c r="AN547" s="3070">
        <v>1436239</v>
      </c>
      <c r="AP547" s="3070">
        <v>1436239</v>
      </c>
      <c r="AQ547" s="3072">
        <v>45138</v>
      </c>
      <c r="AT547" s="3073">
        <v>45678</v>
      </c>
      <c r="AV547" s="3074">
        <v>3.21E+17</v>
      </c>
      <c r="AW547" s="3070" t="s">
        <v>7721</v>
      </c>
      <c r="AX547" s="3070" t="s">
        <v>7722</v>
      </c>
      <c r="AY547" s="3070" t="s">
        <v>4265</v>
      </c>
      <c r="BA547" s="3070" t="s">
        <v>4265</v>
      </c>
      <c r="BC547" s="3070" t="s">
        <v>3995</v>
      </c>
      <c r="BD547" s="3070" t="s">
        <v>3075</v>
      </c>
      <c r="BI547" s="3070" t="s">
        <v>3295</v>
      </c>
      <c r="BL547" s="3070" t="s">
        <v>7723</v>
      </c>
      <c r="BM547" s="3075">
        <v>44348</v>
      </c>
      <c r="BN547" s="3070">
        <v>504</v>
      </c>
      <c r="BR547" s="3070">
        <v>21</v>
      </c>
      <c r="BS547" s="3070" t="s">
        <v>3238</v>
      </c>
      <c r="BU547" s="3070" t="s">
        <v>4265</v>
      </c>
      <c r="BZ547" s="3073">
        <v>44206.597222222219</v>
      </c>
      <c r="CA547" s="3070">
        <v>6</v>
      </c>
      <c r="CD547" s="3070" t="s">
        <v>3239</v>
      </c>
      <c r="CF547" s="3070" t="s">
        <v>3091</v>
      </c>
      <c r="CH547" s="3070" t="s">
        <v>3240</v>
      </c>
      <c r="CI547" s="3070">
        <v>0</v>
      </c>
      <c r="CK547" s="3070" t="s">
        <v>4265</v>
      </c>
      <c r="CL547" s="3070" t="s">
        <v>4665</v>
      </c>
      <c r="CM547" s="3070">
        <v>1317650.46</v>
      </c>
      <c r="CV547" s="3070" t="s">
        <v>3494</v>
      </c>
      <c r="CW547" s="3070" t="s">
        <v>7724</v>
      </c>
      <c r="CZ547" s="3070">
        <v>213894.57</v>
      </c>
      <c r="DA547" s="3070">
        <v>159426.93</v>
      </c>
      <c r="DB547" s="3070">
        <v>0</v>
      </c>
      <c r="DC547" s="3070">
        <v>0</v>
      </c>
      <c r="DD547" s="3070">
        <v>3290547602</v>
      </c>
      <c r="DE547" s="3070">
        <v>2764253109</v>
      </c>
      <c r="DF547" s="3070">
        <v>1464966739</v>
      </c>
      <c r="DG547" s="3070">
        <v>14938370</v>
      </c>
      <c r="DH547" s="3070">
        <v>1284348000</v>
      </c>
      <c r="DI547" s="3070">
        <v>1278128000</v>
      </c>
      <c r="DJ547" s="3070">
        <v>6220000</v>
      </c>
      <c r="DK547" s="3070">
        <v>0</v>
      </c>
      <c r="DL547" s="3070">
        <v>0</v>
      </c>
      <c r="DM547" s="3070">
        <v>25491817.620000001</v>
      </c>
      <c r="DN547" s="3070">
        <v>2764253109</v>
      </c>
      <c r="DP547" s="3070">
        <v>2764253109</v>
      </c>
    </row>
    <row r="548" spans="1:120">
      <c r="A548" s="3070">
        <v>547</v>
      </c>
      <c r="B548" s="3070" t="s">
        <v>3224</v>
      </c>
      <c r="C548" s="3070">
        <v>6</v>
      </c>
      <c r="E548" s="3070">
        <v>1601</v>
      </c>
      <c r="F548" s="3070" t="s">
        <v>7725</v>
      </c>
      <c r="G548" s="3070" t="s">
        <v>7726</v>
      </c>
      <c r="H548" s="3070">
        <v>1363139</v>
      </c>
      <c r="I548" s="3070">
        <v>1363139</v>
      </c>
      <c r="J548" s="3070">
        <v>108.94</v>
      </c>
      <c r="K548" s="3070">
        <v>80.209999999999994</v>
      </c>
      <c r="L548" s="3070">
        <v>0</v>
      </c>
      <c r="M548" s="3070">
        <v>0</v>
      </c>
      <c r="N548" s="3070">
        <v>15444.44</v>
      </c>
      <c r="O548" s="3070">
        <v>1682517</v>
      </c>
      <c r="P548" s="3070">
        <v>12512.75</v>
      </c>
      <c r="Q548" s="3070">
        <v>1363139</v>
      </c>
      <c r="R548" s="3070" t="s">
        <v>3227</v>
      </c>
      <c r="S548" s="3070" t="s">
        <v>7727</v>
      </c>
      <c r="T548" s="3070" t="s">
        <v>3246</v>
      </c>
      <c r="U548" s="3070" t="s">
        <v>3247</v>
      </c>
      <c r="V548" s="3070" t="s">
        <v>3230</v>
      </c>
      <c r="Y548" s="3070">
        <v>413139</v>
      </c>
      <c r="Z548" s="3070">
        <v>413139</v>
      </c>
      <c r="AA548" s="3070">
        <v>413139</v>
      </c>
      <c r="AB548" s="3070">
        <v>0</v>
      </c>
      <c r="AC548" s="3070">
        <v>950000</v>
      </c>
      <c r="AD548" s="3070">
        <v>950000</v>
      </c>
      <c r="AE548" s="3070">
        <v>0</v>
      </c>
      <c r="AI548" s="3070" t="s">
        <v>3227</v>
      </c>
      <c r="AJ548" s="3070">
        <v>0</v>
      </c>
      <c r="AK548" s="3070">
        <v>0</v>
      </c>
      <c r="AL548" s="3070">
        <v>0</v>
      </c>
      <c r="AM548" s="3070">
        <v>12512.75</v>
      </c>
      <c r="AN548" s="3070">
        <v>1363139</v>
      </c>
      <c r="AP548" s="3070">
        <v>1363139</v>
      </c>
      <c r="AQ548" s="3072">
        <v>45138</v>
      </c>
      <c r="AT548" s="3073">
        <v>45678</v>
      </c>
      <c r="AV548" s="3070" t="s">
        <v>7728</v>
      </c>
      <c r="AW548" s="3070" t="s">
        <v>7729</v>
      </c>
      <c r="AX548" s="3070" t="s">
        <v>7730</v>
      </c>
      <c r="AY548" s="3070" t="s">
        <v>3273</v>
      </c>
      <c r="BA548" s="3070" t="s">
        <v>3273</v>
      </c>
      <c r="BC548" s="3070" t="s">
        <v>3284</v>
      </c>
      <c r="BD548" s="3070" t="s">
        <v>3077</v>
      </c>
      <c r="BI548" s="3070" t="s">
        <v>3235</v>
      </c>
      <c r="BJ548" s="3070" t="s">
        <v>3338</v>
      </c>
      <c r="BL548" s="3070" t="s">
        <v>7731</v>
      </c>
      <c r="BM548" s="3075">
        <v>44348</v>
      </c>
      <c r="BN548" s="3070">
        <v>601</v>
      </c>
      <c r="BO548" s="3070" t="s">
        <v>3253</v>
      </c>
      <c r="BR548" s="3070">
        <v>53</v>
      </c>
      <c r="BS548" s="3070" t="s">
        <v>3238</v>
      </c>
      <c r="BU548" s="3070" t="s">
        <v>3273</v>
      </c>
      <c r="BZ548" s="3073">
        <v>44142.869444444441</v>
      </c>
      <c r="CA548" s="3070">
        <v>6</v>
      </c>
      <c r="CD548" s="3070" t="s">
        <v>3239</v>
      </c>
      <c r="CF548" s="3070" t="s">
        <v>3091</v>
      </c>
      <c r="CH548" s="3070" t="s">
        <v>3240</v>
      </c>
      <c r="CI548" s="3070">
        <v>0</v>
      </c>
      <c r="CK548" s="3070" t="s">
        <v>3273</v>
      </c>
      <c r="CL548" s="3070" t="s">
        <v>3273</v>
      </c>
      <c r="CM548" s="3070">
        <v>1250586.24</v>
      </c>
      <c r="CV548" s="3070" t="s">
        <v>3246</v>
      </c>
      <c r="CW548" s="3070" t="s">
        <v>7732</v>
      </c>
      <c r="CZ548" s="3070">
        <v>213894.57</v>
      </c>
      <c r="DA548" s="3070">
        <v>159426.93</v>
      </c>
      <c r="DB548" s="3070">
        <v>0</v>
      </c>
      <c r="DC548" s="3070">
        <v>0</v>
      </c>
      <c r="DD548" s="3070">
        <v>3290547602</v>
      </c>
      <c r="DE548" s="3070">
        <v>2764253109</v>
      </c>
      <c r="DF548" s="3070">
        <v>1464966739</v>
      </c>
      <c r="DG548" s="3070">
        <v>14938370</v>
      </c>
      <c r="DH548" s="3070">
        <v>1284348000</v>
      </c>
      <c r="DI548" s="3070">
        <v>1278128000</v>
      </c>
      <c r="DJ548" s="3070">
        <v>6220000</v>
      </c>
      <c r="DK548" s="3070">
        <v>0</v>
      </c>
      <c r="DL548" s="3070">
        <v>0</v>
      </c>
      <c r="DM548" s="3070">
        <v>25491817.620000001</v>
      </c>
      <c r="DN548" s="3070">
        <v>2764253109</v>
      </c>
      <c r="DP548" s="3070">
        <v>2764253109</v>
      </c>
    </row>
    <row r="549" spans="1:120">
      <c r="A549" s="3070">
        <v>548</v>
      </c>
      <c r="B549" s="3070" t="s">
        <v>3224</v>
      </c>
      <c r="C549" s="3070">
        <v>6</v>
      </c>
      <c r="E549" s="3070">
        <v>1602</v>
      </c>
      <c r="F549" s="3070" t="s">
        <v>7733</v>
      </c>
      <c r="G549" s="3070" t="s">
        <v>7734</v>
      </c>
      <c r="H549" s="3070">
        <v>1072160</v>
      </c>
      <c r="I549" s="3070">
        <v>1072160</v>
      </c>
      <c r="J549" s="3070">
        <v>84.72</v>
      </c>
      <c r="K549" s="3070">
        <v>62.38</v>
      </c>
      <c r="L549" s="3070">
        <v>0</v>
      </c>
      <c r="M549" s="3070">
        <v>0</v>
      </c>
      <c r="N549" s="3070">
        <v>15594.44</v>
      </c>
      <c r="O549" s="3070">
        <v>1321161</v>
      </c>
      <c r="P549" s="3070">
        <v>12655.34</v>
      </c>
      <c r="Q549" s="3070">
        <v>1072160</v>
      </c>
      <c r="R549" s="3070" t="s">
        <v>3227</v>
      </c>
      <c r="S549" s="3070" t="s">
        <v>7735</v>
      </c>
      <c r="T549" s="3070" t="s">
        <v>3258</v>
      </c>
      <c r="U549" s="3070" t="s">
        <v>3259</v>
      </c>
      <c r="V549" s="3070" t="s">
        <v>3230</v>
      </c>
      <c r="Y549" s="3070">
        <v>392160</v>
      </c>
      <c r="Z549" s="3070">
        <v>392160</v>
      </c>
      <c r="AA549" s="3070">
        <v>392160</v>
      </c>
      <c r="AB549" s="3070">
        <v>0</v>
      </c>
      <c r="AC549" s="3070">
        <v>680000</v>
      </c>
      <c r="AD549" s="3070">
        <v>680000</v>
      </c>
      <c r="AE549" s="3070">
        <v>0</v>
      </c>
      <c r="AI549" s="3070" t="s">
        <v>3227</v>
      </c>
      <c r="AJ549" s="3070">
        <v>0</v>
      </c>
      <c r="AK549" s="3070">
        <v>0</v>
      </c>
      <c r="AL549" s="3070">
        <v>0</v>
      </c>
      <c r="AM549" s="3070">
        <v>12655.34</v>
      </c>
      <c r="AN549" s="3070">
        <v>1072160</v>
      </c>
      <c r="AP549" s="3070">
        <v>1072160</v>
      </c>
      <c r="AQ549" s="3072">
        <v>45138</v>
      </c>
      <c r="AT549" s="3073">
        <v>45678</v>
      </c>
      <c r="AV549" s="3070" t="s">
        <v>7736</v>
      </c>
      <c r="AW549" s="3070" t="s">
        <v>7737</v>
      </c>
      <c r="AX549" s="3070" t="s">
        <v>7738</v>
      </c>
      <c r="AY549" s="3070" t="s">
        <v>3632</v>
      </c>
      <c r="BC549" s="3070" t="s">
        <v>3263</v>
      </c>
      <c r="BD549" s="3070" t="s">
        <v>3076</v>
      </c>
      <c r="BI549" s="3070" t="s">
        <v>3235</v>
      </c>
      <c r="BJ549" s="3070" t="s">
        <v>3338</v>
      </c>
      <c r="BL549" s="3070" t="s">
        <v>7739</v>
      </c>
      <c r="BM549" s="3075">
        <v>44348</v>
      </c>
      <c r="BN549" s="3070">
        <v>602</v>
      </c>
      <c r="BO549" s="3070" t="s">
        <v>3253</v>
      </c>
      <c r="BP549" s="3070" t="s">
        <v>3253</v>
      </c>
      <c r="BR549" s="3070">
        <v>853</v>
      </c>
      <c r="BS549" s="3070" t="s">
        <v>3238</v>
      </c>
      <c r="BZ549" s="3073">
        <v>44149.393055555556</v>
      </c>
      <c r="CA549" s="3070">
        <v>6</v>
      </c>
      <c r="CD549" s="3070" t="s">
        <v>3239</v>
      </c>
      <c r="CF549" s="3070" t="s">
        <v>3091</v>
      </c>
      <c r="CH549" s="3070" t="s">
        <v>3240</v>
      </c>
      <c r="CI549" s="3070">
        <v>0</v>
      </c>
      <c r="CJ549" s="3070" t="s">
        <v>3259</v>
      </c>
      <c r="CK549" s="3070" t="s">
        <v>3632</v>
      </c>
      <c r="CL549" s="3070" t="s">
        <v>3632</v>
      </c>
      <c r="CM549" s="3070">
        <v>983633.02</v>
      </c>
      <c r="CV549" s="3070" t="s">
        <v>3258</v>
      </c>
      <c r="CW549" s="3070" t="s">
        <v>7740</v>
      </c>
      <c r="CZ549" s="3070">
        <v>213894.57</v>
      </c>
      <c r="DA549" s="3070">
        <v>159426.93</v>
      </c>
      <c r="DB549" s="3070">
        <v>0</v>
      </c>
      <c r="DC549" s="3070">
        <v>0</v>
      </c>
      <c r="DD549" s="3070">
        <v>3290547602</v>
      </c>
      <c r="DE549" s="3070">
        <v>2764253109</v>
      </c>
      <c r="DF549" s="3070">
        <v>1464966739</v>
      </c>
      <c r="DG549" s="3070">
        <v>14938370</v>
      </c>
      <c r="DH549" s="3070">
        <v>1284348000</v>
      </c>
      <c r="DI549" s="3070">
        <v>1278128000</v>
      </c>
      <c r="DJ549" s="3070">
        <v>6220000</v>
      </c>
      <c r="DK549" s="3070">
        <v>0</v>
      </c>
      <c r="DL549" s="3070">
        <v>0</v>
      </c>
      <c r="DM549" s="3070">
        <v>25491817.620000001</v>
      </c>
      <c r="DN549" s="3070">
        <v>2764253109</v>
      </c>
      <c r="DP549" s="3070">
        <v>2764253109</v>
      </c>
    </row>
    <row r="550" spans="1:120">
      <c r="A550" s="3070">
        <v>549</v>
      </c>
      <c r="B550" s="3070" t="s">
        <v>3224</v>
      </c>
      <c r="C550" s="3070">
        <v>6</v>
      </c>
      <c r="E550" s="3070">
        <v>1603</v>
      </c>
      <c r="F550" s="3070" t="s">
        <v>7741</v>
      </c>
      <c r="G550" s="3070" t="s">
        <v>7742</v>
      </c>
      <c r="H550" s="3070">
        <v>1072160</v>
      </c>
      <c r="I550" s="3070">
        <v>1072160</v>
      </c>
      <c r="J550" s="3070">
        <v>84.72</v>
      </c>
      <c r="K550" s="3070">
        <v>62.38</v>
      </c>
      <c r="L550" s="3070">
        <v>0</v>
      </c>
      <c r="M550" s="3070">
        <v>0</v>
      </c>
      <c r="N550" s="3070">
        <v>15594.44</v>
      </c>
      <c r="O550" s="3070">
        <v>1321161</v>
      </c>
      <c r="P550" s="3070">
        <v>12655.34</v>
      </c>
      <c r="Q550" s="3070">
        <v>1072160</v>
      </c>
      <c r="R550" s="3070" t="s">
        <v>3227</v>
      </c>
      <c r="S550" s="3070" t="s">
        <v>7743</v>
      </c>
      <c r="T550" s="3070" t="s">
        <v>3246</v>
      </c>
      <c r="U550" s="3070" t="s">
        <v>3467</v>
      </c>
      <c r="V550" s="3070" t="s">
        <v>3230</v>
      </c>
      <c r="Y550" s="3070">
        <v>322160</v>
      </c>
      <c r="Z550" s="3070">
        <v>322160</v>
      </c>
      <c r="AA550" s="3070">
        <v>322160</v>
      </c>
      <c r="AB550" s="3070">
        <v>0</v>
      </c>
      <c r="AC550" s="3070">
        <v>750000</v>
      </c>
      <c r="AD550" s="3070">
        <v>750000</v>
      </c>
      <c r="AE550" s="3070">
        <v>0</v>
      </c>
      <c r="AI550" s="3070" t="s">
        <v>3227</v>
      </c>
      <c r="AJ550" s="3070">
        <v>0</v>
      </c>
      <c r="AK550" s="3070">
        <v>0</v>
      </c>
      <c r="AL550" s="3070">
        <v>0</v>
      </c>
      <c r="AM550" s="3070">
        <v>12655.34</v>
      </c>
      <c r="AN550" s="3070">
        <v>1072160</v>
      </c>
      <c r="AP550" s="3070">
        <v>1072160</v>
      </c>
      <c r="AQ550" s="3072">
        <v>45138</v>
      </c>
      <c r="AT550" s="3073">
        <v>45678</v>
      </c>
      <c r="AV550" s="3074">
        <v>3.21E+17</v>
      </c>
      <c r="AW550" s="3070" t="s">
        <v>7744</v>
      </c>
      <c r="AX550" s="3070" t="s">
        <v>7745</v>
      </c>
      <c r="AY550" s="3070" t="s">
        <v>3393</v>
      </c>
      <c r="BC550" s="3070" t="s">
        <v>3284</v>
      </c>
      <c r="BD550" s="3070" t="s">
        <v>3076</v>
      </c>
      <c r="BI550" s="3070" t="s">
        <v>3295</v>
      </c>
      <c r="BL550" s="3070" t="s">
        <v>7746</v>
      </c>
      <c r="BM550" s="3075">
        <v>44348</v>
      </c>
      <c r="BN550" s="3070">
        <v>603</v>
      </c>
      <c r="BO550" s="3070" t="s">
        <v>3253</v>
      </c>
      <c r="BR550" s="3070">
        <v>872</v>
      </c>
      <c r="BS550" s="3070" t="s">
        <v>3238</v>
      </c>
      <c r="BZ550" s="3073">
        <v>44147.4375</v>
      </c>
      <c r="CA550" s="3070">
        <v>6</v>
      </c>
      <c r="CD550" s="3070" t="s">
        <v>3239</v>
      </c>
      <c r="CF550" s="3070" t="s">
        <v>3091</v>
      </c>
      <c r="CH550" s="3070" t="s">
        <v>3240</v>
      </c>
      <c r="CI550" s="3070">
        <v>0</v>
      </c>
      <c r="CK550" s="3070" t="s">
        <v>3393</v>
      </c>
      <c r="CL550" s="3070" t="s">
        <v>3393</v>
      </c>
      <c r="CM550" s="3070">
        <v>983633.03</v>
      </c>
      <c r="CV550" s="3070" t="s">
        <v>3246</v>
      </c>
      <c r="CW550" s="3070" t="s">
        <v>7747</v>
      </c>
      <c r="CZ550" s="3070">
        <v>213894.57</v>
      </c>
      <c r="DA550" s="3070">
        <v>159426.93</v>
      </c>
      <c r="DB550" s="3070">
        <v>0</v>
      </c>
      <c r="DC550" s="3070">
        <v>0</v>
      </c>
      <c r="DD550" s="3070">
        <v>3290547602</v>
      </c>
      <c r="DE550" s="3070">
        <v>2764253109</v>
      </c>
      <c r="DF550" s="3070">
        <v>1464966739</v>
      </c>
      <c r="DG550" s="3070">
        <v>14938370</v>
      </c>
      <c r="DH550" s="3070">
        <v>1284348000</v>
      </c>
      <c r="DI550" s="3070">
        <v>1278128000</v>
      </c>
      <c r="DJ550" s="3070">
        <v>6220000</v>
      </c>
      <c r="DK550" s="3070">
        <v>0</v>
      </c>
      <c r="DL550" s="3070">
        <v>0</v>
      </c>
      <c r="DM550" s="3070">
        <v>25491817.620000001</v>
      </c>
      <c r="DN550" s="3070">
        <v>2764253109</v>
      </c>
      <c r="DP550" s="3070">
        <v>2764253109</v>
      </c>
    </row>
    <row r="551" spans="1:120">
      <c r="A551" s="3070">
        <v>550</v>
      </c>
      <c r="B551" s="3070" t="s">
        <v>3224</v>
      </c>
      <c r="C551" s="3070">
        <v>6</v>
      </c>
      <c r="E551" s="3070">
        <v>1604</v>
      </c>
      <c r="F551" s="3070" t="s">
        <v>7748</v>
      </c>
      <c r="G551" s="3070" t="s">
        <v>7749</v>
      </c>
      <c r="H551" s="3070">
        <v>1436239</v>
      </c>
      <c r="I551" s="3070">
        <v>1436239</v>
      </c>
      <c r="J551" s="3070">
        <v>120.29</v>
      </c>
      <c r="K551" s="3070">
        <v>88.57</v>
      </c>
      <c r="L551" s="3070">
        <v>0</v>
      </c>
      <c r="M551" s="3070">
        <v>0</v>
      </c>
      <c r="N551" s="3070">
        <v>15294.44</v>
      </c>
      <c r="O551" s="3070">
        <v>1839768</v>
      </c>
      <c r="P551" s="3070">
        <v>11939.8</v>
      </c>
      <c r="Q551" s="3070">
        <v>1436239</v>
      </c>
      <c r="R551" s="3070" t="s">
        <v>3227</v>
      </c>
      <c r="S551" s="3070" t="s">
        <v>7750</v>
      </c>
      <c r="T551" s="3070" t="s">
        <v>3229</v>
      </c>
      <c r="V551" s="3070" t="s">
        <v>3230</v>
      </c>
      <c r="Y551" s="3070">
        <v>574496</v>
      </c>
      <c r="Z551" s="3070">
        <v>574496</v>
      </c>
      <c r="AA551" s="3070">
        <v>1436239</v>
      </c>
      <c r="AB551" s="3070">
        <v>0</v>
      </c>
      <c r="AC551" s="3070">
        <v>0</v>
      </c>
      <c r="AD551" s="3070">
        <v>0</v>
      </c>
      <c r="AE551" s="3070">
        <v>0</v>
      </c>
      <c r="AI551" s="3070" t="s">
        <v>3227</v>
      </c>
      <c r="AJ551" s="3070">
        <v>0</v>
      </c>
      <c r="AK551" s="3070">
        <v>0</v>
      </c>
      <c r="AL551" s="3070">
        <v>0</v>
      </c>
      <c r="AM551" s="3070">
        <v>11939.8</v>
      </c>
      <c r="AN551" s="3070">
        <v>1436239</v>
      </c>
      <c r="AP551" s="3070">
        <v>1436239</v>
      </c>
      <c r="AQ551" s="3072">
        <v>45138</v>
      </c>
      <c r="AT551" s="3073">
        <v>45678</v>
      </c>
      <c r="AV551" s="3070" t="s">
        <v>7751</v>
      </c>
      <c r="AW551" s="3070" t="s">
        <v>7752</v>
      </c>
      <c r="AX551" s="3070" t="s">
        <v>7753</v>
      </c>
      <c r="AY551" s="3070" t="s">
        <v>3981</v>
      </c>
      <c r="BA551" s="3070" t="s">
        <v>3981</v>
      </c>
      <c r="BC551" s="3070" t="s">
        <v>7754</v>
      </c>
      <c r="BD551" s="3070" t="s">
        <v>3075</v>
      </c>
      <c r="BI551" s="3070" t="s">
        <v>3295</v>
      </c>
      <c r="BL551" s="3070" t="s">
        <v>7755</v>
      </c>
      <c r="BM551" s="3075">
        <v>44348</v>
      </c>
      <c r="BN551" s="3070">
        <v>604</v>
      </c>
      <c r="BR551" s="3070">
        <v>21</v>
      </c>
      <c r="BS551" s="3070" t="s">
        <v>3238</v>
      </c>
      <c r="BT551" s="3070" t="s">
        <v>3481</v>
      </c>
      <c r="BU551" s="3070" t="s">
        <v>3981</v>
      </c>
      <c r="BZ551" s="3073">
        <v>44205.779861111114</v>
      </c>
      <c r="CA551" s="3070">
        <v>6</v>
      </c>
      <c r="CB551" s="3070" t="s">
        <v>3481</v>
      </c>
      <c r="CD551" s="3070" t="s">
        <v>3239</v>
      </c>
      <c r="CF551" s="3070" t="s">
        <v>3091</v>
      </c>
      <c r="CH551" s="3070" t="s">
        <v>3240</v>
      </c>
      <c r="CI551" s="3070">
        <v>0</v>
      </c>
      <c r="CK551" s="3070" t="s">
        <v>3981</v>
      </c>
      <c r="CL551" s="3070" t="s">
        <v>3986</v>
      </c>
      <c r="CM551" s="3070">
        <v>1317650.46</v>
      </c>
      <c r="CV551" s="3070" t="s">
        <v>3229</v>
      </c>
      <c r="CW551" s="3070" t="s">
        <v>7756</v>
      </c>
      <c r="CZ551" s="3070">
        <v>213894.57</v>
      </c>
      <c r="DA551" s="3070">
        <v>159426.93</v>
      </c>
      <c r="DB551" s="3070">
        <v>0</v>
      </c>
      <c r="DC551" s="3070">
        <v>0</v>
      </c>
      <c r="DD551" s="3070">
        <v>3290547602</v>
      </c>
      <c r="DE551" s="3070">
        <v>2764253109</v>
      </c>
      <c r="DF551" s="3070">
        <v>1464966739</v>
      </c>
      <c r="DG551" s="3070">
        <v>14938370</v>
      </c>
      <c r="DH551" s="3070">
        <v>1284348000</v>
      </c>
      <c r="DI551" s="3070">
        <v>1278128000</v>
      </c>
      <c r="DJ551" s="3070">
        <v>6220000</v>
      </c>
      <c r="DK551" s="3070">
        <v>0</v>
      </c>
      <c r="DL551" s="3070">
        <v>0</v>
      </c>
      <c r="DM551" s="3070">
        <v>25491817.620000001</v>
      </c>
      <c r="DN551" s="3070">
        <v>2764253109</v>
      </c>
      <c r="DP551" s="3070">
        <v>2764253109</v>
      </c>
    </row>
    <row r="552" spans="1:120">
      <c r="A552" s="3070">
        <v>551</v>
      </c>
      <c r="B552" s="3070" t="s">
        <v>3224</v>
      </c>
      <c r="C552" s="3070">
        <v>6</v>
      </c>
      <c r="E552" s="3070">
        <v>1701</v>
      </c>
      <c r="F552" s="3070" t="s">
        <v>7757</v>
      </c>
      <c r="G552" s="3070" t="s">
        <v>7758</v>
      </c>
      <c r="H552" s="3070">
        <v>1352783</v>
      </c>
      <c r="I552" s="3070">
        <v>1352783</v>
      </c>
      <c r="J552" s="3070">
        <v>108.94</v>
      </c>
      <c r="K552" s="3070">
        <v>80.209999999999994</v>
      </c>
      <c r="L552" s="3070">
        <v>0</v>
      </c>
      <c r="M552" s="3070">
        <v>0</v>
      </c>
      <c r="N552" s="3070">
        <v>15344.44</v>
      </c>
      <c r="O552" s="3070">
        <v>1671623</v>
      </c>
      <c r="P552" s="3070">
        <v>12417.69</v>
      </c>
      <c r="Q552" s="3070">
        <v>1352783</v>
      </c>
      <c r="R552" s="3070" t="s">
        <v>3227</v>
      </c>
      <c r="S552" s="3070" t="s">
        <v>7759</v>
      </c>
      <c r="T552" s="3070" t="s">
        <v>3258</v>
      </c>
      <c r="U552" s="3070" t="s">
        <v>3259</v>
      </c>
      <c r="V552" s="3070" t="s">
        <v>3230</v>
      </c>
      <c r="Y552" s="3070">
        <v>542783</v>
      </c>
      <c r="Z552" s="3070">
        <v>542783</v>
      </c>
      <c r="AA552" s="3070">
        <v>542783</v>
      </c>
      <c r="AB552" s="3070">
        <v>0</v>
      </c>
      <c r="AC552" s="3070">
        <v>810000</v>
      </c>
      <c r="AD552" s="3070">
        <v>810000</v>
      </c>
      <c r="AE552" s="3070">
        <v>0</v>
      </c>
      <c r="AI552" s="3070" t="s">
        <v>3227</v>
      </c>
      <c r="AJ552" s="3070">
        <v>0</v>
      </c>
      <c r="AK552" s="3070">
        <v>0</v>
      </c>
      <c r="AL552" s="3070">
        <v>0</v>
      </c>
      <c r="AM552" s="3070">
        <v>12417.69</v>
      </c>
      <c r="AN552" s="3070">
        <v>1352783</v>
      </c>
      <c r="AP552" s="3070">
        <v>1352783</v>
      </c>
      <c r="AQ552" s="3072">
        <v>45138</v>
      </c>
      <c r="AT552" s="3073">
        <v>45678</v>
      </c>
      <c r="AV552" s="3070" t="s">
        <v>7760</v>
      </c>
      <c r="AW552" s="3070" t="s">
        <v>7761</v>
      </c>
      <c r="AX552" s="3070" t="s">
        <v>7762</v>
      </c>
      <c r="AY552" s="3070" t="s">
        <v>3760</v>
      </c>
      <c r="BA552" s="3070" t="s">
        <v>3760</v>
      </c>
      <c r="BC552" s="3070" t="s">
        <v>3263</v>
      </c>
      <c r="BD552" s="3070" t="s">
        <v>3077</v>
      </c>
      <c r="BI552" s="3070" t="s">
        <v>3235</v>
      </c>
      <c r="BJ552" s="3070" t="s">
        <v>3338</v>
      </c>
      <c r="BL552" s="3070" t="s">
        <v>7763</v>
      </c>
      <c r="BM552" s="3075">
        <v>44348</v>
      </c>
      <c r="BN552" s="3070">
        <v>701</v>
      </c>
      <c r="BO552" s="3070" t="s">
        <v>3253</v>
      </c>
      <c r="BP552" s="3070" t="s">
        <v>3253</v>
      </c>
      <c r="BR552" s="3070">
        <v>650</v>
      </c>
      <c r="BS552" s="3070" t="s">
        <v>3238</v>
      </c>
      <c r="BU552" s="3070" t="s">
        <v>3760</v>
      </c>
      <c r="BZ552" s="3073">
        <v>44142.870833333334</v>
      </c>
      <c r="CA552" s="3070">
        <v>6</v>
      </c>
      <c r="CD552" s="3070" t="s">
        <v>3239</v>
      </c>
      <c r="CF552" s="3070" t="s">
        <v>3091</v>
      </c>
      <c r="CH552" s="3070" t="s">
        <v>3240</v>
      </c>
      <c r="CI552" s="3070">
        <v>0</v>
      </c>
      <c r="CJ552" s="3070" t="s">
        <v>3259</v>
      </c>
      <c r="CK552" s="3070" t="s">
        <v>3760</v>
      </c>
      <c r="CL552" s="3070" t="s">
        <v>3760</v>
      </c>
      <c r="CM552" s="3070">
        <v>1241085.32</v>
      </c>
      <c r="CV552" s="3070" t="s">
        <v>3258</v>
      </c>
      <c r="CW552" s="3070" t="s">
        <v>7764</v>
      </c>
      <c r="CZ552" s="3070">
        <v>213894.57</v>
      </c>
      <c r="DA552" s="3070">
        <v>159426.93</v>
      </c>
      <c r="DB552" s="3070">
        <v>0</v>
      </c>
      <c r="DC552" s="3070">
        <v>0</v>
      </c>
      <c r="DD552" s="3070">
        <v>3290547602</v>
      </c>
      <c r="DE552" s="3070">
        <v>2764253109</v>
      </c>
      <c r="DF552" s="3070">
        <v>1464966739</v>
      </c>
      <c r="DG552" s="3070">
        <v>14938370</v>
      </c>
      <c r="DH552" s="3070">
        <v>1284348000</v>
      </c>
      <c r="DI552" s="3070">
        <v>1278128000</v>
      </c>
      <c r="DJ552" s="3070">
        <v>6220000</v>
      </c>
      <c r="DK552" s="3070">
        <v>0</v>
      </c>
      <c r="DL552" s="3070">
        <v>0</v>
      </c>
      <c r="DM552" s="3070">
        <v>25491817.620000001</v>
      </c>
      <c r="DN552" s="3070">
        <v>2764253109</v>
      </c>
      <c r="DP552" s="3070">
        <v>2764253109</v>
      </c>
    </row>
    <row r="553" spans="1:120">
      <c r="A553" s="3070">
        <v>552</v>
      </c>
      <c r="B553" s="3070" t="s">
        <v>3224</v>
      </c>
      <c r="C553" s="3070">
        <v>6</v>
      </c>
      <c r="E553" s="3070">
        <v>1702</v>
      </c>
      <c r="F553" s="3070" t="s">
        <v>7765</v>
      </c>
      <c r="G553" s="3070" t="s">
        <v>7766</v>
      </c>
      <c r="H553" s="3070">
        <v>1064106</v>
      </c>
      <c r="I553" s="3070">
        <v>1064106</v>
      </c>
      <c r="J553" s="3070">
        <v>84.72</v>
      </c>
      <c r="K553" s="3070">
        <v>62.38</v>
      </c>
      <c r="L553" s="3070">
        <v>0</v>
      </c>
      <c r="M553" s="3070">
        <v>0</v>
      </c>
      <c r="N553" s="3070">
        <v>15494.44</v>
      </c>
      <c r="O553" s="3070">
        <v>1312689</v>
      </c>
      <c r="P553" s="3070">
        <v>12560.27</v>
      </c>
      <c r="Q553" s="3070">
        <v>1064106</v>
      </c>
      <c r="R553" s="3070" t="s">
        <v>3227</v>
      </c>
      <c r="S553" s="3070" t="s">
        <v>7767</v>
      </c>
      <c r="T553" s="3070" t="s">
        <v>3258</v>
      </c>
      <c r="U553" s="3070" t="s">
        <v>3259</v>
      </c>
      <c r="V553" s="3070" t="s">
        <v>3230</v>
      </c>
      <c r="Y553" s="3070">
        <v>324106</v>
      </c>
      <c r="Z553" s="3070">
        <v>324106</v>
      </c>
      <c r="AA553" s="3070">
        <v>324106</v>
      </c>
      <c r="AB553" s="3070">
        <v>0</v>
      </c>
      <c r="AC553" s="3070">
        <v>740000</v>
      </c>
      <c r="AD553" s="3070">
        <v>740000</v>
      </c>
      <c r="AE553" s="3070">
        <v>0</v>
      </c>
      <c r="AI553" s="3070" t="s">
        <v>3227</v>
      </c>
      <c r="AJ553" s="3070">
        <v>0</v>
      </c>
      <c r="AK553" s="3070">
        <v>0</v>
      </c>
      <c r="AL553" s="3070">
        <v>0</v>
      </c>
      <c r="AM553" s="3070">
        <v>12560.27</v>
      </c>
      <c r="AN553" s="3070">
        <v>1064106</v>
      </c>
      <c r="AP553" s="3070">
        <v>1064106</v>
      </c>
      <c r="AQ553" s="3072">
        <v>45138</v>
      </c>
      <c r="AT553" s="3073">
        <v>45678</v>
      </c>
      <c r="AV553" s="3074">
        <v>3.21E+17</v>
      </c>
      <c r="AW553" s="3070" t="s">
        <v>7768</v>
      </c>
      <c r="AX553" s="3070" t="s">
        <v>7769</v>
      </c>
      <c r="AY553" s="3070" t="s">
        <v>3722</v>
      </c>
      <c r="BC553" s="3070" t="s">
        <v>3263</v>
      </c>
      <c r="BD553" s="3070" t="s">
        <v>3076</v>
      </c>
      <c r="BI553" s="3070" t="s">
        <v>3235</v>
      </c>
      <c r="BJ553" s="3070" t="s">
        <v>3285</v>
      </c>
      <c r="BL553" s="3070" t="s">
        <v>7770</v>
      </c>
      <c r="BM553" s="3075">
        <v>44348</v>
      </c>
      <c r="BN553" s="3070">
        <v>702</v>
      </c>
      <c r="BO553" s="3070" t="s">
        <v>3403</v>
      </c>
      <c r="BP553" s="3070" t="s">
        <v>3403</v>
      </c>
      <c r="BR553" s="3070">
        <v>415</v>
      </c>
      <c r="BS553" s="3070" t="s">
        <v>3238</v>
      </c>
      <c r="BZ553" s="3073">
        <v>44142.63958333333</v>
      </c>
      <c r="CA553" s="3070">
        <v>6</v>
      </c>
      <c r="CD553" s="3070" t="s">
        <v>3239</v>
      </c>
      <c r="CF553" s="3070" t="s">
        <v>3091</v>
      </c>
      <c r="CH553" s="3070" t="s">
        <v>3240</v>
      </c>
      <c r="CI553" s="3070">
        <v>0</v>
      </c>
      <c r="CJ553" s="3070" t="s">
        <v>3259</v>
      </c>
      <c r="CK553" s="3070" t="s">
        <v>3722</v>
      </c>
      <c r="CL553" s="3070" t="s">
        <v>3722</v>
      </c>
      <c r="CM553" s="3070">
        <v>976244.03</v>
      </c>
      <c r="CV553" s="3070" t="s">
        <v>3258</v>
      </c>
      <c r="CW553" s="3070" t="s">
        <v>7771</v>
      </c>
      <c r="CX553" s="3070" t="s">
        <v>3267</v>
      </c>
      <c r="CZ553" s="3070">
        <v>213894.57</v>
      </c>
      <c r="DA553" s="3070">
        <v>159426.93</v>
      </c>
      <c r="DB553" s="3070">
        <v>0</v>
      </c>
      <c r="DC553" s="3070">
        <v>0</v>
      </c>
      <c r="DD553" s="3070">
        <v>3290547602</v>
      </c>
      <c r="DE553" s="3070">
        <v>2764253109</v>
      </c>
      <c r="DF553" s="3070">
        <v>1464966739</v>
      </c>
      <c r="DG553" s="3070">
        <v>14938370</v>
      </c>
      <c r="DH553" s="3070">
        <v>1284348000</v>
      </c>
      <c r="DI553" s="3070">
        <v>1278128000</v>
      </c>
      <c r="DJ553" s="3070">
        <v>6220000</v>
      </c>
      <c r="DK553" s="3070">
        <v>0</v>
      </c>
      <c r="DL553" s="3070">
        <v>0</v>
      </c>
      <c r="DM553" s="3070">
        <v>25491817.620000001</v>
      </c>
      <c r="DN553" s="3070">
        <v>2764253109</v>
      </c>
      <c r="DP553" s="3070">
        <v>2764253109</v>
      </c>
    </row>
    <row r="554" spans="1:120">
      <c r="A554" s="3070">
        <v>553</v>
      </c>
      <c r="B554" s="3070" t="s">
        <v>3224</v>
      </c>
      <c r="C554" s="3070">
        <v>6</v>
      </c>
      <c r="E554" s="3070">
        <v>1703</v>
      </c>
      <c r="F554" s="3070" t="s">
        <v>7772</v>
      </c>
      <c r="G554" s="3070" t="s">
        <v>7773</v>
      </c>
      <c r="H554" s="3070">
        <v>1064106</v>
      </c>
      <c r="I554" s="3070">
        <v>1064106</v>
      </c>
      <c r="J554" s="3070">
        <v>84.72</v>
      </c>
      <c r="K554" s="3070">
        <v>62.38</v>
      </c>
      <c r="L554" s="3070">
        <v>0</v>
      </c>
      <c r="M554" s="3070">
        <v>0</v>
      </c>
      <c r="N554" s="3070">
        <v>15494.44</v>
      </c>
      <c r="O554" s="3070">
        <v>1312689</v>
      </c>
      <c r="P554" s="3070">
        <v>12560.27</v>
      </c>
      <c r="Q554" s="3070">
        <v>1064106</v>
      </c>
      <c r="R554" s="3070" t="s">
        <v>3227</v>
      </c>
      <c r="S554" s="3070" t="s">
        <v>7774</v>
      </c>
      <c r="T554" s="3070" t="s">
        <v>3246</v>
      </c>
      <c r="U554" s="3070" t="s">
        <v>3247</v>
      </c>
      <c r="V554" s="3070" t="s">
        <v>3230</v>
      </c>
      <c r="Y554" s="3070">
        <v>324106</v>
      </c>
      <c r="Z554" s="3070">
        <v>106411</v>
      </c>
      <c r="AA554" s="3070">
        <v>324106</v>
      </c>
      <c r="AB554" s="3070">
        <v>0</v>
      </c>
      <c r="AC554" s="3070">
        <v>740000</v>
      </c>
      <c r="AD554" s="3070">
        <v>740000</v>
      </c>
      <c r="AE554" s="3070">
        <v>0</v>
      </c>
      <c r="AI554" s="3070" t="s">
        <v>3227</v>
      </c>
      <c r="AJ554" s="3070">
        <v>0</v>
      </c>
      <c r="AK554" s="3070">
        <v>0</v>
      </c>
      <c r="AL554" s="3070">
        <v>0</v>
      </c>
      <c r="AM554" s="3070">
        <v>12560.27</v>
      </c>
      <c r="AN554" s="3070">
        <v>1064106</v>
      </c>
      <c r="AP554" s="3070">
        <v>1064106</v>
      </c>
      <c r="AQ554" s="3072">
        <v>45138</v>
      </c>
      <c r="AT554" s="3073">
        <v>45678</v>
      </c>
      <c r="AV554" s="3074">
        <v>3.21E+17</v>
      </c>
      <c r="AW554" s="3070" t="s">
        <v>7775</v>
      </c>
      <c r="AX554" s="3070" t="s">
        <v>7776</v>
      </c>
      <c r="AY554" s="3070" t="s">
        <v>3597</v>
      </c>
      <c r="BC554" s="3070" t="s">
        <v>3284</v>
      </c>
      <c r="BD554" s="3070" t="s">
        <v>3076</v>
      </c>
      <c r="BI554" s="3070" t="s">
        <v>3235</v>
      </c>
      <c r="BJ554" s="3070" t="s">
        <v>3338</v>
      </c>
      <c r="BL554" s="3070" t="s">
        <v>7777</v>
      </c>
      <c r="BM554" s="3075">
        <v>44348</v>
      </c>
      <c r="BN554" s="3070">
        <v>703</v>
      </c>
      <c r="BO554" s="3070" t="s">
        <v>3253</v>
      </c>
      <c r="BR554" s="3070">
        <v>0</v>
      </c>
      <c r="BS554" s="3070" t="s">
        <v>3238</v>
      </c>
      <c r="BZ554" s="3073">
        <v>44153.925000000003</v>
      </c>
      <c r="CA554" s="3070">
        <v>6</v>
      </c>
      <c r="CD554" s="3070" t="s">
        <v>3239</v>
      </c>
      <c r="CF554" s="3070" t="s">
        <v>3091</v>
      </c>
      <c r="CH554" s="3070" t="s">
        <v>3240</v>
      </c>
      <c r="CI554" s="3070">
        <v>0</v>
      </c>
      <c r="CK554" s="3070" t="s">
        <v>3597</v>
      </c>
      <c r="CL554" s="3070" t="s">
        <v>3597</v>
      </c>
      <c r="CM554" s="3070">
        <v>976244.04</v>
      </c>
      <c r="CV554" s="3070" t="s">
        <v>3246</v>
      </c>
      <c r="CW554" s="3070" t="s">
        <v>7778</v>
      </c>
      <c r="CZ554" s="3070">
        <v>213894.57</v>
      </c>
      <c r="DA554" s="3070">
        <v>159426.93</v>
      </c>
      <c r="DB554" s="3070">
        <v>0</v>
      </c>
      <c r="DC554" s="3070">
        <v>0</v>
      </c>
      <c r="DD554" s="3070">
        <v>3290547602</v>
      </c>
      <c r="DE554" s="3070">
        <v>2764253109</v>
      </c>
      <c r="DF554" s="3070">
        <v>1464966739</v>
      </c>
      <c r="DG554" s="3070">
        <v>14938370</v>
      </c>
      <c r="DH554" s="3070">
        <v>1284348000</v>
      </c>
      <c r="DI554" s="3070">
        <v>1278128000</v>
      </c>
      <c r="DJ554" s="3070">
        <v>6220000</v>
      </c>
      <c r="DK554" s="3070">
        <v>0</v>
      </c>
      <c r="DL554" s="3070">
        <v>0</v>
      </c>
      <c r="DM554" s="3070">
        <v>25491817.620000001</v>
      </c>
      <c r="DN554" s="3070">
        <v>2764253109</v>
      </c>
      <c r="DP554" s="3070">
        <v>2764253109</v>
      </c>
    </row>
    <row r="555" spans="1:120">
      <c r="A555" s="3070">
        <v>554</v>
      </c>
      <c r="B555" s="3070" t="s">
        <v>3224</v>
      </c>
      <c r="C555" s="3070">
        <v>6</v>
      </c>
      <c r="E555" s="3070">
        <v>1704</v>
      </c>
      <c r="F555" s="3070" t="s">
        <v>7779</v>
      </c>
      <c r="G555" s="3070" t="s">
        <v>7780</v>
      </c>
      <c r="H555" s="3070">
        <v>1426157</v>
      </c>
      <c r="I555" s="3070">
        <v>1426157</v>
      </c>
      <c r="J555" s="3070">
        <v>120.29</v>
      </c>
      <c r="K555" s="3070">
        <v>88.57</v>
      </c>
      <c r="L555" s="3070">
        <v>0</v>
      </c>
      <c r="M555" s="3070">
        <v>0</v>
      </c>
      <c r="N555" s="3070">
        <v>15194.44</v>
      </c>
      <c r="O555" s="3070">
        <v>1827739</v>
      </c>
      <c r="P555" s="3070">
        <v>11855.99</v>
      </c>
      <c r="Q555" s="3070">
        <v>1426157</v>
      </c>
      <c r="R555" s="3070" t="s">
        <v>3227</v>
      </c>
      <c r="S555" s="3070" t="s">
        <v>3353</v>
      </c>
      <c r="T555" s="3070" t="s">
        <v>3991</v>
      </c>
      <c r="V555" s="3070" t="s">
        <v>3230</v>
      </c>
      <c r="Y555" s="3070">
        <v>427847</v>
      </c>
      <c r="Z555" s="3070">
        <v>427847</v>
      </c>
      <c r="AA555" s="3070">
        <v>1426157</v>
      </c>
      <c r="AB555" s="3070">
        <v>0</v>
      </c>
      <c r="AC555" s="3070">
        <v>0</v>
      </c>
      <c r="AD555" s="3070">
        <v>0</v>
      </c>
      <c r="AE555" s="3070">
        <v>0</v>
      </c>
      <c r="AI555" s="3070" t="s">
        <v>3227</v>
      </c>
      <c r="AJ555" s="3070">
        <v>0</v>
      </c>
      <c r="AK555" s="3070">
        <v>0</v>
      </c>
      <c r="AL555" s="3070">
        <v>0</v>
      </c>
      <c r="AM555" s="3070">
        <v>11855.99</v>
      </c>
      <c r="AN555" s="3070">
        <v>1426157</v>
      </c>
      <c r="AP555" s="3070">
        <v>1426157</v>
      </c>
      <c r="AQ555" s="3072">
        <v>45138</v>
      </c>
      <c r="AT555" s="3073">
        <v>45678</v>
      </c>
      <c r="AV555" s="3074">
        <v>3.2E+17</v>
      </c>
      <c r="AW555" s="3070" t="s">
        <v>7781</v>
      </c>
      <c r="AX555" s="3070" t="s">
        <v>7782</v>
      </c>
      <c r="AY555" s="3070" t="s">
        <v>7783</v>
      </c>
      <c r="BA555" s="3070" t="s">
        <v>7783</v>
      </c>
      <c r="BC555" s="3070" t="s">
        <v>4145</v>
      </c>
      <c r="BD555" s="3070" t="s">
        <v>3075</v>
      </c>
      <c r="BI555" s="3070" t="s">
        <v>4630</v>
      </c>
      <c r="BL555" s="3070" t="s">
        <v>7784</v>
      </c>
      <c r="BM555" s="3075">
        <v>44348</v>
      </c>
      <c r="BN555" s="3070">
        <v>704</v>
      </c>
      <c r="BR555" s="3070">
        <v>19</v>
      </c>
      <c r="BS555" s="3070" t="s">
        <v>3238</v>
      </c>
      <c r="BU555" s="3070" t="s">
        <v>7783</v>
      </c>
      <c r="BZ555" s="3073">
        <v>44206.754166666666</v>
      </c>
      <c r="CA555" s="3070">
        <v>6</v>
      </c>
      <c r="CD555" s="3070" t="s">
        <v>3239</v>
      </c>
      <c r="CF555" s="3070" t="s">
        <v>3091</v>
      </c>
      <c r="CH555" s="3070" t="s">
        <v>3240</v>
      </c>
      <c r="CI555" s="3070">
        <v>0</v>
      </c>
      <c r="CK555" s="3070" t="s">
        <v>7785</v>
      </c>
      <c r="CL555" s="3070" t="s">
        <v>7783</v>
      </c>
      <c r="CM555" s="3070">
        <v>1308400.92</v>
      </c>
      <c r="CV555" s="3070" t="s">
        <v>3494</v>
      </c>
      <c r="CW555" s="3070" t="s">
        <v>7786</v>
      </c>
      <c r="CZ555" s="3070">
        <v>213894.57</v>
      </c>
      <c r="DA555" s="3070">
        <v>159426.93</v>
      </c>
      <c r="DB555" s="3070">
        <v>0</v>
      </c>
      <c r="DC555" s="3070">
        <v>0</v>
      </c>
      <c r="DD555" s="3070">
        <v>3290547602</v>
      </c>
      <c r="DE555" s="3070">
        <v>2764253109</v>
      </c>
      <c r="DF555" s="3070">
        <v>1464966739</v>
      </c>
      <c r="DG555" s="3070">
        <v>14938370</v>
      </c>
      <c r="DH555" s="3070">
        <v>1284348000</v>
      </c>
      <c r="DI555" s="3070">
        <v>1278128000</v>
      </c>
      <c r="DJ555" s="3070">
        <v>6220000</v>
      </c>
      <c r="DK555" s="3070">
        <v>0</v>
      </c>
      <c r="DL555" s="3070">
        <v>0</v>
      </c>
      <c r="DM555" s="3070">
        <v>25491817.620000001</v>
      </c>
      <c r="DN555" s="3070">
        <v>2764253109</v>
      </c>
      <c r="DP555" s="3070">
        <v>2764253109</v>
      </c>
    </row>
    <row r="556" spans="1:120">
      <c r="A556" s="3070">
        <v>555</v>
      </c>
      <c r="B556" s="3070" t="s">
        <v>3224</v>
      </c>
      <c r="C556" s="3070">
        <v>6</v>
      </c>
      <c r="E556" s="3070">
        <v>1801</v>
      </c>
      <c r="F556" s="3070" t="s">
        <v>7787</v>
      </c>
      <c r="G556" s="3070" t="s">
        <v>7788</v>
      </c>
      <c r="H556" s="3070">
        <v>587638</v>
      </c>
      <c r="I556" s="3070">
        <v>979396</v>
      </c>
      <c r="J556" s="3070">
        <v>108.94</v>
      </c>
      <c r="K556" s="3070">
        <v>80.209999999999994</v>
      </c>
      <c r="L556" s="3070">
        <v>0</v>
      </c>
      <c r="M556" s="3070">
        <v>0</v>
      </c>
      <c r="N556" s="3070">
        <v>15144.44</v>
      </c>
      <c r="O556" s="3070">
        <v>1649835</v>
      </c>
      <c r="P556" s="3070">
        <v>8990.23</v>
      </c>
      <c r="Q556" s="3070">
        <v>979396</v>
      </c>
      <c r="R556" s="3070" t="s">
        <v>3227</v>
      </c>
      <c r="S556" s="3070" t="s">
        <v>3353</v>
      </c>
      <c r="T556" s="3070" t="s">
        <v>4158</v>
      </c>
      <c r="V556" s="3070" t="s">
        <v>3230</v>
      </c>
      <c r="Y556" s="3070">
        <v>489698</v>
      </c>
      <c r="Z556" s="3070">
        <v>489698</v>
      </c>
      <c r="AA556" s="3070">
        <v>587638</v>
      </c>
      <c r="AB556" s="3070">
        <v>391758</v>
      </c>
      <c r="AC556" s="3070">
        <v>0</v>
      </c>
      <c r="AD556" s="3070">
        <v>0</v>
      </c>
      <c r="AE556" s="3070">
        <v>0</v>
      </c>
      <c r="AI556" s="3070" t="s">
        <v>3227</v>
      </c>
      <c r="AJ556" s="3070">
        <v>0</v>
      </c>
      <c r="AK556" s="3070">
        <v>0</v>
      </c>
      <c r="AL556" s="3070">
        <v>0</v>
      </c>
      <c r="AM556" s="3070">
        <v>8990.23</v>
      </c>
      <c r="AN556" s="3070">
        <v>979396</v>
      </c>
      <c r="AP556" s="3070">
        <v>979396</v>
      </c>
      <c r="AQ556" s="3072">
        <v>45138</v>
      </c>
      <c r="AT556" s="3073">
        <v>45678</v>
      </c>
      <c r="AV556" s="3074">
        <v>3.21E+17</v>
      </c>
      <c r="AW556" s="3070" t="s">
        <v>7789</v>
      </c>
      <c r="AY556" s="3070" t="s">
        <v>4265</v>
      </c>
      <c r="BC556" s="3070" t="s">
        <v>5813</v>
      </c>
      <c r="BD556" s="3070" t="s">
        <v>3077</v>
      </c>
      <c r="BI556" s="3070" t="s">
        <v>3235</v>
      </c>
      <c r="BL556" s="3070" t="s">
        <v>7790</v>
      </c>
      <c r="BM556" s="3075">
        <v>44348</v>
      </c>
      <c r="BN556" s="3070">
        <v>801</v>
      </c>
      <c r="BR556" s="3070">
        <v>0</v>
      </c>
      <c r="BS556" s="3070" t="s">
        <v>3238</v>
      </c>
      <c r="BV556" s="3070" t="s">
        <v>7791</v>
      </c>
      <c r="BW556" s="3070" t="s">
        <v>7792</v>
      </c>
      <c r="BX556" s="3070" t="s">
        <v>7793</v>
      </c>
      <c r="BZ556" s="3073">
        <v>44275.724305555559</v>
      </c>
      <c r="CA556" s="3070">
        <v>6</v>
      </c>
      <c r="CD556" s="3070" t="s">
        <v>3239</v>
      </c>
      <c r="CF556" s="3070" t="s">
        <v>3091</v>
      </c>
      <c r="CH556" s="3070" t="s">
        <v>3240</v>
      </c>
      <c r="CI556" s="3070">
        <v>0</v>
      </c>
      <c r="CK556" s="3070" t="s">
        <v>4265</v>
      </c>
      <c r="CL556" s="3070" t="s">
        <v>4265</v>
      </c>
      <c r="CM556" s="3070">
        <v>898528.44</v>
      </c>
      <c r="CV556" s="3070" t="s">
        <v>3494</v>
      </c>
      <c r="CW556" s="3070" t="s">
        <v>7794</v>
      </c>
      <c r="CX556" s="3070" t="s">
        <v>3242</v>
      </c>
      <c r="CZ556" s="3070">
        <v>213894.57</v>
      </c>
      <c r="DA556" s="3070">
        <v>159426.93</v>
      </c>
      <c r="DB556" s="3070">
        <v>0</v>
      </c>
      <c r="DC556" s="3070">
        <v>0</v>
      </c>
      <c r="DD556" s="3070">
        <v>3290547602</v>
      </c>
      <c r="DE556" s="3070">
        <v>2764253109</v>
      </c>
      <c r="DF556" s="3070">
        <v>1464966739</v>
      </c>
      <c r="DG556" s="3070">
        <v>14938370</v>
      </c>
      <c r="DH556" s="3070">
        <v>1284348000</v>
      </c>
      <c r="DI556" s="3070">
        <v>1278128000</v>
      </c>
      <c r="DJ556" s="3070">
        <v>6220000</v>
      </c>
      <c r="DK556" s="3070">
        <v>0</v>
      </c>
      <c r="DL556" s="3070">
        <v>0</v>
      </c>
      <c r="DM556" s="3070">
        <v>25491817.620000001</v>
      </c>
      <c r="DN556" s="3070">
        <v>2764253109</v>
      </c>
      <c r="DP556" s="3070">
        <v>2764253109</v>
      </c>
    </row>
    <row r="557" spans="1:120">
      <c r="A557" s="3070">
        <v>556</v>
      </c>
      <c r="B557" s="3070" t="s">
        <v>3224</v>
      </c>
      <c r="C557" s="3070">
        <v>6</v>
      </c>
      <c r="E557" s="3070">
        <v>1802</v>
      </c>
      <c r="F557" s="3070" t="s">
        <v>7795</v>
      </c>
      <c r="G557" s="3070" t="s">
        <v>7796</v>
      </c>
      <c r="H557" s="3070">
        <v>1136171</v>
      </c>
      <c r="I557" s="3070">
        <v>1136171</v>
      </c>
      <c r="J557" s="3070">
        <v>84.72</v>
      </c>
      <c r="K557" s="3070">
        <v>62.38</v>
      </c>
      <c r="L557" s="3070">
        <v>0</v>
      </c>
      <c r="M557" s="3070">
        <v>0</v>
      </c>
      <c r="N557" s="3070">
        <v>15294.44</v>
      </c>
      <c r="O557" s="3070">
        <v>1295745</v>
      </c>
      <c r="P557" s="3070">
        <v>13410.89</v>
      </c>
      <c r="Q557" s="3070">
        <v>1136171</v>
      </c>
      <c r="R557" s="3070" t="s">
        <v>3227</v>
      </c>
      <c r="S557" s="3070" t="s">
        <v>7797</v>
      </c>
      <c r="T557" s="3070" t="s">
        <v>3246</v>
      </c>
      <c r="U557" s="3070" t="s">
        <v>3381</v>
      </c>
      <c r="V557" s="3070" t="s">
        <v>3230</v>
      </c>
      <c r="Y557" s="3070">
        <v>386171</v>
      </c>
      <c r="Z557" s="3070">
        <v>386171</v>
      </c>
      <c r="AA557" s="3070">
        <v>386171</v>
      </c>
      <c r="AB557" s="3070">
        <v>0</v>
      </c>
      <c r="AC557" s="3070">
        <v>750000</v>
      </c>
      <c r="AD557" s="3070">
        <v>750000</v>
      </c>
      <c r="AE557" s="3070">
        <v>0</v>
      </c>
      <c r="AI557" s="3070" t="s">
        <v>3227</v>
      </c>
      <c r="AJ557" s="3070">
        <v>0</v>
      </c>
      <c r="AK557" s="3070">
        <v>0</v>
      </c>
      <c r="AL557" s="3070">
        <v>0</v>
      </c>
      <c r="AM557" s="3070">
        <v>13410.89</v>
      </c>
      <c r="AN557" s="3070">
        <v>1136171</v>
      </c>
      <c r="AP557" s="3070">
        <v>1136171</v>
      </c>
      <c r="AQ557" s="3072">
        <v>45138</v>
      </c>
      <c r="AT557" s="3073">
        <v>45678</v>
      </c>
      <c r="AV557" s="3070" t="s">
        <v>7798</v>
      </c>
      <c r="AW557" s="3070" t="s">
        <v>7799</v>
      </c>
      <c r="AX557" s="3070" t="s">
        <v>7800</v>
      </c>
      <c r="AY557" s="3070" t="s">
        <v>4019</v>
      </c>
      <c r="BC557" s="3070" t="s">
        <v>4175</v>
      </c>
      <c r="BD557" s="3070" t="s">
        <v>3076</v>
      </c>
      <c r="BI557" s="3070" t="s">
        <v>3235</v>
      </c>
      <c r="BJ557" s="3070" t="s">
        <v>3296</v>
      </c>
      <c r="BL557" s="3070" t="s">
        <v>7801</v>
      </c>
      <c r="BM557" s="3075">
        <v>44348</v>
      </c>
      <c r="BN557" s="3070">
        <v>802</v>
      </c>
      <c r="BO557" s="3070" t="s">
        <v>3253</v>
      </c>
      <c r="BR557" s="3070">
        <v>0</v>
      </c>
      <c r="BS557" s="3070" t="s">
        <v>3238</v>
      </c>
      <c r="BZ557" s="3073">
        <v>44250.556944444441</v>
      </c>
      <c r="CA557" s="3070">
        <v>6</v>
      </c>
      <c r="CD557" s="3070" t="s">
        <v>3239</v>
      </c>
      <c r="CF557" s="3070" t="s">
        <v>3091</v>
      </c>
      <c r="CH557" s="3070" t="s">
        <v>3240</v>
      </c>
      <c r="CI557" s="3070">
        <v>0</v>
      </c>
      <c r="CK557" s="3070" t="s">
        <v>4019</v>
      </c>
      <c r="CL557" s="3070" t="s">
        <v>4019</v>
      </c>
      <c r="CM557" s="3070">
        <v>1042358.72</v>
      </c>
      <c r="CV557" s="3070" t="s">
        <v>3246</v>
      </c>
      <c r="CW557" s="3070" t="s">
        <v>7802</v>
      </c>
      <c r="CX557" s="3070" t="s">
        <v>3510</v>
      </c>
      <c r="CZ557" s="3070">
        <v>213894.57</v>
      </c>
      <c r="DA557" s="3070">
        <v>159426.93</v>
      </c>
      <c r="DB557" s="3070">
        <v>0</v>
      </c>
      <c r="DC557" s="3070">
        <v>0</v>
      </c>
      <c r="DD557" s="3070">
        <v>3290547602</v>
      </c>
      <c r="DE557" s="3070">
        <v>2764253109</v>
      </c>
      <c r="DF557" s="3070">
        <v>1464966739</v>
      </c>
      <c r="DG557" s="3070">
        <v>14938370</v>
      </c>
      <c r="DH557" s="3070">
        <v>1284348000</v>
      </c>
      <c r="DI557" s="3070">
        <v>1278128000</v>
      </c>
      <c r="DJ557" s="3070">
        <v>6220000</v>
      </c>
      <c r="DK557" s="3070">
        <v>0</v>
      </c>
      <c r="DL557" s="3070">
        <v>0</v>
      </c>
      <c r="DM557" s="3070">
        <v>25491817.620000001</v>
      </c>
      <c r="DN557" s="3070">
        <v>2764253109</v>
      </c>
      <c r="DP557" s="3070">
        <v>2764253109</v>
      </c>
    </row>
    <row r="558" spans="1:120">
      <c r="A558" s="3070">
        <v>557</v>
      </c>
      <c r="B558" s="3070" t="s">
        <v>3224</v>
      </c>
      <c r="C558" s="3070">
        <v>6</v>
      </c>
      <c r="E558" s="3070">
        <v>1803</v>
      </c>
      <c r="F558" s="3070" t="s">
        <v>7803</v>
      </c>
      <c r="G558" s="3070" t="s">
        <v>7804</v>
      </c>
      <c r="H558" s="3070">
        <v>1107260</v>
      </c>
      <c r="I558" s="3070">
        <v>1107260</v>
      </c>
      <c r="J558" s="3070">
        <v>84.72</v>
      </c>
      <c r="K558" s="3070">
        <v>62.38</v>
      </c>
      <c r="L558" s="3070">
        <v>0</v>
      </c>
      <c r="M558" s="3070">
        <v>0</v>
      </c>
      <c r="N558" s="3070">
        <v>15294.44</v>
      </c>
      <c r="O558" s="3070">
        <v>1295745</v>
      </c>
      <c r="P558" s="3070">
        <v>13069.64</v>
      </c>
      <c r="Q558" s="3070">
        <v>1107260</v>
      </c>
      <c r="R558" s="3070" t="s">
        <v>3227</v>
      </c>
      <c r="S558" s="3070" t="s">
        <v>7805</v>
      </c>
      <c r="T558" s="3070" t="s">
        <v>3246</v>
      </c>
      <c r="U558" s="3070" t="s">
        <v>3381</v>
      </c>
      <c r="V558" s="3070" t="s">
        <v>3230</v>
      </c>
      <c r="Y558" s="3070">
        <v>337260</v>
      </c>
      <c r="Z558" s="3070">
        <v>110726</v>
      </c>
      <c r="AA558" s="3070">
        <v>337260</v>
      </c>
      <c r="AB558" s="3070">
        <v>0</v>
      </c>
      <c r="AC558" s="3070">
        <v>770000</v>
      </c>
      <c r="AD558" s="3070">
        <v>770000</v>
      </c>
      <c r="AE558" s="3070">
        <v>0</v>
      </c>
      <c r="AI558" s="3070" t="s">
        <v>3227</v>
      </c>
      <c r="AJ558" s="3070">
        <v>0</v>
      </c>
      <c r="AK558" s="3070">
        <v>0</v>
      </c>
      <c r="AL558" s="3070">
        <v>0</v>
      </c>
      <c r="AM558" s="3070">
        <v>13069.64</v>
      </c>
      <c r="AN558" s="3070">
        <v>1107260</v>
      </c>
      <c r="AP558" s="3070">
        <v>1107260</v>
      </c>
      <c r="AQ558" s="3072">
        <v>45138</v>
      </c>
      <c r="AT558" s="3073">
        <v>45678</v>
      </c>
      <c r="AV558" s="3074">
        <v>3.21E+17</v>
      </c>
      <c r="AW558" s="3070" t="s">
        <v>7806</v>
      </c>
      <c r="AX558" s="3070" t="s">
        <v>7807</v>
      </c>
      <c r="AY558" s="3070" t="s">
        <v>3722</v>
      </c>
      <c r="BC558" s="3070" t="s">
        <v>7808</v>
      </c>
      <c r="BD558" s="3070" t="s">
        <v>3076</v>
      </c>
      <c r="BI558" s="3070" t="s">
        <v>3235</v>
      </c>
      <c r="BJ558" s="3070" t="s">
        <v>3338</v>
      </c>
      <c r="BL558" s="3070" t="s">
        <v>7809</v>
      </c>
      <c r="BM558" s="3075">
        <v>44348</v>
      </c>
      <c r="BN558" s="3070">
        <v>803</v>
      </c>
      <c r="BO558" s="3070" t="s">
        <v>3253</v>
      </c>
      <c r="BR558" s="3070">
        <v>0</v>
      </c>
      <c r="BS558" s="3070" t="s">
        <v>3238</v>
      </c>
      <c r="BZ558" s="3073">
        <v>44158.68472222222</v>
      </c>
      <c r="CA558" s="3070">
        <v>6</v>
      </c>
      <c r="CD558" s="3070" t="s">
        <v>3239</v>
      </c>
      <c r="CF558" s="3070" t="s">
        <v>3091</v>
      </c>
      <c r="CH558" s="3070" t="s">
        <v>3240</v>
      </c>
      <c r="CI558" s="3070">
        <v>0</v>
      </c>
      <c r="CK558" s="3070" t="s">
        <v>3722</v>
      </c>
      <c r="CL558" s="3070" t="s">
        <v>3722</v>
      </c>
      <c r="CM558" s="3070">
        <v>1015834.86</v>
      </c>
      <c r="CV558" s="3070" t="s">
        <v>3246</v>
      </c>
      <c r="CW558" s="3070" t="s">
        <v>7810</v>
      </c>
      <c r="CZ558" s="3070">
        <v>213894.57</v>
      </c>
      <c r="DA558" s="3070">
        <v>159426.93</v>
      </c>
      <c r="DB558" s="3070">
        <v>0</v>
      </c>
      <c r="DC558" s="3070">
        <v>0</v>
      </c>
      <c r="DD558" s="3070">
        <v>3290547602</v>
      </c>
      <c r="DE558" s="3070">
        <v>2764253109</v>
      </c>
      <c r="DF558" s="3070">
        <v>1464966739</v>
      </c>
      <c r="DG558" s="3070">
        <v>14938370</v>
      </c>
      <c r="DH558" s="3070">
        <v>1284348000</v>
      </c>
      <c r="DI558" s="3070">
        <v>1278128000</v>
      </c>
      <c r="DJ558" s="3070">
        <v>6220000</v>
      </c>
      <c r="DK558" s="3070">
        <v>0</v>
      </c>
      <c r="DL558" s="3070">
        <v>0</v>
      </c>
      <c r="DM558" s="3070">
        <v>25491817.620000001</v>
      </c>
      <c r="DN558" s="3070">
        <v>2764253109</v>
      </c>
      <c r="DP558" s="3070">
        <v>2764253109</v>
      </c>
    </row>
    <row r="559" spans="1:120">
      <c r="A559" s="3070">
        <v>558</v>
      </c>
      <c r="B559" s="3070" t="s">
        <v>3224</v>
      </c>
      <c r="C559" s="3070">
        <v>6</v>
      </c>
      <c r="E559" s="3070">
        <v>1804</v>
      </c>
      <c r="F559" s="3070" t="s">
        <v>7811</v>
      </c>
      <c r="G559" s="3070" t="s">
        <v>7812</v>
      </c>
      <c r="H559" s="3070">
        <v>1076319</v>
      </c>
      <c r="I559" s="3070">
        <v>1076319</v>
      </c>
      <c r="J559" s="3070">
        <v>120.29</v>
      </c>
      <c r="K559" s="3070">
        <v>88.57</v>
      </c>
      <c r="L559" s="3070">
        <v>0</v>
      </c>
      <c r="M559" s="3070">
        <v>0</v>
      </c>
      <c r="N559" s="3070">
        <v>14994.44</v>
      </c>
      <c r="O559" s="3070">
        <v>1803681</v>
      </c>
      <c r="P559" s="3070">
        <v>8947.7000000000007</v>
      </c>
      <c r="Q559" s="3070">
        <v>1076319</v>
      </c>
      <c r="R559" s="3070" t="s">
        <v>3227</v>
      </c>
      <c r="S559" s="3070" t="s">
        <v>7813</v>
      </c>
      <c r="T559" s="3070" t="s">
        <v>3878</v>
      </c>
      <c r="U559" s="3070" t="s">
        <v>3247</v>
      </c>
      <c r="V559" s="3070" t="s">
        <v>3230</v>
      </c>
      <c r="Y559" s="3070">
        <v>546319</v>
      </c>
      <c r="Z559" s="3070">
        <v>546319</v>
      </c>
      <c r="AA559" s="3070">
        <v>546319</v>
      </c>
      <c r="AB559" s="3070">
        <v>0</v>
      </c>
      <c r="AC559" s="3070">
        <v>530000</v>
      </c>
      <c r="AD559" s="3070">
        <v>530000</v>
      </c>
      <c r="AE559" s="3070">
        <v>0</v>
      </c>
      <c r="AI559" s="3070" t="s">
        <v>3227</v>
      </c>
      <c r="AJ559" s="3070">
        <v>0</v>
      </c>
      <c r="AK559" s="3070">
        <v>0</v>
      </c>
      <c r="AL559" s="3070">
        <v>0</v>
      </c>
      <c r="AM559" s="3070">
        <v>8947.7000000000007</v>
      </c>
      <c r="AN559" s="3070">
        <v>1076319</v>
      </c>
      <c r="AP559" s="3070">
        <v>1076319</v>
      </c>
      <c r="AQ559" s="3072">
        <v>45138</v>
      </c>
      <c r="AT559" s="3073">
        <v>45678</v>
      </c>
      <c r="AV559" s="3074">
        <v>3.2E+17</v>
      </c>
      <c r="AW559" s="3070" t="s">
        <v>7814</v>
      </c>
      <c r="AX559" s="3070" t="s">
        <v>7815</v>
      </c>
      <c r="AY559" s="3070" t="s">
        <v>4706</v>
      </c>
      <c r="BC559" s="3070" t="s">
        <v>4133</v>
      </c>
      <c r="BD559" s="3070" t="s">
        <v>3075</v>
      </c>
      <c r="BI559" s="3070" t="s">
        <v>3235</v>
      </c>
      <c r="BL559" s="3070" t="s">
        <v>7816</v>
      </c>
      <c r="BM559" s="3075">
        <v>44348</v>
      </c>
      <c r="BN559" s="3070">
        <v>804</v>
      </c>
      <c r="BO559" s="3070" t="s">
        <v>3253</v>
      </c>
      <c r="BR559" s="3070">
        <v>0</v>
      </c>
      <c r="BS559" s="3070" t="s">
        <v>3238</v>
      </c>
      <c r="BV559" s="3070" t="s">
        <v>7817</v>
      </c>
      <c r="BW559" s="3070" t="s">
        <v>7818</v>
      </c>
      <c r="BX559" s="3070" t="s">
        <v>7819</v>
      </c>
      <c r="BZ559" s="3073">
        <v>44274.472916666666</v>
      </c>
      <c r="CA559" s="3070">
        <v>6</v>
      </c>
      <c r="CD559" s="3070" t="s">
        <v>3239</v>
      </c>
      <c r="CF559" s="3070" t="s">
        <v>3091</v>
      </c>
      <c r="CH559" s="3070" t="s">
        <v>3240</v>
      </c>
      <c r="CI559" s="3070">
        <v>0</v>
      </c>
      <c r="CK559" s="3070" t="s">
        <v>6136</v>
      </c>
      <c r="CL559" s="3070" t="s">
        <v>6136</v>
      </c>
      <c r="CM559" s="3070">
        <v>987448.62</v>
      </c>
      <c r="CV559" s="3070" t="s">
        <v>3246</v>
      </c>
      <c r="CW559" s="3070" t="s">
        <v>7820</v>
      </c>
      <c r="CX559" s="3070" t="s">
        <v>3510</v>
      </c>
      <c r="CZ559" s="3070">
        <v>213894.57</v>
      </c>
      <c r="DA559" s="3070">
        <v>159426.93</v>
      </c>
      <c r="DB559" s="3070">
        <v>0</v>
      </c>
      <c r="DC559" s="3070">
        <v>0</v>
      </c>
      <c r="DD559" s="3070">
        <v>3290547602</v>
      </c>
      <c r="DE559" s="3070">
        <v>2764253109</v>
      </c>
      <c r="DF559" s="3070">
        <v>1464966739</v>
      </c>
      <c r="DG559" s="3070">
        <v>14938370</v>
      </c>
      <c r="DH559" s="3070">
        <v>1284348000</v>
      </c>
      <c r="DI559" s="3070">
        <v>1278128000</v>
      </c>
      <c r="DJ559" s="3070">
        <v>6220000</v>
      </c>
      <c r="DK559" s="3070">
        <v>0</v>
      </c>
      <c r="DL559" s="3070">
        <v>0</v>
      </c>
      <c r="DM559" s="3070">
        <v>25491817.620000001</v>
      </c>
      <c r="DN559" s="3070">
        <v>2764253109</v>
      </c>
      <c r="DP559" s="3070">
        <v>2764253109</v>
      </c>
    </row>
    <row r="560" spans="1:120">
      <c r="A560" s="3070">
        <v>559</v>
      </c>
      <c r="B560" s="3070" t="s">
        <v>3224</v>
      </c>
      <c r="C560" s="3070">
        <v>6</v>
      </c>
      <c r="E560" s="3070">
        <v>201</v>
      </c>
      <c r="F560" s="3070" t="s">
        <v>7821</v>
      </c>
      <c r="G560" s="3070" t="s">
        <v>7822</v>
      </c>
      <c r="H560" s="3070">
        <v>1271444</v>
      </c>
      <c r="I560" s="3070">
        <v>1271444</v>
      </c>
      <c r="J560" s="3070">
        <v>108.94</v>
      </c>
      <c r="K560" s="3070">
        <v>80.209999999999994</v>
      </c>
      <c r="L560" s="3070">
        <v>0</v>
      </c>
      <c r="M560" s="3070">
        <v>0</v>
      </c>
      <c r="N560" s="3070">
        <v>14994.44</v>
      </c>
      <c r="O560" s="3070">
        <v>1633494</v>
      </c>
      <c r="P560" s="3070">
        <v>11671.05</v>
      </c>
      <c r="Q560" s="3070">
        <v>1271444</v>
      </c>
      <c r="R560" s="3070" t="s">
        <v>3227</v>
      </c>
      <c r="S560" s="3070" t="s">
        <v>7823</v>
      </c>
      <c r="T560" s="3070" t="s">
        <v>3991</v>
      </c>
      <c r="V560" s="3070" t="s">
        <v>3230</v>
      </c>
      <c r="Y560" s="3070">
        <v>381433</v>
      </c>
      <c r="Z560" s="3070">
        <v>381433</v>
      </c>
      <c r="AA560" s="3070">
        <v>1271444</v>
      </c>
      <c r="AB560" s="3070">
        <v>0</v>
      </c>
      <c r="AC560" s="3070">
        <v>0</v>
      </c>
      <c r="AD560" s="3070">
        <v>0</v>
      </c>
      <c r="AE560" s="3070">
        <v>0</v>
      </c>
      <c r="AI560" s="3070" t="s">
        <v>3227</v>
      </c>
      <c r="AJ560" s="3070">
        <v>0</v>
      </c>
      <c r="AK560" s="3070">
        <v>0</v>
      </c>
      <c r="AL560" s="3070">
        <v>0</v>
      </c>
      <c r="AM560" s="3070">
        <v>11671.05</v>
      </c>
      <c r="AN560" s="3070">
        <v>1271444</v>
      </c>
      <c r="AP560" s="3070">
        <v>1271444</v>
      </c>
      <c r="AQ560" s="3072">
        <v>45138</v>
      </c>
      <c r="AT560" s="3073">
        <v>45678</v>
      </c>
      <c r="AV560" s="3074">
        <v>3.21E+17</v>
      </c>
      <c r="AW560" s="3070" t="s">
        <v>7824</v>
      </c>
      <c r="AX560" s="3070" t="s">
        <v>7825</v>
      </c>
      <c r="AY560" s="3070" t="s">
        <v>4065</v>
      </c>
      <c r="BA560" s="3070" t="s">
        <v>4065</v>
      </c>
      <c r="BC560" s="3070" t="s">
        <v>4145</v>
      </c>
      <c r="BD560" s="3070" t="s">
        <v>3077</v>
      </c>
      <c r="BI560" s="3070" t="s">
        <v>3235</v>
      </c>
      <c r="BL560" s="3070" t="s">
        <v>7826</v>
      </c>
      <c r="BM560" s="3075">
        <v>44349</v>
      </c>
      <c r="BN560" s="3070">
        <v>1</v>
      </c>
      <c r="BR560" s="3070">
        <v>23</v>
      </c>
      <c r="BS560" s="3070" t="s">
        <v>3238</v>
      </c>
      <c r="BU560" s="3070" t="s">
        <v>4065</v>
      </c>
      <c r="BZ560" s="3073">
        <v>44210.784722222219</v>
      </c>
      <c r="CA560" s="3070">
        <v>6</v>
      </c>
      <c r="CD560" s="3070" t="s">
        <v>3239</v>
      </c>
      <c r="CF560" s="3070" t="s">
        <v>3091</v>
      </c>
      <c r="CH560" s="3070" t="s">
        <v>3240</v>
      </c>
      <c r="CI560" s="3070">
        <v>0</v>
      </c>
      <c r="CK560" s="3070" t="s">
        <v>4065</v>
      </c>
      <c r="CL560" s="3070" t="s">
        <v>4242</v>
      </c>
      <c r="CM560" s="3070">
        <v>1166462.3899999999</v>
      </c>
      <c r="CV560" s="3070" t="s">
        <v>3494</v>
      </c>
      <c r="CW560" s="3070" t="s">
        <v>7827</v>
      </c>
      <c r="CX560" s="3070" t="s">
        <v>3267</v>
      </c>
      <c r="CZ560" s="3070">
        <v>213894.57</v>
      </c>
      <c r="DA560" s="3070">
        <v>159426.93</v>
      </c>
      <c r="DB560" s="3070">
        <v>0</v>
      </c>
      <c r="DC560" s="3070">
        <v>0</v>
      </c>
      <c r="DD560" s="3070">
        <v>3290547602</v>
      </c>
      <c r="DE560" s="3070">
        <v>2764253109</v>
      </c>
      <c r="DF560" s="3070">
        <v>1464966739</v>
      </c>
      <c r="DG560" s="3070">
        <v>14938370</v>
      </c>
      <c r="DH560" s="3070">
        <v>1284348000</v>
      </c>
      <c r="DI560" s="3070">
        <v>1278128000</v>
      </c>
      <c r="DJ560" s="3070">
        <v>6220000</v>
      </c>
      <c r="DK560" s="3070">
        <v>0</v>
      </c>
      <c r="DL560" s="3070">
        <v>0</v>
      </c>
      <c r="DM560" s="3070">
        <v>25491817.620000001</v>
      </c>
      <c r="DN560" s="3070">
        <v>2764253109</v>
      </c>
      <c r="DP560" s="3070">
        <v>2764253109</v>
      </c>
    </row>
    <row r="561" spans="1:120">
      <c r="A561" s="3070">
        <v>560</v>
      </c>
      <c r="B561" s="3070" t="s">
        <v>3224</v>
      </c>
      <c r="C561" s="3070">
        <v>6</v>
      </c>
      <c r="E561" s="3070">
        <v>202</v>
      </c>
      <c r="F561" s="3070" t="s">
        <v>7828</v>
      </c>
      <c r="G561" s="3070" t="s">
        <v>7829</v>
      </c>
      <c r="H561" s="3070">
        <v>1035919</v>
      </c>
      <c r="I561" s="3070">
        <v>1035919</v>
      </c>
      <c r="J561" s="3070">
        <v>84.72</v>
      </c>
      <c r="K561" s="3070">
        <v>62.38</v>
      </c>
      <c r="L561" s="3070">
        <v>0</v>
      </c>
      <c r="M561" s="3070">
        <v>0</v>
      </c>
      <c r="N561" s="3070">
        <v>15144.44</v>
      </c>
      <c r="O561" s="3070">
        <v>1283037</v>
      </c>
      <c r="P561" s="3070">
        <v>12227.56</v>
      </c>
      <c r="Q561" s="3070">
        <v>1035919</v>
      </c>
      <c r="R561" s="3070" t="s">
        <v>3227</v>
      </c>
      <c r="S561" s="3070" t="s">
        <v>7830</v>
      </c>
      <c r="T561" s="3070" t="s">
        <v>3258</v>
      </c>
      <c r="U561" s="3070" t="s">
        <v>3259</v>
      </c>
      <c r="V561" s="3070" t="s">
        <v>3230</v>
      </c>
      <c r="Y561" s="3070">
        <v>605919</v>
      </c>
      <c r="Z561" s="3070">
        <v>103592</v>
      </c>
      <c r="AA561" s="3070">
        <v>605919</v>
      </c>
      <c r="AB561" s="3070">
        <v>0</v>
      </c>
      <c r="AC561" s="3070">
        <v>430000</v>
      </c>
      <c r="AD561" s="3070">
        <v>430000</v>
      </c>
      <c r="AE561" s="3070">
        <v>0</v>
      </c>
      <c r="AI561" s="3070" t="s">
        <v>3227</v>
      </c>
      <c r="AJ561" s="3070">
        <v>0</v>
      </c>
      <c r="AK561" s="3070">
        <v>0</v>
      </c>
      <c r="AL561" s="3070">
        <v>0</v>
      </c>
      <c r="AM561" s="3070">
        <v>12227.56</v>
      </c>
      <c r="AN561" s="3070">
        <v>1035919</v>
      </c>
      <c r="AP561" s="3070">
        <v>1035919</v>
      </c>
      <c r="AQ561" s="3072">
        <v>45138</v>
      </c>
      <c r="AT561" s="3073">
        <v>45678</v>
      </c>
      <c r="AV561" s="3070" t="s">
        <v>7831</v>
      </c>
      <c r="AW561" s="3070" t="s">
        <v>7832</v>
      </c>
      <c r="AX561" s="3070" t="s">
        <v>7833</v>
      </c>
      <c r="AY561" s="3070" t="s">
        <v>3337</v>
      </c>
      <c r="BC561" s="3070" t="s">
        <v>3263</v>
      </c>
      <c r="BD561" s="3070" t="s">
        <v>3076</v>
      </c>
      <c r="BI561" s="3070" t="s">
        <v>3235</v>
      </c>
      <c r="BJ561" s="3070" t="s">
        <v>3338</v>
      </c>
      <c r="BL561" s="3070" t="s">
        <v>7834</v>
      </c>
      <c r="BM561" s="3075">
        <v>44349</v>
      </c>
      <c r="BN561" s="3070">
        <v>2</v>
      </c>
      <c r="BO561" s="3070" t="s">
        <v>3253</v>
      </c>
      <c r="BP561" s="3070" t="s">
        <v>3253</v>
      </c>
      <c r="BR561" s="3070">
        <v>390</v>
      </c>
      <c r="BS561" s="3070" t="s">
        <v>3238</v>
      </c>
      <c r="BZ561" s="3073">
        <v>44153.844444444447</v>
      </c>
      <c r="CA561" s="3070">
        <v>6</v>
      </c>
      <c r="CD561" s="3070" t="s">
        <v>3239</v>
      </c>
      <c r="CF561" s="3070" t="s">
        <v>3091</v>
      </c>
      <c r="CH561" s="3070" t="s">
        <v>3240</v>
      </c>
      <c r="CI561" s="3070">
        <v>0</v>
      </c>
      <c r="CJ561" s="3070" t="s">
        <v>3259</v>
      </c>
      <c r="CK561" s="3070" t="s">
        <v>3337</v>
      </c>
      <c r="CL561" s="3070" t="s">
        <v>3337</v>
      </c>
      <c r="CM561" s="3070">
        <v>950384.41</v>
      </c>
      <c r="CV561" s="3070" t="s">
        <v>3258</v>
      </c>
      <c r="CW561" s="3070" t="s">
        <v>7835</v>
      </c>
      <c r="CZ561" s="3070">
        <v>213894.57</v>
      </c>
      <c r="DA561" s="3070">
        <v>159426.93</v>
      </c>
      <c r="DB561" s="3070">
        <v>0</v>
      </c>
      <c r="DC561" s="3070">
        <v>0</v>
      </c>
      <c r="DD561" s="3070">
        <v>3290547602</v>
      </c>
      <c r="DE561" s="3070">
        <v>2764253109</v>
      </c>
      <c r="DF561" s="3070">
        <v>1464966739</v>
      </c>
      <c r="DG561" s="3070">
        <v>14938370</v>
      </c>
      <c r="DH561" s="3070">
        <v>1284348000</v>
      </c>
      <c r="DI561" s="3070">
        <v>1278128000</v>
      </c>
      <c r="DJ561" s="3070">
        <v>6220000</v>
      </c>
      <c r="DK561" s="3070">
        <v>0</v>
      </c>
      <c r="DL561" s="3070">
        <v>0</v>
      </c>
      <c r="DM561" s="3070">
        <v>25491817.620000001</v>
      </c>
      <c r="DN561" s="3070">
        <v>2764253109</v>
      </c>
      <c r="DP561" s="3070">
        <v>2764253109</v>
      </c>
    </row>
    <row r="562" spans="1:120">
      <c r="A562" s="3070">
        <v>561</v>
      </c>
      <c r="B562" s="3070" t="s">
        <v>3224</v>
      </c>
      <c r="C562" s="3070">
        <v>6</v>
      </c>
      <c r="E562" s="3070">
        <v>203</v>
      </c>
      <c r="F562" s="3070" t="s">
        <v>7836</v>
      </c>
      <c r="G562" s="3070" t="s">
        <v>7837</v>
      </c>
      <c r="H562" s="3070">
        <v>1035919</v>
      </c>
      <c r="I562" s="3070">
        <v>1035919</v>
      </c>
      <c r="J562" s="3070">
        <v>84.72</v>
      </c>
      <c r="K562" s="3070">
        <v>62.38</v>
      </c>
      <c r="L562" s="3070">
        <v>0</v>
      </c>
      <c r="M562" s="3070">
        <v>0</v>
      </c>
      <c r="N562" s="3070">
        <v>15144.44</v>
      </c>
      <c r="O562" s="3070">
        <v>1283037</v>
      </c>
      <c r="P562" s="3070">
        <v>12227.56</v>
      </c>
      <c r="Q562" s="3070">
        <v>1035919</v>
      </c>
      <c r="R562" s="3070" t="s">
        <v>3227</v>
      </c>
      <c r="S562" s="3070" t="s">
        <v>7838</v>
      </c>
      <c r="T562" s="3070" t="s">
        <v>3246</v>
      </c>
      <c r="U562" s="3070" t="s">
        <v>3381</v>
      </c>
      <c r="V562" s="3070" t="s">
        <v>3230</v>
      </c>
      <c r="Y562" s="3070">
        <v>315919</v>
      </c>
      <c r="Z562" s="3070">
        <v>315919</v>
      </c>
      <c r="AA562" s="3070">
        <v>315919</v>
      </c>
      <c r="AB562" s="3070">
        <v>0</v>
      </c>
      <c r="AC562" s="3070">
        <v>720000</v>
      </c>
      <c r="AD562" s="3070">
        <v>720000</v>
      </c>
      <c r="AE562" s="3070">
        <v>0</v>
      </c>
      <c r="AI562" s="3070" t="s">
        <v>3227</v>
      </c>
      <c r="AJ562" s="3070">
        <v>0</v>
      </c>
      <c r="AK562" s="3070">
        <v>0</v>
      </c>
      <c r="AL562" s="3070">
        <v>0</v>
      </c>
      <c r="AM562" s="3070">
        <v>12227.56</v>
      </c>
      <c r="AN562" s="3070">
        <v>1035919</v>
      </c>
      <c r="AP562" s="3070">
        <v>1035919</v>
      </c>
      <c r="AQ562" s="3072">
        <v>45138</v>
      </c>
      <c r="AT562" s="3073">
        <v>45678</v>
      </c>
      <c r="AV562" s="3074">
        <v>3.21E+17</v>
      </c>
      <c r="AW562" s="3070" t="s">
        <v>7839</v>
      </c>
      <c r="AX562" s="3070" t="s">
        <v>7840</v>
      </c>
      <c r="AY562" s="3070" t="s">
        <v>3699</v>
      </c>
      <c r="BC562" s="3070" t="s">
        <v>3284</v>
      </c>
      <c r="BD562" s="3070" t="s">
        <v>3076</v>
      </c>
      <c r="BI562" s="3070" t="s">
        <v>3235</v>
      </c>
      <c r="BL562" s="3070" t="s">
        <v>7841</v>
      </c>
      <c r="BM562" s="3075">
        <v>44349</v>
      </c>
      <c r="BN562" s="3070">
        <v>3</v>
      </c>
      <c r="BO562" s="3070" t="s">
        <v>3253</v>
      </c>
      <c r="BR562" s="3070">
        <v>282</v>
      </c>
      <c r="BS562" s="3070" t="s">
        <v>3238</v>
      </c>
      <c r="BZ562" s="3073">
        <v>44142.661805555559</v>
      </c>
      <c r="CA562" s="3070">
        <v>6</v>
      </c>
      <c r="CD562" s="3070" t="s">
        <v>3239</v>
      </c>
      <c r="CF562" s="3070" t="s">
        <v>3091</v>
      </c>
      <c r="CH562" s="3070" t="s">
        <v>3240</v>
      </c>
      <c r="CI562" s="3070">
        <v>0</v>
      </c>
      <c r="CK562" s="3070" t="s">
        <v>3699</v>
      </c>
      <c r="CL562" s="3070" t="s">
        <v>3699</v>
      </c>
      <c r="CM562" s="3070">
        <v>950384.4</v>
      </c>
      <c r="CV562" s="3070" t="s">
        <v>3246</v>
      </c>
      <c r="CW562" s="3070" t="s">
        <v>7842</v>
      </c>
      <c r="CX562" s="3070" t="s">
        <v>3242</v>
      </c>
      <c r="CZ562" s="3070">
        <v>213894.57</v>
      </c>
      <c r="DA562" s="3070">
        <v>159426.93</v>
      </c>
      <c r="DB562" s="3070">
        <v>0</v>
      </c>
      <c r="DC562" s="3070">
        <v>0</v>
      </c>
      <c r="DD562" s="3070">
        <v>3290547602</v>
      </c>
      <c r="DE562" s="3070">
        <v>2764253109</v>
      </c>
      <c r="DF562" s="3070">
        <v>1464966739</v>
      </c>
      <c r="DG562" s="3070">
        <v>14938370</v>
      </c>
      <c r="DH562" s="3070">
        <v>1284348000</v>
      </c>
      <c r="DI562" s="3070">
        <v>1278128000</v>
      </c>
      <c r="DJ562" s="3070">
        <v>6220000</v>
      </c>
      <c r="DK562" s="3070">
        <v>0</v>
      </c>
      <c r="DL562" s="3070">
        <v>0</v>
      </c>
      <c r="DM562" s="3070">
        <v>25491817.620000001</v>
      </c>
      <c r="DN562" s="3070">
        <v>2764253109</v>
      </c>
      <c r="DP562" s="3070">
        <v>2764253109</v>
      </c>
    </row>
    <row r="563" spans="1:120">
      <c r="A563" s="3070">
        <v>562</v>
      </c>
      <c r="B563" s="3070" t="s">
        <v>3224</v>
      </c>
      <c r="C563" s="3070">
        <v>6</v>
      </c>
      <c r="E563" s="3070">
        <v>204</v>
      </c>
      <c r="F563" s="3070" t="s">
        <v>7843</v>
      </c>
      <c r="G563" s="3070" t="s">
        <v>7844</v>
      </c>
      <c r="H563" s="3070">
        <v>1577074</v>
      </c>
      <c r="I563" s="3070">
        <v>1577074</v>
      </c>
      <c r="J563" s="3070">
        <v>120.29</v>
      </c>
      <c r="K563" s="3070">
        <v>88.57</v>
      </c>
      <c r="L563" s="3070">
        <v>0</v>
      </c>
      <c r="M563" s="3070">
        <v>0</v>
      </c>
      <c r="N563" s="3070">
        <v>14844.44</v>
      </c>
      <c r="O563" s="3070">
        <v>1785638</v>
      </c>
      <c r="P563" s="3070">
        <v>13110.6</v>
      </c>
      <c r="Q563" s="3070">
        <v>1577074</v>
      </c>
      <c r="R563" s="3070" t="s">
        <v>3227</v>
      </c>
      <c r="S563" s="3070" t="s">
        <v>7845</v>
      </c>
      <c r="T563" s="3070" t="s">
        <v>4061</v>
      </c>
      <c r="V563" s="3070" t="s">
        <v>3230</v>
      </c>
      <c r="Y563" s="3070">
        <v>157707</v>
      </c>
      <c r="Z563" s="3070">
        <v>157707</v>
      </c>
      <c r="AA563" s="3070">
        <v>1577074</v>
      </c>
      <c r="AB563" s="3070">
        <v>0</v>
      </c>
      <c r="AC563" s="3070">
        <v>0</v>
      </c>
      <c r="AD563" s="3070">
        <v>0</v>
      </c>
      <c r="AE563" s="3070">
        <v>0</v>
      </c>
      <c r="AI563" s="3070" t="s">
        <v>3227</v>
      </c>
      <c r="AJ563" s="3070">
        <v>0</v>
      </c>
      <c r="AK563" s="3070">
        <v>0</v>
      </c>
      <c r="AL563" s="3070">
        <v>0</v>
      </c>
      <c r="AM563" s="3070">
        <v>13110.6</v>
      </c>
      <c r="AN563" s="3070">
        <v>1577074</v>
      </c>
      <c r="AP563" s="3070">
        <v>1577074</v>
      </c>
      <c r="AQ563" s="3072">
        <v>45138</v>
      </c>
      <c r="AT563" s="3073">
        <v>45678</v>
      </c>
      <c r="AV563" s="3070" t="s">
        <v>7846</v>
      </c>
      <c r="AW563" s="3070" t="s">
        <v>7847</v>
      </c>
      <c r="AX563" s="3070" t="s">
        <v>7848</v>
      </c>
      <c r="AY563" s="3070" t="s">
        <v>7849</v>
      </c>
      <c r="BC563" s="3070" t="s">
        <v>4066</v>
      </c>
      <c r="BD563" s="3070" t="s">
        <v>3075</v>
      </c>
      <c r="BI563" s="3070" t="s">
        <v>3295</v>
      </c>
      <c r="BL563" s="3070" t="s">
        <v>7850</v>
      </c>
      <c r="BM563" s="3075">
        <v>44349</v>
      </c>
      <c r="BN563" s="3070">
        <v>4</v>
      </c>
      <c r="BR563" s="3070">
        <v>0</v>
      </c>
      <c r="BS563" s="3070" t="s">
        <v>3238</v>
      </c>
      <c r="BZ563" s="3073">
        <v>44254.515277777777</v>
      </c>
      <c r="CA563" s="3070">
        <v>6</v>
      </c>
      <c r="CD563" s="3070" t="s">
        <v>3239</v>
      </c>
      <c r="CF563" s="3070" t="s">
        <v>3091</v>
      </c>
      <c r="CH563" s="3070" t="s">
        <v>3240</v>
      </c>
      <c r="CI563" s="3070">
        <v>0</v>
      </c>
      <c r="CK563" s="3070" t="s">
        <v>7851</v>
      </c>
      <c r="CL563" s="3070" t="s">
        <v>7849</v>
      </c>
      <c r="CM563" s="3070">
        <v>1446856.88</v>
      </c>
      <c r="CV563" s="3070" t="s">
        <v>3494</v>
      </c>
      <c r="CW563" s="3070" t="s">
        <v>7852</v>
      </c>
      <c r="CZ563" s="3070">
        <v>213894.57</v>
      </c>
      <c r="DA563" s="3070">
        <v>159426.93</v>
      </c>
      <c r="DB563" s="3070">
        <v>0</v>
      </c>
      <c r="DC563" s="3070">
        <v>0</v>
      </c>
      <c r="DD563" s="3070">
        <v>3290547602</v>
      </c>
      <c r="DE563" s="3070">
        <v>2764253109</v>
      </c>
      <c r="DF563" s="3070">
        <v>1464966739</v>
      </c>
      <c r="DG563" s="3070">
        <v>14938370</v>
      </c>
      <c r="DH563" s="3070">
        <v>1284348000</v>
      </c>
      <c r="DI563" s="3070">
        <v>1278128000</v>
      </c>
      <c r="DJ563" s="3070">
        <v>6220000</v>
      </c>
      <c r="DK563" s="3070">
        <v>0</v>
      </c>
      <c r="DL563" s="3070">
        <v>0</v>
      </c>
      <c r="DM563" s="3070">
        <v>25491817.620000001</v>
      </c>
      <c r="DN563" s="3070">
        <v>2764253109</v>
      </c>
      <c r="DP563" s="3070">
        <v>2764253109</v>
      </c>
    </row>
    <row r="564" spans="1:120">
      <c r="A564" s="3070">
        <v>563</v>
      </c>
      <c r="B564" s="3070" t="s">
        <v>3224</v>
      </c>
      <c r="C564" s="3070">
        <v>6</v>
      </c>
      <c r="E564" s="3070">
        <v>301</v>
      </c>
      <c r="F564" s="3070" t="s">
        <v>7853</v>
      </c>
      <c r="G564" s="3070" t="s">
        <v>7854</v>
      </c>
      <c r="H564" s="3070">
        <v>1385287</v>
      </c>
      <c r="I564" s="3070">
        <v>1385287</v>
      </c>
      <c r="J564" s="3070">
        <v>108.94</v>
      </c>
      <c r="K564" s="3070">
        <v>80.209999999999994</v>
      </c>
      <c r="L564" s="3070">
        <v>0</v>
      </c>
      <c r="M564" s="3070">
        <v>0</v>
      </c>
      <c r="N564" s="3070">
        <v>15094.44</v>
      </c>
      <c r="O564" s="3070">
        <v>1644388</v>
      </c>
      <c r="P564" s="3070">
        <v>12716.05</v>
      </c>
      <c r="Q564" s="3070">
        <v>1385287</v>
      </c>
      <c r="R564" s="3070" t="s">
        <v>3227</v>
      </c>
      <c r="S564" s="3070" t="s">
        <v>7855</v>
      </c>
      <c r="T564" s="3070" t="s">
        <v>3494</v>
      </c>
      <c r="V564" s="3070" t="s">
        <v>3230</v>
      </c>
      <c r="Y564" s="3070">
        <v>138529</v>
      </c>
      <c r="Z564" s="3070">
        <v>138529</v>
      </c>
      <c r="AA564" s="3070">
        <v>1385287</v>
      </c>
      <c r="AB564" s="3070">
        <v>0</v>
      </c>
      <c r="AC564" s="3070">
        <v>0</v>
      </c>
      <c r="AD564" s="3070">
        <v>0</v>
      </c>
      <c r="AE564" s="3070">
        <v>0</v>
      </c>
      <c r="AI564" s="3070" t="s">
        <v>3227</v>
      </c>
      <c r="AJ564" s="3070">
        <v>0</v>
      </c>
      <c r="AK564" s="3070">
        <v>0</v>
      </c>
      <c r="AL564" s="3070">
        <v>0</v>
      </c>
      <c r="AM564" s="3070">
        <v>12716.05</v>
      </c>
      <c r="AN564" s="3070">
        <v>1385287</v>
      </c>
      <c r="AP564" s="3070">
        <v>1385287</v>
      </c>
      <c r="AQ564" s="3072">
        <v>45138</v>
      </c>
      <c r="AT564" s="3073">
        <v>45678</v>
      </c>
      <c r="AV564" s="3074">
        <v>3.21E+17</v>
      </c>
      <c r="AW564" s="3070" t="s">
        <v>7856</v>
      </c>
      <c r="AX564" s="3070" t="s">
        <v>7857</v>
      </c>
      <c r="AY564" s="3070" t="s">
        <v>3346</v>
      </c>
      <c r="BA564" s="3070" t="s">
        <v>3346</v>
      </c>
      <c r="BC564" s="3070" t="s">
        <v>7497</v>
      </c>
      <c r="BD564" s="3070" t="s">
        <v>3077</v>
      </c>
      <c r="BI564" s="3070" t="s">
        <v>3235</v>
      </c>
      <c r="BL564" s="3070" t="s">
        <v>7858</v>
      </c>
      <c r="BM564" s="3075">
        <v>44350</v>
      </c>
      <c r="BN564" s="3070">
        <v>1</v>
      </c>
      <c r="BR564" s="3070">
        <v>16</v>
      </c>
      <c r="BS564" s="3070" t="s">
        <v>3238</v>
      </c>
      <c r="BU564" s="3070" t="s">
        <v>3346</v>
      </c>
      <c r="BV564" s="3070" t="s">
        <v>7859</v>
      </c>
      <c r="BZ564" s="3073">
        <v>44177.540277777778</v>
      </c>
      <c r="CA564" s="3070">
        <v>6</v>
      </c>
      <c r="CD564" s="3070" t="s">
        <v>3239</v>
      </c>
      <c r="CF564" s="3070" t="s">
        <v>3091</v>
      </c>
      <c r="CH564" s="3070" t="s">
        <v>3240</v>
      </c>
      <c r="CI564" s="3070">
        <v>0</v>
      </c>
      <c r="CK564" s="3070" t="s">
        <v>3346</v>
      </c>
      <c r="CL564" s="3070" t="s">
        <v>3346</v>
      </c>
      <c r="CM564" s="3070">
        <v>1270905.5</v>
      </c>
      <c r="CV564" s="3070" t="s">
        <v>3494</v>
      </c>
      <c r="CW564" s="3070" t="s">
        <v>7860</v>
      </c>
      <c r="CX564" s="3070" t="s">
        <v>3510</v>
      </c>
      <c r="CZ564" s="3070">
        <v>213894.57</v>
      </c>
      <c r="DA564" s="3070">
        <v>159426.93</v>
      </c>
      <c r="DB564" s="3070">
        <v>0</v>
      </c>
      <c r="DC564" s="3070">
        <v>0</v>
      </c>
      <c r="DD564" s="3070">
        <v>3290547602</v>
      </c>
      <c r="DE564" s="3070">
        <v>2764253109</v>
      </c>
      <c r="DF564" s="3070">
        <v>1464966739</v>
      </c>
      <c r="DG564" s="3070">
        <v>14938370</v>
      </c>
      <c r="DH564" s="3070">
        <v>1284348000</v>
      </c>
      <c r="DI564" s="3070">
        <v>1278128000</v>
      </c>
      <c r="DJ564" s="3070">
        <v>6220000</v>
      </c>
      <c r="DK564" s="3070">
        <v>0</v>
      </c>
      <c r="DL564" s="3070">
        <v>0</v>
      </c>
      <c r="DM564" s="3070">
        <v>25491817.620000001</v>
      </c>
      <c r="DN564" s="3070">
        <v>2764253109</v>
      </c>
      <c r="DP564" s="3070">
        <v>2764253109</v>
      </c>
    </row>
    <row r="565" spans="1:120">
      <c r="A565" s="3070">
        <v>564</v>
      </c>
      <c r="B565" s="3070" t="s">
        <v>3224</v>
      </c>
      <c r="C565" s="3070">
        <v>6</v>
      </c>
      <c r="E565" s="3070">
        <v>302</v>
      </c>
      <c r="F565" s="3070" t="s">
        <v>7861</v>
      </c>
      <c r="G565" s="3070" t="s">
        <v>7862</v>
      </c>
      <c r="H565" s="3070">
        <v>1033533</v>
      </c>
      <c r="I565" s="3070">
        <v>1033533</v>
      </c>
      <c r="J565" s="3070">
        <v>84.72</v>
      </c>
      <c r="K565" s="3070">
        <v>62.38</v>
      </c>
      <c r="L565" s="3070">
        <v>0</v>
      </c>
      <c r="M565" s="3070">
        <v>0</v>
      </c>
      <c r="N565" s="3070">
        <v>15244.44</v>
      </c>
      <c r="O565" s="3070">
        <v>1291509</v>
      </c>
      <c r="P565" s="3070">
        <v>12199.4</v>
      </c>
      <c r="Q565" s="3070">
        <v>1033533</v>
      </c>
      <c r="R565" s="3070" t="s">
        <v>3227</v>
      </c>
      <c r="S565" s="3070" t="s">
        <v>7863</v>
      </c>
      <c r="T565" s="3070" t="s">
        <v>3229</v>
      </c>
      <c r="V565" s="3070" t="s">
        <v>3230</v>
      </c>
      <c r="Y565" s="3070">
        <v>310060</v>
      </c>
      <c r="Z565" s="3070">
        <v>310060</v>
      </c>
      <c r="AA565" s="3070">
        <v>1033533</v>
      </c>
      <c r="AB565" s="3070">
        <v>0</v>
      </c>
      <c r="AC565" s="3070">
        <v>0</v>
      </c>
      <c r="AD565" s="3070">
        <v>0</v>
      </c>
      <c r="AE565" s="3070">
        <v>0</v>
      </c>
      <c r="AI565" s="3070" t="s">
        <v>3227</v>
      </c>
      <c r="AJ565" s="3070">
        <v>0</v>
      </c>
      <c r="AK565" s="3070">
        <v>0</v>
      </c>
      <c r="AL565" s="3070">
        <v>0</v>
      </c>
      <c r="AM565" s="3070">
        <v>12199.4</v>
      </c>
      <c r="AN565" s="3070">
        <v>1033533</v>
      </c>
      <c r="AP565" s="3070">
        <v>1033533</v>
      </c>
      <c r="AQ565" s="3072">
        <v>45138</v>
      </c>
      <c r="AT565" s="3073">
        <v>45678</v>
      </c>
      <c r="AV565" s="3070" t="s">
        <v>7864</v>
      </c>
      <c r="AW565" s="3070" t="s">
        <v>7865</v>
      </c>
      <c r="AX565" s="3070" t="s">
        <v>7866</v>
      </c>
      <c r="AY565" s="3070" t="s">
        <v>5154</v>
      </c>
      <c r="BC565" s="3070" t="s">
        <v>3347</v>
      </c>
      <c r="BD565" s="3070" t="s">
        <v>3076</v>
      </c>
      <c r="BI565" s="3070" t="s">
        <v>3235</v>
      </c>
      <c r="BJ565" s="3070" t="s">
        <v>3682</v>
      </c>
      <c r="BL565" s="3070" t="s">
        <v>7867</v>
      </c>
      <c r="BM565" s="3075">
        <v>44350</v>
      </c>
      <c r="BN565" s="3070">
        <v>2</v>
      </c>
      <c r="BR565" s="3070">
        <v>201</v>
      </c>
      <c r="BS565" s="3070" t="s">
        <v>3238</v>
      </c>
      <c r="BZ565" s="3073">
        <v>44142.646527777775</v>
      </c>
      <c r="CA565" s="3070">
        <v>6</v>
      </c>
      <c r="CD565" s="3070" t="s">
        <v>3239</v>
      </c>
      <c r="CF565" s="3070" t="s">
        <v>3091</v>
      </c>
      <c r="CH565" s="3070" t="s">
        <v>3240</v>
      </c>
      <c r="CI565" s="3070">
        <v>0</v>
      </c>
      <c r="CK565" s="3070" t="s">
        <v>5154</v>
      </c>
      <c r="CL565" s="3070" t="s">
        <v>5154</v>
      </c>
      <c r="CM565" s="3070">
        <v>948195.41</v>
      </c>
      <c r="CV565" s="3070" t="s">
        <v>3229</v>
      </c>
      <c r="CW565" s="3070" t="s">
        <v>7868</v>
      </c>
      <c r="CX565" s="3070" t="s">
        <v>3242</v>
      </c>
      <c r="CZ565" s="3070">
        <v>213894.57</v>
      </c>
      <c r="DA565" s="3070">
        <v>159426.93</v>
      </c>
      <c r="DB565" s="3070">
        <v>0</v>
      </c>
      <c r="DC565" s="3070">
        <v>0</v>
      </c>
      <c r="DD565" s="3070">
        <v>3290547602</v>
      </c>
      <c r="DE565" s="3070">
        <v>2764253109</v>
      </c>
      <c r="DF565" s="3070">
        <v>1464966739</v>
      </c>
      <c r="DG565" s="3070">
        <v>14938370</v>
      </c>
      <c r="DH565" s="3070">
        <v>1284348000</v>
      </c>
      <c r="DI565" s="3070">
        <v>1278128000</v>
      </c>
      <c r="DJ565" s="3070">
        <v>6220000</v>
      </c>
      <c r="DK565" s="3070">
        <v>0</v>
      </c>
      <c r="DL565" s="3070">
        <v>0</v>
      </c>
      <c r="DM565" s="3070">
        <v>25491817.620000001</v>
      </c>
      <c r="DN565" s="3070">
        <v>2764253109</v>
      </c>
      <c r="DP565" s="3070">
        <v>2764253109</v>
      </c>
    </row>
    <row r="566" spans="1:120">
      <c r="A566" s="3070">
        <v>565</v>
      </c>
      <c r="B566" s="3070" t="s">
        <v>3224</v>
      </c>
      <c r="C566" s="3070">
        <v>6</v>
      </c>
      <c r="E566" s="3070">
        <v>303</v>
      </c>
      <c r="F566" s="3070" t="s">
        <v>7869</v>
      </c>
      <c r="G566" s="3070" t="s">
        <v>7870</v>
      </c>
      <c r="H566" s="3070">
        <v>1023093</v>
      </c>
      <c r="I566" s="3070">
        <v>1023093</v>
      </c>
      <c r="J566" s="3070">
        <v>84.72</v>
      </c>
      <c r="K566" s="3070">
        <v>62.38</v>
      </c>
      <c r="L566" s="3070">
        <v>0</v>
      </c>
      <c r="M566" s="3070">
        <v>0</v>
      </c>
      <c r="N566" s="3070">
        <v>15244.44</v>
      </c>
      <c r="O566" s="3070">
        <v>1291509</v>
      </c>
      <c r="P566" s="3070">
        <v>12076.17</v>
      </c>
      <c r="Q566" s="3070">
        <v>1023093</v>
      </c>
      <c r="R566" s="3070" t="s">
        <v>3227</v>
      </c>
      <c r="S566" s="3070" t="s">
        <v>7871</v>
      </c>
      <c r="T566" s="3070" t="s">
        <v>3425</v>
      </c>
      <c r="V566" s="3070" t="s">
        <v>3230</v>
      </c>
      <c r="Y566" s="3070">
        <v>723093</v>
      </c>
      <c r="Z566" s="3070">
        <v>723093</v>
      </c>
      <c r="AA566" s="3070">
        <v>723093</v>
      </c>
      <c r="AB566" s="3070">
        <v>0</v>
      </c>
      <c r="AC566" s="3070">
        <v>300000</v>
      </c>
      <c r="AD566" s="3070">
        <v>300000</v>
      </c>
      <c r="AE566" s="3070">
        <v>0</v>
      </c>
      <c r="AI566" s="3070" t="s">
        <v>3227</v>
      </c>
      <c r="AJ566" s="3070">
        <v>0</v>
      </c>
      <c r="AK566" s="3070">
        <v>0</v>
      </c>
      <c r="AL566" s="3070">
        <v>0</v>
      </c>
      <c r="AM566" s="3070">
        <v>12076.17</v>
      </c>
      <c r="AN566" s="3070">
        <v>1023093</v>
      </c>
      <c r="AP566" s="3070">
        <v>1023093</v>
      </c>
      <c r="AQ566" s="3072">
        <v>45138</v>
      </c>
      <c r="AT566" s="3073">
        <v>45678</v>
      </c>
      <c r="AV566" s="3074">
        <v>3.21E+17</v>
      </c>
      <c r="AW566" s="3070" t="s">
        <v>7872</v>
      </c>
      <c r="AX566" s="3070" t="s">
        <v>7873</v>
      </c>
      <c r="AY566" s="3070" t="s">
        <v>3250</v>
      </c>
      <c r="BC566" s="3070" t="s">
        <v>7874</v>
      </c>
      <c r="BD566" s="3070" t="s">
        <v>3076</v>
      </c>
      <c r="BI566" s="3070" t="s">
        <v>3235</v>
      </c>
      <c r="BL566" s="3070" t="s">
        <v>7875</v>
      </c>
      <c r="BM566" s="3075">
        <v>44350</v>
      </c>
      <c r="BN566" s="3070">
        <v>3</v>
      </c>
      <c r="BP566" s="3070" t="s">
        <v>3253</v>
      </c>
      <c r="BR566" s="3070">
        <v>611</v>
      </c>
      <c r="BS566" s="3070" t="s">
        <v>3238</v>
      </c>
      <c r="BZ566" s="3073">
        <v>44142.594444444447</v>
      </c>
      <c r="CA566" s="3070">
        <v>6</v>
      </c>
      <c r="CD566" s="3070" t="s">
        <v>3239</v>
      </c>
      <c r="CF566" s="3070" t="s">
        <v>3091</v>
      </c>
      <c r="CH566" s="3070" t="s">
        <v>3240</v>
      </c>
      <c r="CI566" s="3070">
        <v>0</v>
      </c>
      <c r="CJ566" s="3070" t="s">
        <v>3259</v>
      </c>
      <c r="CK566" s="3070" t="s">
        <v>3250</v>
      </c>
      <c r="CL566" s="3070" t="s">
        <v>3250</v>
      </c>
      <c r="CM566" s="3070">
        <v>938617.43</v>
      </c>
      <c r="CV566" s="3070" t="s">
        <v>3425</v>
      </c>
      <c r="CW566" s="3070" t="s">
        <v>7876</v>
      </c>
      <c r="CX566" s="3070" t="s">
        <v>3311</v>
      </c>
      <c r="CZ566" s="3070">
        <v>213894.57</v>
      </c>
      <c r="DA566" s="3070">
        <v>159426.93</v>
      </c>
      <c r="DB566" s="3070">
        <v>0</v>
      </c>
      <c r="DC566" s="3070">
        <v>0</v>
      </c>
      <c r="DD566" s="3070">
        <v>3290547602</v>
      </c>
      <c r="DE566" s="3070">
        <v>2764253109</v>
      </c>
      <c r="DF566" s="3070">
        <v>1464966739</v>
      </c>
      <c r="DG566" s="3070">
        <v>14938370</v>
      </c>
      <c r="DH566" s="3070">
        <v>1284348000</v>
      </c>
      <c r="DI566" s="3070">
        <v>1278128000</v>
      </c>
      <c r="DJ566" s="3070">
        <v>6220000</v>
      </c>
      <c r="DK566" s="3070">
        <v>0</v>
      </c>
      <c r="DL566" s="3070">
        <v>0</v>
      </c>
      <c r="DM566" s="3070">
        <v>25491817.620000001</v>
      </c>
      <c r="DN566" s="3070">
        <v>2764253109</v>
      </c>
      <c r="DP566" s="3070">
        <v>2764253109</v>
      </c>
    </row>
    <row r="567" spans="1:120">
      <c r="A567" s="3070">
        <v>566</v>
      </c>
      <c r="B567" s="3070" t="s">
        <v>3224</v>
      </c>
      <c r="C567" s="3070">
        <v>6</v>
      </c>
      <c r="E567" s="3070">
        <v>304</v>
      </c>
      <c r="F567" s="3070" t="s">
        <v>7877</v>
      </c>
      <c r="G567" s="3070" t="s">
        <v>7878</v>
      </c>
      <c r="H567" s="3070">
        <v>1587900</v>
      </c>
      <c r="I567" s="3070">
        <v>1587900</v>
      </c>
      <c r="J567" s="3070">
        <v>120.29</v>
      </c>
      <c r="K567" s="3070">
        <v>88.57</v>
      </c>
      <c r="L567" s="3070">
        <v>0</v>
      </c>
      <c r="M567" s="3070">
        <v>0</v>
      </c>
      <c r="N567" s="3070">
        <v>14944.44</v>
      </c>
      <c r="O567" s="3070">
        <v>1797667</v>
      </c>
      <c r="P567" s="3070">
        <v>13200.6</v>
      </c>
      <c r="Q567" s="3070">
        <v>1587900</v>
      </c>
      <c r="R567" s="3070" t="s">
        <v>3227</v>
      </c>
      <c r="S567" s="3070" t="s">
        <v>7879</v>
      </c>
      <c r="T567" s="3070" t="s">
        <v>4061</v>
      </c>
      <c r="V567" s="3070" t="s">
        <v>3230</v>
      </c>
      <c r="Y567" s="3070">
        <v>158790</v>
      </c>
      <c r="Z567" s="3070">
        <v>158790</v>
      </c>
      <c r="AA567" s="3070">
        <v>1587900</v>
      </c>
      <c r="AB567" s="3070">
        <v>0</v>
      </c>
      <c r="AC567" s="3070">
        <v>0</v>
      </c>
      <c r="AD567" s="3070">
        <v>0</v>
      </c>
      <c r="AE567" s="3070">
        <v>0</v>
      </c>
      <c r="AI567" s="3070" t="s">
        <v>3227</v>
      </c>
      <c r="AJ567" s="3070">
        <v>0</v>
      </c>
      <c r="AK567" s="3070">
        <v>0</v>
      </c>
      <c r="AL567" s="3070">
        <v>0</v>
      </c>
      <c r="AM567" s="3070">
        <v>13200.6</v>
      </c>
      <c r="AN567" s="3070">
        <v>1587900</v>
      </c>
      <c r="AP567" s="3070">
        <v>1587900</v>
      </c>
      <c r="AQ567" s="3072">
        <v>45138</v>
      </c>
      <c r="AT567" s="3073">
        <v>45678</v>
      </c>
      <c r="AV567" s="3074">
        <v>3.41E+17</v>
      </c>
      <c r="AW567" s="3070" t="s">
        <v>7880</v>
      </c>
      <c r="AX567" s="3070" t="s">
        <v>7881</v>
      </c>
      <c r="AY567" s="3070" t="s">
        <v>4265</v>
      </c>
      <c r="BC567" s="3070" t="s">
        <v>4066</v>
      </c>
      <c r="BD567" s="3070" t="s">
        <v>3075</v>
      </c>
      <c r="BI567" s="3070" t="s">
        <v>3235</v>
      </c>
      <c r="BL567" s="3070" t="s">
        <v>7882</v>
      </c>
      <c r="BM567" s="3075">
        <v>44350</v>
      </c>
      <c r="BN567" s="3070">
        <v>4</v>
      </c>
      <c r="BR567" s="3070">
        <v>0</v>
      </c>
      <c r="BS567" s="3070" t="s">
        <v>3238</v>
      </c>
      <c r="BZ567" s="3073">
        <v>44248.518055555556</v>
      </c>
      <c r="CA567" s="3070">
        <v>6</v>
      </c>
      <c r="CD567" s="3070" t="s">
        <v>3239</v>
      </c>
      <c r="CF567" s="3070" t="s">
        <v>3091</v>
      </c>
      <c r="CH567" s="3070" t="s">
        <v>3240</v>
      </c>
      <c r="CI567" s="3070">
        <v>0</v>
      </c>
      <c r="CK567" s="3070" t="s">
        <v>3883</v>
      </c>
      <c r="CL567" s="3070" t="s">
        <v>4265</v>
      </c>
      <c r="CM567" s="3070">
        <v>1456788.99</v>
      </c>
      <c r="CV567" s="3070" t="s">
        <v>3494</v>
      </c>
      <c r="CW567" s="3070" t="s">
        <v>7883</v>
      </c>
      <c r="CX567" s="3070" t="s">
        <v>3510</v>
      </c>
      <c r="CZ567" s="3070">
        <v>213894.57</v>
      </c>
      <c r="DA567" s="3070">
        <v>159426.93</v>
      </c>
      <c r="DB567" s="3070">
        <v>0</v>
      </c>
      <c r="DC567" s="3070">
        <v>0</v>
      </c>
      <c r="DD567" s="3070">
        <v>3290547602</v>
      </c>
      <c r="DE567" s="3070">
        <v>2764253109</v>
      </c>
      <c r="DF567" s="3070">
        <v>1464966739</v>
      </c>
      <c r="DG567" s="3070">
        <v>14938370</v>
      </c>
      <c r="DH567" s="3070">
        <v>1284348000</v>
      </c>
      <c r="DI567" s="3070">
        <v>1278128000</v>
      </c>
      <c r="DJ567" s="3070">
        <v>6220000</v>
      </c>
      <c r="DK567" s="3070">
        <v>0</v>
      </c>
      <c r="DL567" s="3070">
        <v>0</v>
      </c>
      <c r="DM567" s="3070">
        <v>25491817.620000001</v>
      </c>
      <c r="DN567" s="3070">
        <v>2764253109</v>
      </c>
      <c r="DP567" s="3070">
        <v>2764253109</v>
      </c>
    </row>
    <row r="568" spans="1:120">
      <c r="A568" s="3070">
        <v>567</v>
      </c>
      <c r="B568" s="3070" t="s">
        <v>3224</v>
      </c>
      <c r="C568" s="3070">
        <v>6</v>
      </c>
      <c r="E568" s="3070">
        <v>401</v>
      </c>
      <c r="F568" s="3070" t="s">
        <v>7884</v>
      </c>
      <c r="G568" s="3070" t="s">
        <v>7885</v>
      </c>
      <c r="H568" s="3070">
        <v>1316537</v>
      </c>
      <c r="I568" s="3070">
        <v>1316537</v>
      </c>
      <c r="J568" s="3070">
        <v>108.94</v>
      </c>
      <c r="K568" s="3070">
        <v>80.209999999999994</v>
      </c>
      <c r="L568" s="3070">
        <v>0</v>
      </c>
      <c r="M568" s="3070">
        <v>0</v>
      </c>
      <c r="N568" s="3070">
        <v>14994.44</v>
      </c>
      <c r="O568" s="3070">
        <v>1633494</v>
      </c>
      <c r="P568" s="3070">
        <v>12084.97</v>
      </c>
      <c r="Q568" s="3070">
        <v>1316537</v>
      </c>
      <c r="R568" s="3070" t="s">
        <v>3227</v>
      </c>
      <c r="S568" s="3070" t="s">
        <v>7886</v>
      </c>
      <c r="T568" s="3070" t="s">
        <v>3246</v>
      </c>
      <c r="U568" s="3070" t="s">
        <v>3279</v>
      </c>
      <c r="V568" s="3070" t="s">
        <v>3230</v>
      </c>
      <c r="Y568" s="3070">
        <v>396537</v>
      </c>
      <c r="Z568" s="3070">
        <v>396537</v>
      </c>
      <c r="AA568" s="3070">
        <v>396537</v>
      </c>
      <c r="AB568" s="3070">
        <v>0</v>
      </c>
      <c r="AC568" s="3070">
        <v>920000</v>
      </c>
      <c r="AD568" s="3070">
        <v>920000</v>
      </c>
      <c r="AE568" s="3070">
        <v>0</v>
      </c>
      <c r="AI568" s="3070" t="s">
        <v>3227</v>
      </c>
      <c r="AJ568" s="3070">
        <v>0</v>
      </c>
      <c r="AK568" s="3070">
        <v>0</v>
      </c>
      <c r="AL568" s="3070">
        <v>0</v>
      </c>
      <c r="AM568" s="3070">
        <v>12084.97</v>
      </c>
      <c r="AN568" s="3070">
        <v>1316537</v>
      </c>
      <c r="AP568" s="3070">
        <v>1316537</v>
      </c>
      <c r="AQ568" s="3072">
        <v>45138</v>
      </c>
      <c r="AT568" s="3073">
        <v>45678</v>
      </c>
      <c r="AV568" s="3070" t="s">
        <v>7887</v>
      </c>
      <c r="AW568" s="3070" t="s">
        <v>7888</v>
      </c>
      <c r="AX568" s="3070" t="s">
        <v>7889</v>
      </c>
      <c r="AY568" s="3070" t="s">
        <v>3233</v>
      </c>
      <c r="BC568" s="3070" t="s">
        <v>3284</v>
      </c>
      <c r="BD568" s="3070" t="s">
        <v>3077</v>
      </c>
      <c r="BI568" s="3070" t="s">
        <v>3235</v>
      </c>
      <c r="BJ568" s="3070" t="s">
        <v>3236</v>
      </c>
      <c r="BL568" s="3070" t="s">
        <v>7890</v>
      </c>
      <c r="BM568" s="3075">
        <v>44351</v>
      </c>
      <c r="BN568" s="3070">
        <v>1</v>
      </c>
      <c r="BO568" s="3070" t="s">
        <v>3253</v>
      </c>
      <c r="BR568" s="3070">
        <v>14</v>
      </c>
      <c r="BS568" s="3070" t="s">
        <v>3238</v>
      </c>
      <c r="BZ568" s="3073">
        <v>44142.601388888892</v>
      </c>
      <c r="CA568" s="3070">
        <v>6</v>
      </c>
      <c r="CD568" s="3070" t="s">
        <v>3239</v>
      </c>
      <c r="CF568" s="3070" t="s">
        <v>3091</v>
      </c>
      <c r="CH568" s="3070" t="s">
        <v>3240</v>
      </c>
      <c r="CI568" s="3070">
        <v>0</v>
      </c>
      <c r="CK568" s="3070" t="s">
        <v>3233</v>
      </c>
      <c r="CL568" s="3070" t="s">
        <v>3233</v>
      </c>
      <c r="CM568" s="3070">
        <v>1207832.1100000001</v>
      </c>
      <c r="CV568" s="3070" t="s">
        <v>3246</v>
      </c>
      <c r="CW568" s="3070" t="s">
        <v>7891</v>
      </c>
      <c r="CX568" s="3070" t="s">
        <v>3267</v>
      </c>
      <c r="CZ568" s="3070">
        <v>213894.57</v>
      </c>
      <c r="DA568" s="3070">
        <v>159426.93</v>
      </c>
      <c r="DB568" s="3070">
        <v>0</v>
      </c>
      <c r="DC568" s="3070">
        <v>0</v>
      </c>
      <c r="DD568" s="3070">
        <v>3290547602</v>
      </c>
      <c r="DE568" s="3070">
        <v>2764253109</v>
      </c>
      <c r="DF568" s="3070">
        <v>1464966739</v>
      </c>
      <c r="DG568" s="3070">
        <v>14938370</v>
      </c>
      <c r="DH568" s="3070">
        <v>1284348000</v>
      </c>
      <c r="DI568" s="3070">
        <v>1278128000</v>
      </c>
      <c r="DJ568" s="3070">
        <v>6220000</v>
      </c>
      <c r="DK568" s="3070">
        <v>0</v>
      </c>
      <c r="DL568" s="3070">
        <v>0</v>
      </c>
      <c r="DM568" s="3070">
        <v>25491817.620000001</v>
      </c>
      <c r="DN568" s="3070">
        <v>2764253109</v>
      </c>
      <c r="DP568" s="3070">
        <v>2764253109</v>
      </c>
    </row>
    <row r="569" spans="1:120">
      <c r="A569" s="3070">
        <v>568</v>
      </c>
      <c r="B569" s="3070" t="s">
        <v>3224</v>
      </c>
      <c r="C569" s="3070">
        <v>6</v>
      </c>
      <c r="E569" s="3070">
        <v>402</v>
      </c>
      <c r="F569" s="3070" t="s">
        <v>7892</v>
      </c>
      <c r="G569" s="3070" t="s">
        <v>7893</v>
      </c>
      <c r="H569" s="3070">
        <v>1035919</v>
      </c>
      <c r="I569" s="3070">
        <v>1035919</v>
      </c>
      <c r="J569" s="3070">
        <v>84.72</v>
      </c>
      <c r="K569" s="3070">
        <v>62.38</v>
      </c>
      <c r="L569" s="3070">
        <v>0</v>
      </c>
      <c r="M569" s="3070">
        <v>0</v>
      </c>
      <c r="N569" s="3070">
        <v>15144.44</v>
      </c>
      <c r="O569" s="3070">
        <v>1283037</v>
      </c>
      <c r="P569" s="3070">
        <v>12227.56</v>
      </c>
      <c r="Q569" s="3070">
        <v>1035919</v>
      </c>
      <c r="R569" s="3070" t="s">
        <v>3227</v>
      </c>
      <c r="S569" s="3070" t="s">
        <v>7894</v>
      </c>
      <c r="T569" s="3070" t="s">
        <v>3246</v>
      </c>
      <c r="U569" s="3070" t="s">
        <v>3371</v>
      </c>
      <c r="V569" s="3070" t="s">
        <v>3230</v>
      </c>
      <c r="Y569" s="3070">
        <v>335919</v>
      </c>
      <c r="Z569" s="3070">
        <v>335919</v>
      </c>
      <c r="AA569" s="3070">
        <v>335919</v>
      </c>
      <c r="AB569" s="3070">
        <v>0</v>
      </c>
      <c r="AC569" s="3070">
        <v>700000</v>
      </c>
      <c r="AD569" s="3070">
        <v>700000</v>
      </c>
      <c r="AE569" s="3070">
        <v>0</v>
      </c>
      <c r="AI569" s="3070" t="s">
        <v>3227</v>
      </c>
      <c r="AJ569" s="3070">
        <v>0</v>
      </c>
      <c r="AK569" s="3070">
        <v>0</v>
      </c>
      <c r="AL569" s="3070">
        <v>0</v>
      </c>
      <c r="AM569" s="3070">
        <v>12227.56</v>
      </c>
      <c r="AN569" s="3070">
        <v>1035919</v>
      </c>
      <c r="AP569" s="3070">
        <v>1035919</v>
      </c>
      <c r="AQ569" s="3072">
        <v>45138</v>
      </c>
      <c r="AT569" s="3073">
        <v>45678</v>
      </c>
      <c r="AV569" s="3074">
        <v>3.21E+17</v>
      </c>
      <c r="AW569" s="3070" t="s">
        <v>7895</v>
      </c>
      <c r="AX569" s="3070" t="s">
        <v>7896</v>
      </c>
      <c r="AY569" s="3070" t="s">
        <v>3306</v>
      </c>
      <c r="BA569" s="3070" t="s">
        <v>3306</v>
      </c>
      <c r="BC569" s="3070" t="s">
        <v>3284</v>
      </c>
      <c r="BD569" s="3070" t="s">
        <v>3076</v>
      </c>
      <c r="BI569" s="3070" t="s">
        <v>3235</v>
      </c>
      <c r="BJ569" s="3070" t="s">
        <v>3338</v>
      </c>
      <c r="BL569" s="3070" t="s">
        <v>7897</v>
      </c>
      <c r="BM569" s="3075">
        <v>44351</v>
      </c>
      <c r="BN569" s="3070">
        <v>2</v>
      </c>
      <c r="BO569" s="3070" t="s">
        <v>3253</v>
      </c>
      <c r="BR569" s="3070">
        <v>204</v>
      </c>
      <c r="BS569" s="3070" t="s">
        <v>3238</v>
      </c>
      <c r="BU569" s="3070" t="s">
        <v>3306</v>
      </c>
      <c r="BZ569" s="3073">
        <v>44142.624305555553</v>
      </c>
      <c r="CA569" s="3070">
        <v>6</v>
      </c>
      <c r="CD569" s="3070" t="s">
        <v>3239</v>
      </c>
      <c r="CF569" s="3070" t="s">
        <v>3091</v>
      </c>
      <c r="CH569" s="3070" t="s">
        <v>3240</v>
      </c>
      <c r="CI569" s="3070">
        <v>0</v>
      </c>
      <c r="CK569" s="3070" t="s">
        <v>3306</v>
      </c>
      <c r="CL569" s="3070" t="s">
        <v>3306</v>
      </c>
      <c r="CM569" s="3070">
        <v>950384.4</v>
      </c>
      <c r="CV569" s="3070" t="s">
        <v>3246</v>
      </c>
      <c r="CW569" s="3070" t="s">
        <v>7898</v>
      </c>
      <c r="CZ569" s="3070">
        <v>213894.57</v>
      </c>
      <c r="DA569" s="3070">
        <v>159426.93</v>
      </c>
      <c r="DB569" s="3070">
        <v>0</v>
      </c>
      <c r="DC569" s="3070">
        <v>0</v>
      </c>
      <c r="DD569" s="3070">
        <v>3290547602</v>
      </c>
      <c r="DE569" s="3070">
        <v>2764253109</v>
      </c>
      <c r="DF569" s="3070">
        <v>1464966739</v>
      </c>
      <c r="DG569" s="3070">
        <v>14938370</v>
      </c>
      <c r="DH569" s="3070">
        <v>1284348000</v>
      </c>
      <c r="DI569" s="3070">
        <v>1278128000</v>
      </c>
      <c r="DJ569" s="3070">
        <v>6220000</v>
      </c>
      <c r="DK569" s="3070">
        <v>0</v>
      </c>
      <c r="DL569" s="3070">
        <v>0</v>
      </c>
      <c r="DM569" s="3070">
        <v>25491817.620000001</v>
      </c>
      <c r="DN569" s="3070">
        <v>2764253109</v>
      </c>
      <c r="DP569" s="3070">
        <v>2764253109</v>
      </c>
    </row>
    <row r="570" spans="1:120">
      <c r="A570" s="3070">
        <v>569</v>
      </c>
      <c r="B570" s="3070" t="s">
        <v>3224</v>
      </c>
      <c r="C570" s="3070">
        <v>6</v>
      </c>
      <c r="E570" s="3070">
        <v>403</v>
      </c>
      <c r="F570" s="3070" t="s">
        <v>7899</v>
      </c>
      <c r="G570" s="3070" t="s">
        <v>7900</v>
      </c>
      <c r="H570" s="3070">
        <v>1035919</v>
      </c>
      <c r="I570" s="3070">
        <v>1035919</v>
      </c>
      <c r="J570" s="3070">
        <v>84.72</v>
      </c>
      <c r="K570" s="3070">
        <v>62.38</v>
      </c>
      <c r="L570" s="3070">
        <v>0</v>
      </c>
      <c r="M570" s="3070">
        <v>0</v>
      </c>
      <c r="N570" s="3070">
        <v>15144.44</v>
      </c>
      <c r="O570" s="3070">
        <v>1283037</v>
      </c>
      <c r="P570" s="3070">
        <v>12227.56</v>
      </c>
      <c r="Q570" s="3070">
        <v>1035919</v>
      </c>
      <c r="R570" s="3070" t="s">
        <v>3227</v>
      </c>
      <c r="S570" s="3070" t="s">
        <v>7901</v>
      </c>
      <c r="T570" s="3070" t="s">
        <v>3246</v>
      </c>
      <c r="U570" s="3070" t="s">
        <v>3467</v>
      </c>
      <c r="V570" s="3070" t="s">
        <v>3230</v>
      </c>
      <c r="Y570" s="3070">
        <v>355919</v>
      </c>
      <c r="Z570" s="3070">
        <v>103592</v>
      </c>
      <c r="AA570" s="3070">
        <v>355919</v>
      </c>
      <c r="AB570" s="3070">
        <v>0</v>
      </c>
      <c r="AC570" s="3070">
        <v>680000</v>
      </c>
      <c r="AD570" s="3070">
        <v>680000</v>
      </c>
      <c r="AE570" s="3070">
        <v>0</v>
      </c>
      <c r="AI570" s="3070" t="s">
        <v>3227</v>
      </c>
      <c r="AJ570" s="3070">
        <v>0</v>
      </c>
      <c r="AK570" s="3070">
        <v>0</v>
      </c>
      <c r="AL570" s="3070">
        <v>0</v>
      </c>
      <c r="AM570" s="3070">
        <v>12227.56</v>
      </c>
      <c r="AN570" s="3070">
        <v>1035919</v>
      </c>
      <c r="AP570" s="3070">
        <v>1035919</v>
      </c>
      <c r="AQ570" s="3072">
        <v>45138</v>
      </c>
      <c r="AT570" s="3073">
        <v>45678</v>
      </c>
      <c r="AV570" s="3070" t="s">
        <v>7902</v>
      </c>
      <c r="AW570" s="3070" t="s">
        <v>7903</v>
      </c>
      <c r="AX570" s="3070" t="s">
        <v>7904</v>
      </c>
      <c r="AY570" s="3070" t="s">
        <v>3393</v>
      </c>
      <c r="BA570" s="3070" t="s">
        <v>3393</v>
      </c>
      <c r="BC570" s="3070" t="s">
        <v>3284</v>
      </c>
      <c r="BD570" s="3070" t="s">
        <v>3076</v>
      </c>
      <c r="BI570" s="3070" t="s">
        <v>3235</v>
      </c>
      <c r="BJ570" s="3070" t="s">
        <v>3296</v>
      </c>
      <c r="BL570" s="3070" t="s">
        <v>7905</v>
      </c>
      <c r="BM570" s="3075">
        <v>44351</v>
      </c>
      <c r="BN570" s="3070">
        <v>3</v>
      </c>
      <c r="BO570" s="3070" t="s">
        <v>3253</v>
      </c>
      <c r="BR570" s="3070">
        <v>164</v>
      </c>
      <c r="BS570" s="3070" t="s">
        <v>3238</v>
      </c>
      <c r="BU570" s="3070" t="s">
        <v>3393</v>
      </c>
      <c r="BZ570" s="3073">
        <v>44142.603472222225</v>
      </c>
      <c r="CA570" s="3070">
        <v>6</v>
      </c>
      <c r="CD570" s="3070" t="s">
        <v>3239</v>
      </c>
      <c r="CF570" s="3070" t="s">
        <v>3091</v>
      </c>
      <c r="CH570" s="3070" t="s">
        <v>3240</v>
      </c>
      <c r="CI570" s="3070">
        <v>0</v>
      </c>
      <c r="CK570" s="3070" t="s">
        <v>3393</v>
      </c>
      <c r="CL570" s="3070" t="s">
        <v>3393</v>
      </c>
      <c r="CM570" s="3070">
        <v>950384.4</v>
      </c>
      <c r="CV570" s="3070" t="s">
        <v>3246</v>
      </c>
      <c r="CW570" s="3070" t="s">
        <v>7906</v>
      </c>
      <c r="CZ570" s="3070">
        <v>213894.57</v>
      </c>
      <c r="DA570" s="3070">
        <v>159426.93</v>
      </c>
      <c r="DB570" s="3070">
        <v>0</v>
      </c>
      <c r="DC570" s="3070">
        <v>0</v>
      </c>
      <c r="DD570" s="3070">
        <v>3290547602</v>
      </c>
      <c r="DE570" s="3070">
        <v>2764253109</v>
      </c>
      <c r="DF570" s="3070">
        <v>1464966739</v>
      </c>
      <c r="DG570" s="3070">
        <v>14938370</v>
      </c>
      <c r="DH570" s="3070">
        <v>1284348000</v>
      </c>
      <c r="DI570" s="3070">
        <v>1278128000</v>
      </c>
      <c r="DJ570" s="3070">
        <v>6220000</v>
      </c>
      <c r="DK570" s="3070">
        <v>0</v>
      </c>
      <c r="DL570" s="3070">
        <v>0</v>
      </c>
      <c r="DM570" s="3070">
        <v>25491817.620000001</v>
      </c>
      <c r="DN570" s="3070">
        <v>2764253109</v>
      </c>
      <c r="DP570" s="3070">
        <v>2764253109</v>
      </c>
    </row>
    <row r="571" spans="1:120">
      <c r="A571" s="3070">
        <v>570</v>
      </c>
      <c r="B571" s="3070" t="s">
        <v>3224</v>
      </c>
      <c r="C571" s="3070">
        <v>6</v>
      </c>
      <c r="E571" s="3070">
        <v>404</v>
      </c>
      <c r="F571" s="3070" t="s">
        <v>7907</v>
      </c>
      <c r="G571" s="3070" t="s">
        <v>7908</v>
      </c>
      <c r="H571" s="3070">
        <v>1577074</v>
      </c>
      <c r="I571" s="3070">
        <v>1577074</v>
      </c>
      <c r="J571" s="3070">
        <v>120.29</v>
      </c>
      <c r="K571" s="3070">
        <v>88.57</v>
      </c>
      <c r="L571" s="3070">
        <v>0</v>
      </c>
      <c r="M571" s="3070">
        <v>0</v>
      </c>
      <c r="N571" s="3070">
        <v>14844.44</v>
      </c>
      <c r="O571" s="3070">
        <v>1785638</v>
      </c>
      <c r="P571" s="3070">
        <v>13110.6</v>
      </c>
      <c r="Q571" s="3070">
        <v>1577074</v>
      </c>
      <c r="R571" s="3070" t="s">
        <v>3227</v>
      </c>
      <c r="S571" s="3070" t="s">
        <v>7909</v>
      </c>
      <c r="T571" s="3070" t="s">
        <v>3246</v>
      </c>
      <c r="U571" s="3070" t="s">
        <v>3279</v>
      </c>
      <c r="V571" s="3070" t="s">
        <v>3230</v>
      </c>
      <c r="Y571" s="3070">
        <v>737074</v>
      </c>
      <c r="Z571" s="3070">
        <v>737074</v>
      </c>
      <c r="AA571" s="3070">
        <v>737074</v>
      </c>
      <c r="AB571" s="3070">
        <v>0</v>
      </c>
      <c r="AC571" s="3070">
        <v>840000</v>
      </c>
      <c r="AD571" s="3070">
        <v>840000</v>
      </c>
      <c r="AE571" s="3070">
        <v>0</v>
      </c>
      <c r="AI571" s="3070" t="s">
        <v>3227</v>
      </c>
      <c r="AJ571" s="3070">
        <v>0</v>
      </c>
      <c r="AK571" s="3070">
        <v>0</v>
      </c>
      <c r="AL571" s="3070">
        <v>0</v>
      </c>
      <c r="AM571" s="3070">
        <v>13110.6</v>
      </c>
      <c r="AN571" s="3070">
        <v>1577074</v>
      </c>
      <c r="AP571" s="3070">
        <v>1577074</v>
      </c>
      <c r="AQ571" s="3072">
        <v>45138</v>
      </c>
      <c r="AT571" s="3073">
        <v>45678</v>
      </c>
      <c r="AV571" s="3074">
        <v>3.21E+17</v>
      </c>
      <c r="AW571" s="3070" t="s">
        <v>7910</v>
      </c>
      <c r="AX571" s="3070" t="s">
        <v>7911</v>
      </c>
      <c r="AY571" s="3070" t="s">
        <v>4706</v>
      </c>
      <c r="BC571" s="3070" t="s">
        <v>4175</v>
      </c>
      <c r="BD571" s="3070" t="s">
        <v>3075</v>
      </c>
      <c r="BI571" s="3070" t="s">
        <v>3235</v>
      </c>
      <c r="BJ571" s="3070" t="s">
        <v>3296</v>
      </c>
      <c r="BL571" s="3070" t="s">
        <v>7912</v>
      </c>
      <c r="BM571" s="3075">
        <v>44351</v>
      </c>
      <c r="BN571" s="3070">
        <v>4</v>
      </c>
      <c r="BO571" s="3070" t="s">
        <v>3253</v>
      </c>
      <c r="BR571" s="3070">
        <v>0</v>
      </c>
      <c r="BS571" s="3070" t="s">
        <v>3238</v>
      </c>
      <c r="BZ571" s="3073">
        <v>44242.686111111114</v>
      </c>
      <c r="CA571" s="3070">
        <v>6</v>
      </c>
      <c r="CD571" s="3070" t="s">
        <v>3239</v>
      </c>
      <c r="CF571" s="3070" t="s">
        <v>3091</v>
      </c>
      <c r="CH571" s="3070" t="s">
        <v>3240</v>
      </c>
      <c r="CI571" s="3070">
        <v>0</v>
      </c>
      <c r="CK571" s="3070" t="s">
        <v>4706</v>
      </c>
      <c r="CL571" s="3070" t="s">
        <v>4706</v>
      </c>
      <c r="CM571" s="3070">
        <v>1446856.88</v>
      </c>
      <c r="CV571" s="3070" t="s">
        <v>3246</v>
      </c>
      <c r="CW571" s="3070" t="s">
        <v>7913</v>
      </c>
      <c r="CZ571" s="3070">
        <v>213894.57</v>
      </c>
      <c r="DA571" s="3070">
        <v>159426.93</v>
      </c>
      <c r="DB571" s="3070">
        <v>0</v>
      </c>
      <c r="DC571" s="3070">
        <v>0</v>
      </c>
      <c r="DD571" s="3070">
        <v>3290547602</v>
      </c>
      <c r="DE571" s="3070">
        <v>2764253109</v>
      </c>
      <c r="DF571" s="3070">
        <v>1464966739</v>
      </c>
      <c r="DG571" s="3070">
        <v>14938370</v>
      </c>
      <c r="DH571" s="3070">
        <v>1284348000</v>
      </c>
      <c r="DI571" s="3070">
        <v>1278128000</v>
      </c>
      <c r="DJ571" s="3070">
        <v>6220000</v>
      </c>
      <c r="DK571" s="3070">
        <v>0</v>
      </c>
      <c r="DL571" s="3070">
        <v>0</v>
      </c>
      <c r="DM571" s="3070">
        <v>25491817.620000001</v>
      </c>
      <c r="DN571" s="3070">
        <v>2764253109</v>
      </c>
      <c r="DP571" s="3070">
        <v>2764253109</v>
      </c>
    </row>
    <row r="572" spans="1:120">
      <c r="A572" s="3070">
        <v>571</v>
      </c>
      <c r="B572" s="3070" t="s">
        <v>3224</v>
      </c>
      <c r="C572" s="3070">
        <v>6</v>
      </c>
      <c r="E572" s="3070">
        <v>501</v>
      </c>
      <c r="F572" s="3070" t="s">
        <v>7914</v>
      </c>
      <c r="G572" s="3070" t="s">
        <v>7915</v>
      </c>
      <c r="H572" s="3070">
        <v>1318750</v>
      </c>
      <c r="I572" s="3070">
        <v>1318750</v>
      </c>
      <c r="J572" s="3070">
        <v>108.94</v>
      </c>
      <c r="K572" s="3070">
        <v>80.209999999999994</v>
      </c>
      <c r="L572" s="3070">
        <v>0</v>
      </c>
      <c r="M572" s="3070">
        <v>0</v>
      </c>
      <c r="N572" s="3070">
        <v>15144.44</v>
      </c>
      <c r="O572" s="3070">
        <v>1649835</v>
      </c>
      <c r="P572" s="3070">
        <v>12105.29</v>
      </c>
      <c r="Q572" s="3070">
        <v>1318750</v>
      </c>
      <c r="R572" s="3070" t="s">
        <v>3227</v>
      </c>
      <c r="S572" s="3070" t="s">
        <v>7916</v>
      </c>
      <c r="T572" s="3070" t="s">
        <v>3229</v>
      </c>
      <c r="V572" s="3070" t="s">
        <v>3230</v>
      </c>
      <c r="Y572" s="3070">
        <v>395625</v>
      </c>
      <c r="Z572" s="3070">
        <v>420000</v>
      </c>
      <c r="AA572" s="3070">
        <v>1318750</v>
      </c>
      <c r="AB572" s="3070">
        <v>0</v>
      </c>
      <c r="AC572" s="3070">
        <v>0</v>
      </c>
      <c r="AD572" s="3070">
        <v>0</v>
      </c>
      <c r="AE572" s="3070">
        <v>0</v>
      </c>
      <c r="AI572" s="3070" t="s">
        <v>3227</v>
      </c>
      <c r="AJ572" s="3070">
        <v>0</v>
      </c>
      <c r="AK572" s="3070">
        <v>0</v>
      </c>
      <c r="AL572" s="3070">
        <v>0</v>
      </c>
      <c r="AM572" s="3070">
        <v>12105.29</v>
      </c>
      <c r="AN572" s="3070">
        <v>1318750</v>
      </c>
      <c r="AP572" s="3070">
        <v>1318750</v>
      </c>
      <c r="AQ572" s="3072">
        <v>45138</v>
      </c>
      <c r="AT572" s="3073">
        <v>45678</v>
      </c>
      <c r="AV572" s="3074">
        <v>3.21E+17</v>
      </c>
      <c r="AW572" s="3070" t="s">
        <v>7917</v>
      </c>
      <c r="AX572" s="3070" t="s">
        <v>7918</v>
      </c>
      <c r="AY572" s="3070" t="s">
        <v>3954</v>
      </c>
      <c r="BA572" s="3070" t="s">
        <v>3957</v>
      </c>
      <c r="BC572" s="3070" t="s">
        <v>3347</v>
      </c>
      <c r="BD572" s="3070" t="s">
        <v>3077</v>
      </c>
      <c r="BI572" s="3070" t="s">
        <v>3235</v>
      </c>
      <c r="BJ572" s="3070" t="s">
        <v>3296</v>
      </c>
      <c r="BL572" s="3070" t="s">
        <v>7919</v>
      </c>
      <c r="BM572" s="3075">
        <v>44352</v>
      </c>
      <c r="BN572" s="3070">
        <v>1</v>
      </c>
      <c r="BR572" s="3070">
        <v>899</v>
      </c>
      <c r="BS572" s="3070" t="s">
        <v>3238</v>
      </c>
      <c r="BU572" s="3070" t="s">
        <v>3957</v>
      </c>
      <c r="BZ572" s="3073">
        <v>44142.64166666667</v>
      </c>
      <c r="CA572" s="3070">
        <v>6</v>
      </c>
      <c r="CD572" s="3070" t="s">
        <v>3239</v>
      </c>
      <c r="CF572" s="3070" t="s">
        <v>3091</v>
      </c>
      <c r="CH572" s="3070" t="s">
        <v>3240</v>
      </c>
      <c r="CI572" s="3070">
        <v>0</v>
      </c>
      <c r="CK572" s="3070" t="s">
        <v>3957</v>
      </c>
      <c r="CL572" s="3070" t="s">
        <v>3954</v>
      </c>
      <c r="CM572" s="3070">
        <v>1209862.3899999999</v>
      </c>
      <c r="CV572" s="3070" t="s">
        <v>3229</v>
      </c>
      <c r="CW572" s="3070" t="s">
        <v>7920</v>
      </c>
      <c r="CZ572" s="3070">
        <v>213894.57</v>
      </c>
      <c r="DA572" s="3070">
        <v>159426.93</v>
      </c>
      <c r="DB572" s="3070">
        <v>0</v>
      </c>
      <c r="DC572" s="3070">
        <v>0</v>
      </c>
      <c r="DD572" s="3070">
        <v>3290547602</v>
      </c>
      <c r="DE572" s="3070">
        <v>2764253109</v>
      </c>
      <c r="DF572" s="3070">
        <v>1464966739</v>
      </c>
      <c r="DG572" s="3070">
        <v>14938370</v>
      </c>
      <c r="DH572" s="3070">
        <v>1284348000</v>
      </c>
      <c r="DI572" s="3070">
        <v>1278128000</v>
      </c>
      <c r="DJ572" s="3070">
        <v>6220000</v>
      </c>
      <c r="DK572" s="3070">
        <v>0</v>
      </c>
      <c r="DL572" s="3070">
        <v>0</v>
      </c>
      <c r="DM572" s="3070">
        <v>25491817.620000001</v>
      </c>
      <c r="DN572" s="3070">
        <v>2764253109</v>
      </c>
      <c r="DP572" s="3070">
        <v>2764253109</v>
      </c>
    </row>
    <row r="573" spans="1:120">
      <c r="A573" s="3070">
        <v>572</v>
      </c>
      <c r="B573" s="3070" t="s">
        <v>3224</v>
      </c>
      <c r="C573" s="3070">
        <v>6</v>
      </c>
      <c r="E573" s="3070">
        <v>502</v>
      </c>
      <c r="F573" s="3070" t="s">
        <v>7921</v>
      </c>
      <c r="G573" s="3070" t="s">
        <v>7922</v>
      </c>
      <c r="H573" s="3070">
        <v>113617</v>
      </c>
      <c r="I573" s="3070">
        <v>1136171</v>
      </c>
      <c r="J573" s="3070">
        <v>84.72</v>
      </c>
      <c r="K573" s="3070">
        <v>62.38</v>
      </c>
      <c r="L573" s="3070">
        <v>0</v>
      </c>
      <c r="M573" s="3070">
        <v>0</v>
      </c>
      <c r="N573" s="3070">
        <v>15294.44</v>
      </c>
      <c r="O573" s="3070">
        <v>1295745</v>
      </c>
      <c r="P573" s="3070">
        <v>13410.89</v>
      </c>
      <c r="Q573" s="3070">
        <v>1136171</v>
      </c>
      <c r="R573" s="3070" t="s">
        <v>3227</v>
      </c>
      <c r="S573" s="3070" t="s">
        <v>3353</v>
      </c>
      <c r="T573" s="3070" t="s">
        <v>4061</v>
      </c>
      <c r="V573" s="3070" t="s">
        <v>3230</v>
      </c>
      <c r="Y573" s="3070">
        <v>113617</v>
      </c>
      <c r="Z573" s="3070">
        <v>113617</v>
      </c>
      <c r="AA573" s="3070">
        <v>113617</v>
      </c>
      <c r="AB573" s="3070">
        <v>1022554</v>
      </c>
      <c r="AC573" s="3070">
        <v>0</v>
      </c>
      <c r="AD573" s="3070">
        <v>0</v>
      </c>
      <c r="AE573" s="3070">
        <v>0</v>
      </c>
      <c r="AI573" s="3070" t="s">
        <v>3227</v>
      </c>
      <c r="AJ573" s="3070">
        <v>0</v>
      </c>
      <c r="AK573" s="3070">
        <v>0</v>
      </c>
      <c r="AL573" s="3070">
        <v>0</v>
      </c>
      <c r="AM573" s="3070">
        <v>13410.89</v>
      </c>
      <c r="AN573" s="3070">
        <v>1136171</v>
      </c>
      <c r="AP573" s="3070">
        <v>1136171</v>
      </c>
      <c r="AQ573" s="3072">
        <v>45138</v>
      </c>
      <c r="AT573" s="3073">
        <v>45678</v>
      </c>
      <c r="AV573" s="3074">
        <v>3.21E+17</v>
      </c>
      <c r="AW573" s="3070" t="s">
        <v>7923</v>
      </c>
      <c r="AX573" s="3070" t="s">
        <v>7924</v>
      </c>
      <c r="AY573" s="3070" t="s">
        <v>3883</v>
      </c>
      <c r="BC573" s="3070" t="s">
        <v>4066</v>
      </c>
      <c r="BD573" s="3070" t="s">
        <v>3076</v>
      </c>
      <c r="BI573" s="3070" t="s">
        <v>4630</v>
      </c>
      <c r="BL573" s="3070" t="s">
        <v>7925</v>
      </c>
      <c r="BM573" s="3075">
        <v>44352</v>
      </c>
      <c r="BN573" s="3070">
        <v>2</v>
      </c>
      <c r="BR573" s="3070">
        <v>0</v>
      </c>
      <c r="BS573" s="3070" t="s">
        <v>3238</v>
      </c>
      <c r="BZ573" s="3073">
        <v>44231.717361111114</v>
      </c>
      <c r="CA573" s="3070">
        <v>6</v>
      </c>
      <c r="CD573" s="3070" t="s">
        <v>3239</v>
      </c>
      <c r="CF573" s="3070" t="s">
        <v>3091</v>
      </c>
      <c r="CH573" s="3070" t="s">
        <v>3240</v>
      </c>
      <c r="CI573" s="3070">
        <v>0</v>
      </c>
      <c r="CK573" s="3070" t="s">
        <v>3892</v>
      </c>
      <c r="CL573" s="3070" t="s">
        <v>3883</v>
      </c>
      <c r="CM573" s="3070">
        <v>1042358.72</v>
      </c>
      <c r="CV573" s="3070" t="s">
        <v>3494</v>
      </c>
      <c r="CW573" s="3070" t="s">
        <v>7926</v>
      </c>
      <c r="CZ573" s="3070">
        <v>213894.57</v>
      </c>
      <c r="DA573" s="3070">
        <v>159426.93</v>
      </c>
      <c r="DB573" s="3070">
        <v>0</v>
      </c>
      <c r="DC573" s="3070">
        <v>0</v>
      </c>
      <c r="DD573" s="3070">
        <v>3290547602</v>
      </c>
      <c r="DE573" s="3070">
        <v>2764253109</v>
      </c>
      <c r="DF573" s="3070">
        <v>1464966739</v>
      </c>
      <c r="DG573" s="3070">
        <v>14938370</v>
      </c>
      <c r="DH573" s="3070">
        <v>1284348000</v>
      </c>
      <c r="DI573" s="3070">
        <v>1278128000</v>
      </c>
      <c r="DJ573" s="3070">
        <v>6220000</v>
      </c>
      <c r="DK573" s="3070">
        <v>0</v>
      </c>
      <c r="DL573" s="3070">
        <v>0</v>
      </c>
      <c r="DM573" s="3070">
        <v>25491817.620000001</v>
      </c>
      <c r="DN573" s="3070">
        <v>2764253109</v>
      </c>
      <c r="DP573" s="3070">
        <v>2764253109</v>
      </c>
    </row>
    <row r="574" spans="1:120">
      <c r="A574" s="3070">
        <v>573</v>
      </c>
      <c r="B574" s="3070" t="s">
        <v>3224</v>
      </c>
      <c r="C574" s="3070">
        <v>6</v>
      </c>
      <c r="E574" s="3070">
        <v>503</v>
      </c>
      <c r="F574" s="3070" t="s">
        <v>7927</v>
      </c>
      <c r="G574" s="3070" t="s">
        <v>7928</v>
      </c>
      <c r="H574" s="3070">
        <v>1047999</v>
      </c>
      <c r="I574" s="3070">
        <v>1047999</v>
      </c>
      <c r="J574" s="3070">
        <v>84.72</v>
      </c>
      <c r="K574" s="3070">
        <v>62.38</v>
      </c>
      <c r="L574" s="3070">
        <v>0</v>
      </c>
      <c r="M574" s="3070">
        <v>0</v>
      </c>
      <c r="N574" s="3070">
        <v>15294.44</v>
      </c>
      <c r="O574" s="3070">
        <v>1295745</v>
      </c>
      <c r="P574" s="3070">
        <v>12370.15</v>
      </c>
      <c r="Q574" s="3070">
        <v>1047999</v>
      </c>
      <c r="R574" s="3070" t="s">
        <v>3227</v>
      </c>
      <c r="S574" s="3070" t="s">
        <v>7929</v>
      </c>
      <c r="T574" s="3070" t="s">
        <v>3302</v>
      </c>
      <c r="V574" s="3070" t="s">
        <v>3230</v>
      </c>
      <c r="Y574" s="3070">
        <v>104800</v>
      </c>
      <c r="Z574" s="3070">
        <v>104800</v>
      </c>
      <c r="AA574" s="3070">
        <v>1047999</v>
      </c>
      <c r="AB574" s="3070">
        <v>0</v>
      </c>
      <c r="AC574" s="3070">
        <v>0</v>
      </c>
      <c r="AD574" s="3070">
        <v>0</v>
      </c>
      <c r="AE574" s="3070">
        <v>0</v>
      </c>
      <c r="AI574" s="3070" t="s">
        <v>3227</v>
      </c>
      <c r="AJ574" s="3070">
        <v>0</v>
      </c>
      <c r="AK574" s="3070">
        <v>0</v>
      </c>
      <c r="AL574" s="3070">
        <v>0</v>
      </c>
      <c r="AM574" s="3070">
        <v>12370.15</v>
      </c>
      <c r="AN574" s="3070">
        <v>1047999</v>
      </c>
      <c r="AP574" s="3070">
        <v>1047999</v>
      </c>
      <c r="AQ574" s="3072">
        <v>45138</v>
      </c>
      <c r="AT574" s="3073">
        <v>45678</v>
      </c>
      <c r="AV574" s="3070" t="s">
        <v>7930</v>
      </c>
      <c r="AW574" s="3070" t="s">
        <v>7931</v>
      </c>
      <c r="AX574" s="3070" t="s">
        <v>7932</v>
      </c>
      <c r="AY574" s="3070" t="s">
        <v>3393</v>
      </c>
      <c r="BC574" s="3070" t="s">
        <v>3307</v>
      </c>
      <c r="BD574" s="3070" t="s">
        <v>3076</v>
      </c>
      <c r="BI574" s="3070" t="s">
        <v>3235</v>
      </c>
      <c r="BJ574" s="3070" t="s">
        <v>7933</v>
      </c>
      <c r="BL574" s="3070" t="s">
        <v>7934</v>
      </c>
      <c r="BM574" s="3075">
        <v>44352</v>
      </c>
      <c r="BN574" s="3070">
        <v>3</v>
      </c>
      <c r="BR574" s="3070">
        <v>397</v>
      </c>
      <c r="BS574" s="3070" t="s">
        <v>3238</v>
      </c>
      <c r="BZ574" s="3073">
        <v>44142.625694444447</v>
      </c>
      <c r="CA574" s="3070">
        <v>6</v>
      </c>
      <c r="CD574" s="3070" t="s">
        <v>3239</v>
      </c>
      <c r="CF574" s="3070" t="s">
        <v>3091</v>
      </c>
      <c r="CH574" s="3070" t="s">
        <v>3240</v>
      </c>
      <c r="CI574" s="3070">
        <v>0</v>
      </c>
      <c r="CK574" s="3070" t="s">
        <v>3393</v>
      </c>
      <c r="CL574" s="3070" t="s">
        <v>3393</v>
      </c>
      <c r="CM574" s="3070">
        <v>961466.97</v>
      </c>
      <c r="CV574" s="3070" t="s">
        <v>3309</v>
      </c>
      <c r="CW574" s="3070" t="s">
        <v>7935</v>
      </c>
      <c r="CX574" s="3070" t="s">
        <v>3242</v>
      </c>
      <c r="CZ574" s="3070">
        <v>213894.57</v>
      </c>
      <c r="DA574" s="3070">
        <v>159426.93</v>
      </c>
      <c r="DB574" s="3070">
        <v>0</v>
      </c>
      <c r="DC574" s="3070">
        <v>0</v>
      </c>
      <c r="DD574" s="3070">
        <v>3290547602</v>
      </c>
      <c r="DE574" s="3070">
        <v>2764253109</v>
      </c>
      <c r="DF574" s="3070">
        <v>1464966739</v>
      </c>
      <c r="DG574" s="3070">
        <v>14938370</v>
      </c>
      <c r="DH574" s="3070">
        <v>1284348000</v>
      </c>
      <c r="DI574" s="3070">
        <v>1278128000</v>
      </c>
      <c r="DJ574" s="3070">
        <v>6220000</v>
      </c>
      <c r="DK574" s="3070">
        <v>0</v>
      </c>
      <c r="DL574" s="3070">
        <v>0</v>
      </c>
      <c r="DM574" s="3070">
        <v>25491817.620000001</v>
      </c>
      <c r="DN574" s="3070">
        <v>2764253109</v>
      </c>
      <c r="DP574" s="3070">
        <v>2764253109</v>
      </c>
    </row>
    <row r="575" spans="1:120">
      <c r="A575" s="3070">
        <v>574</v>
      </c>
      <c r="B575" s="3070" t="s">
        <v>3224</v>
      </c>
      <c r="C575" s="3070">
        <v>6</v>
      </c>
      <c r="E575" s="3070">
        <v>504</v>
      </c>
      <c r="F575" s="3070" t="s">
        <v>7936</v>
      </c>
      <c r="G575" s="3070" t="s">
        <v>7937</v>
      </c>
      <c r="H575" s="3070">
        <v>1469372</v>
      </c>
      <c r="I575" s="3070">
        <v>1469372</v>
      </c>
      <c r="J575" s="3070">
        <v>120.29</v>
      </c>
      <c r="K575" s="3070">
        <v>88.57</v>
      </c>
      <c r="L575" s="3070">
        <v>0</v>
      </c>
      <c r="M575" s="3070">
        <v>0</v>
      </c>
      <c r="N575" s="3070">
        <v>14994.44</v>
      </c>
      <c r="O575" s="3070">
        <v>1803681</v>
      </c>
      <c r="P575" s="3070">
        <v>12215.25</v>
      </c>
      <c r="Q575" s="3070">
        <v>1469372</v>
      </c>
      <c r="R575" s="3070" t="s">
        <v>3227</v>
      </c>
      <c r="S575" s="3070" t="s">
        <v>7938</v>
      </c>
      <c r="T575" s="3070" t="s">
        <v>3991</v>
      </c>
      <c r="V575" s="3070" t="s">
        <v>3230</v>
      </c>
      <c r="Y575" s="3070">
        <v>440812</v>
      </c>
      <c r="Z575" s="3070">
        <v>440812</v>
      </c>
      <c r="AA575" s="3070">
        <v>1469372</v>
      </c>
      <c r="AB575" s="3070">
        <v>0</v>
      </c>
      <c r="AC575" s="3070">
        <v>0</v>
      </c>
      <c r="AD575" s="3070">
        <v>0</v>
      </c>
      <c r="AE575" s="3070">
        <v>0</v>
      </c>
      <c r="AI575" s="3070" t="s">
        <v>3227</v>
      </c>
      <c r="AJ575" s="3070">
        <v>0</v>
      </c>
      <c r="AK575" s="3070">
        <v>0</v>
      </c>
      <c r="AL575" s="3070">
        <v>0</v>
      </c>
      <c r="AM575" s="3070">
        <v>12215.25</v>
      </c>
      <c r="AN575" s="3070">
        <v>1469372</v>
      </c>
      <c r="AP575" s="3070">
        <v>1469372</v>
      </c>
      <c r="AQ575" s="3072">
        <v>45138</v>
      </c>
      <c r="AT575" s="3073">
        <v>45678</v>
      </c>
      <c r="AV575" s="3074">
        <v>3.21E+17</v>
      </c>
      <c r="AW575" s="3070" t="s">
        <v>7939</v>
      </c>
      <c r="AX575" s="3070" t="s">
        <v>7940</v>
      </c>
      <c r="AY575" s="3070" t="s">
        <v>3892</v>
      </c>
      <c r="BA575" s="3070" t="s">
        <v>4056</v>
      </c>
      <c r="BC575" s="3070" t="s">
        <v>7941</v>
      </c>
      <c r="BD575" s="3070" t="s">
        <v>3075</v>
      </c>
      <c r="BI575" s="3070" t="s">
        <v>3295</v>
      </c>
      <c r="BL575" s="3070" t="s">
        <v>7942</v>
      </c>
      <c r="BM575" s="3075">
        <v>44352</v>
      </c>
      <c r="BN575" s="3070">
        <v>4</v>
      </c>
      <c r="BR575" s="3070">
        <v>19</v>
      </c>
      <c r="BS575" s="3070" t="s">
        <v>3238</v>
      </c>
      <c r="BU575" s="3070" t="s">
        <v>4056</v>
      </c>
      <c r="BZ575" s="3073">
        <v>44220.748611111114</v>
      </c>
      <c r="CA575" s="3070">
        <v>6</v>
      </c>
      <c r="CD575" s="3070" t="s">
        <v>3239</v>
      </c>
      <c r="CF575" s="3070" t="s">
        <v>3091</v>
      </c>
      <c r="CH575" s="3070" t="s">
        <v>3240</v>
      </c>
      <c r="CI575" s="3070">
        <v>0</v>
      </c>
      <c r="CK575" s="3070" t="s">
        <v>3892</v>
      </c>
      <c r="CL575" s="3070" t="s">
        <v>4056</v>
      </c>
      <c r="CM575" s="3070">
        <v>1348047.71</v>
      </c>
      <c r="CV575" s="3070" t="s">
        <v>3494</v>
      </c>
      <c r="CW575" s="3070" t="s">
        <v>7943</v>
      </c>
      <c r="CZ575" s="3070">
        <v>213894.57</v>
      </c>
      <c r="DA575" s="3070">
        <v>159426.93</v>
      </c>
      <c r="DB575" s="3070">
        <v>0</v>
      </c>
      <c r="DC575" s="3070">
        <v>0</v>
      </c>
      <c r="DD575" s="3070">
        <v>3290547602</v>
      </c>
      <c r="DE575" s="3070">
        <v>2764253109</v>
      </c>
      <c r="DF575" s="3070">
        <v>1464966739</v>
      </c>
      <c r="DG575" s="3070">
        <v>14938370</v>
      </c>
      <c r="DH575" s="3070">
        <v>1284348000</v>
      </c>
      <c r="DI575" s="3070">
        <v>1278128000</v>
      </c>
      <c r="DJ575" s="3070">
        <v>6220000</v>
      </c>
      <c r="DK575" s="3070">
        <v>0</v>
      </c>
      <c r="DL575" s="3070">
        <v>0</v>
      </c>
      <c r="DM575" s="3070">
        <v>25491817.620000001</v>
      </c>
      <c r="DN575" s="3070">
        <v>2764253109</v>
      </c>
      <c r="DP575" s="3070">
        <v>2764253109</v>
      </c>
    </row>
    <row r="576" spans="1:120">
      <c r="A576" s="3070">
        <v>575</v>
      </c>
      <c r="B576" s="3070" t="s">
        <v>3224</v>
      </c>
      <c r="C576" s="3070">
        <v>6</v>
      </c>
      <c r="E576" s="3070">
        <v>601</v>
      </c>
      <c r="F576" s="3070" t="s">
        <v>7944</v>
      </c>
      <c r="G576" s="3070" t="s">
        <v>7945</v>
      </c>
      <c r="H576" s="3070">
        <v>1323877</v>
      </c>
      <c r="I576" s="3070">
        <v>1323877</v>
      </c>
      <c r="J576" s="3070">
        <v>108.94</v>
      </c>
      <c r="K576" s="3070">
        <v>80.209999999999994</v>
      </c>
      <c r="L576" s="3070">
        <v>0</v>
      </c>
      <c r="M576" s="3070">
        <v>0</v>
      </c>
      <c r="N576" s="3070">
        <v>15194.44</v>
      </c>
      <c r="O576" s="3070">
        <v>1655282</v>
      </c>
      <c r="P576" s="3070">
        <v>12152.35</v>
      </c>
      <c r="Q576" s="3070">
        <v>1323877</v>
      </c>
      <c r="R576" s="3070" t="s">
        <v>3227</v>
      </c>
      <c r="S576" s="3070" t="s">
        <v>7946</v>
      </c>
      <c r="T576" s="3070" t="s">
        <v>3229</v>
      </c>
      <c r="V576" s="3070" t="s">
        <v>3230</v>
      </c>
      <c r="Y576" s="3070">
        <v>397163</v>
      </c>
      <c r="Z576" s="3070">
        <v>397163</v>
      </c>
      <c r="AA576" s="3070">
        <v>1323877</v>
      </c>
      <c r="AB576" s="3070">
        <v>0</v>
      </c>
      <c r="AC576" s="3070">
        <v>0</v>
      </c>
      <c r="AD576" s="3070">
        <v>0</v>
      </c>
      <c r="AE576" s="3070">
        <v>0</v>
      </c>
      <c r="AI576" s="3070" t="s">
        <v>3227</v>
      </c>
      <c r="AJ576" s="3070">
        <v>0</v>
      </c>
      <c r="AK576" s="3070">
        <v>0</v>
      </c>
      <c r="AL576" s="3070">
        <v>0</v>
      </c>
      <c r="AM576" s="3070">
        <v>12152.35</v>
      </c>
      <c r="AN576" s="3070">
        <v>1323877</v>
      </c>
      <c r="AP576" s="3070">
        <v>1323877</v>
      </c>
      <c r="AQ576" s="3072">
        <v>45138</v>
      </c>
      <c r="AT576" s="3073">
        <v>45678</v>
      </c>
      <c r="AV576" s="3070" t="s">
        <v>7947</v>
      </c>
      <c r="AW576" s="3070" t="s">
        <v>7948</v>
      </c>
      <c r="AX576" s="3070" t="s">
        <v>7949</v>
      </c>
      <c r="AY576" s="3070" t="s">
        <v>3337</v>
      </c>
      <c r="BC576" s="3070" t="s">
        <v>3792</v>
      </c>
      <c r="BD576" s="3070" t="s">
        <v>3077</v>
      </c>
      <c r="BI576" s="3070" t="s">
        <v>3235</v>
      </c>
      <c r="BL576" s="3070" t="s">
        <v>7950</v>
      </c>
      <c r="BM576" s="3075">
        <v>44353</v>
      </c>
      <c r="BN576" s="3070">
        <v>1</v>
      </c>
      <c r="BR576" s="3070">
        <v>758</v>
      </c>
      <c r="BS576" s="3070" t="s">
        <v>3238</v>
      </c>
      <c r="BZ576" s="3073">
        <v>44142.615972222222</v>
      </c>
      <c r="CA576" s="3070">
        <v>6</v>
      </c>
      <c r="CD576" s="3070" t="s">
        <v>3239</v>
      </c>
      <c r="CF576" s="3070" t="s">
        <v>3091</v>
      </c>
      <c r="CH576" s="3070" t="s">
        <v>3240</v>
      </c>
      <c r="CI576" s="3070">
        <v>0</v>
      </c>
      <c r="CK576" s="3070" t="s">
        <v>3337</v>
      </c>
      <c r="CL576" s="3070" t="s">
        <v>3337</v>
      </c>
      <c r="CM576" s="3070">
        <v>1214566.06</v>
      </c>
      <c r="CV576" s="3070" t="s">
        <v>3229</v>
      </c>
      <c r="CW576" s="3070" t="s">
        <v>7951</v>
      </c>
      <c r="CZ576" s="3070">
        <v>213894.57</v>
      </c>
      <c r="DA576" s="3070">
        <v>159426.93</v>
      </c>
      <c r="DB576" s="3070">
        <v>0</v>
      </c>
      <c r="DC576" s="3070">
        <v>0</v>
      </c>
      <c r="DD576" s="3070">
        <v>3290547602</v>
      </c>
      <c r="DE576" s="3070">
        <v>2764253109</v>
      </c>
      <c r="DF576" s="3070">
        <v>1464966739</v>
      </c>
      <c r="DG576" s="3070">
        <v>14938370</v>
      </c>
      <c r="DH576" s="3070">
        <v>1284348000</v>
      </c>
      <c r="DI576" s="3070">
        <v>1278128000</v>
      </c>
      <c r="DJ576" s="3070">
        <v>6220000</v>
      </c>
      <c r="DK576" s="3070">
        <v>0</v>
      </c>
      <c r="DL576" s="3070">
        <v>0</v>
      </c>
      <c r="DM576" s="3070">
        <v>25491817.620000001</v>
      </c>
      <c r="DN576" s="3070">
        <v>2764253109</v>
      </c>
      <c r="DP576" s="3070">
        <v>2764253109</v>
      </c>
    </row>
    <row r="577" spans="1:120">
      <c r="A577" s="3070">
        <v>576</v>
      </c>
      <c r="B577" s="3070" t="s">
        <v>3224</v>
      </c>
      <c r="C577" s="3070">
        <v>6</v>
      </c>
      <c r="E577" s="3070">
        <v>602</v>
      </c>
      <c r="F577" s="3070" t="s">
        <v>7952</v>
      </c>
      <c r="G577" s="3070" t="s">
        <v>7953</v>
      </c>
      <c r="H577" s="3070">
        <v>1084563</v>
      </c>
      <c r="I577" s="3070">
        <v>1084563</v>
      </c>
      <c r="J577" s="3070">
        <v>84.72</v>
      </c>
      <c r="K577" s="3070">
        <v>62.38</v>
      </c>
      <c r="L577" s="3070">
        <v>0</v>
      </c>
      <c r="M577" s="3070">
        <v>0</v>
      </c>
      <c r="N577" s="3070">
        <v>15344.44</v>
      </c>
      <c r="O577" s="3070">
        <v>1299981</v>
      </c>
      <c r="P577" s="3070">
        <v>12801.74</v>
      </c>
      <c r="Q577" s="3070">
        <v>1084563</v>
      </c>
      <c r="R577" s="3070" t="s">
        <v>3227</v>
      </c>
      <c r="S577" s="3070" t="s">
        <v>3353</v>
      </c>
      <c r="T577" s="3070" t="s">
        <v>3494</v>
      </c>
      <c r="V577" s="3070" t="s">
        <v>3230</v>
      </c>
      <c r="Y577" s="3070">
        <v>108456</v>
      </c>
      <c r="Z577" s="3070">
        <v>108456</v>
      </c>
      <c r="AA577" s="3070">
        <v>1084563</v>
      </c>
      <c r="AB577" s="3070">
        <v>0</v>
      </c>
      <c r="AC577" s="3070">
        <v>0</v>
      </c>
      <c r="AD577" s="3070">
        <v>0</v>
      </c>
      <c r="AE577" s="3070">
        <v>0</v>
      </c>
      <c r="AI577" s="3070" t="s">
        <v>3227</v>
      </c>
      <c r="AJ577" s="3070">
        <v>0</v>
      </c>
      <c r="AK577" s="3070">
        <v>0</v>
      </c>
      <c r="AL577" s="3070">
        <v>0</v>
      </c>
      <c r="AM577" s="3070">
        <v>12801.74</v>
      </c>
      <c r="AN577" s="3070">
        <v>1084563</v>
      </c>
      <c r="AP577" s="3070">
        <v>1084563</v>
      </c>
      <c r="AQ577" s="3072">
        <v>45138</v>
      </c>
      <c r="AT577" s="3073">
        <v>45678</v>
      </c>
      <c r="AV577" s="3074">
        <v>5.22E+17</v>
      </c>
      <c r="AW577" s="3070" t="s">
        <v>7954</v>
      </c>
      <c r="AX577" s="3070" t="s">
        <v>7955</v>
      </c>
      <c r="AY577" s="3070" t="s">
        <v>3306</v>
      </c>
      <c r="BC577" s="3070" t="s">
        <v>5050</v>
      </c>
      <c r="BD577" s="3070" t="s">
        <v>3076</v>
      </c>
      <c r="BI577" s="3070" t="s">
        <v>3235</v>
      </c>
      <c r="BJ577" s="3070" t="s">
        <v>3296</v>
      </c>
      <c r="BL577" s="3070" t="s">
        <v>7956</v>
      </c>
      <c r="BM577" s="3075">
        <v>44353</v>
      </c>
      <c r="BN577" s="3070">
        <v>2</v>
      </c>
      <c r="BR577" s="3070">
        <v>0</v>
      </c>
      <c r="BS577" s="3070" t="s">
        <v>3238</v>
      </c>
      <c r="BZ577" s="3073">
        <v>44165.870833333334</v>
      </c>
      <c r="CA577" s="3070">
        <v>6</v>
      </c>
      <c r="CD577" s="3070" t="s">
        <v>3239</v>
      </c>
      <c r="CF577" s="3070" t="s">
        <v>3091</v>
      </c>
      <c r="CH577" s="3070" t="s">
        <v>3240</v>
      </c>
      <c r="CI577" s="3070">
        <v>0</v>
      </c>
      <c r="CK577" s="3070" t="s">
        <v>3306</v>
      </c>
      <c r="CL577" s="3070" t="s">
        <v>3306</v>
      </c>
      <c r="CM577" s="3070">
        <v>995011.93</v>
      </c>
      <c r="CV577" s="3070" t="s">
        <v>3494</v>
      </c>
      <c r="CW577" s="3070" t="s">
        <v>7957</v>
      </c>
      <c r="CX577" s="3070" t="s">
        <v>3350</v>
      </c>
      <c r="CZ577" s="3070">
        <v>213894.57</v>
      </c>
      <c r="DA577" s="3070">
        <v>159426.93</v>
      </c>
      <c r="DB577" s="3070">
        <v>0</v>
      </c>
      <c r="DC577" s="3070">
        <v>0</v>
      </c>
      <c r="DD577" s="3070">
        <v>3290547602</v>
      </c>
      <c r="DE577" s="3070">
        <v>2764253109</v>
      </c>
      <c r="DF577" s="3070">
        <v>1464966739</v>
      </c>
      <c r="DG577" s="3070">
        <v>14938370</v>
      </c>
      <c r="DH577" s="3070">
        <v>1284348000</v>
      </c>
      <c r="DI577" s="3070">
        <v>1278128000</v>
      </c>
      <c r="DJ577" s="3070">
        <v>6220000</v>
      </c>
      <c r="DK577" s="3070">
        <v>0</v>
      </c>
      <c r="DL577" s="3070">
        <v>0</v>
      </c>
      <c r="DM577" s="3070">
        <v>25491817.620000001</v>
      </c>
      <c r="DN577" s="3070">
        <v>2764253109</v>
      </c>
      <c r="DP577" s="3070">
        <v>2764253109</v>
      </c>
    </row>
    <row r="578" spans="1:120">
      <c r="A578" s="3070">
        <v>577</v>
      </c>
      <c r="B578" s="3070" t="s">
        <v>3224</v>
      </c>
      <c r="C578" s="3070">
        <v>6</v>
      </c>
      <c r="E578" s="3070">
        <v>603</v>
      </c>
      <c r="F578" s="3070" t="s">
        <v>7958</v>
      </c>
      <c r="G578" s="3070" t="s">
        <v>7959</v>
      </c>
      <c r="H578" s="3070">
        <v>1020676</v>
      </c>
      <c r="I578" s="3070">
        <v>1020676</v>
      </c>
      <c r="J578" s="3070">
        <v>84.72</v>
      </c>
      <c r="K578" s="3070">
        <v>62.38</v>
      </c>
      <c r="L578" s="3070">
        <v>0</v>
      </c>
      <c r="M578" s="3070">
        <v>0</v>
      </c>
      <c r="N578" s="3070">
        <v>15344.44</v>
      </c>
      <c r="O578" s="3070">
        <v>1299981</v>
      </c>
      <c r="P578" s="3070">
        <v>12047.64</v>
      </c>
      <c r="Q578" s="3070">
        <v>1020676</v>
      </c>
      <c r="R578" s="3070" t="s">
        <v>3227</v>
      </c>
      <c r="S578" s="3070" t="s">
        <v>7960</v>
      </c>
      <c r="T578" s="3070" t="s">
        <v>3229</v>
      </c>
      <c r="V578" s="3070" t="s">
        <v>3230</v>
      </c>
      <c r="Y578" s="3070">
        <v>306203</v>
      </c>
      <c r="Z578" s="3070">
        <v>306203</v>
      </c>
      <c r="AA578" s="3070">
        <v>1020676</v>
      </c>
      <c r="AB578" s="3070">
        <v>0</v>
      </c>
      <c r="AC578" s="3070">
        <v>0</v>
      </c>
      <c r="AD578" s="3070">
        <v>0</v>
      </c>
      <c r="AE578" s="3070">
        <v>0</v>
      </c>
      <c r="AI578" s="3070" t="s">
        <v>3227</v>
      </c>
      <c r="AJ578" s="3070">
        <v>0</v>
      </c>
      <c r="AK578" s="3070">
        <v>0</v>
      </c>
      <c r="AL578" s="3070">
        <v>0</v>
      </c>
      <c r="AM578" s="3070">
        <v>12047.64</v>
      </c>
      <c r="AN578" s="3070">
        <v>1020676</v>
      </c>
      <c r="AP578" s="3070">
        <v>1020676</v>
      </c>
      <c r="AQ578" s="3072">
        <v>45138</v>
      </c>
      <c r="AT578" s="3073">
        <v>45678</v>
      </c>
      <c r="AV578" s="3070" t="s">
        <v>7961</v>
      </c>
      <c r="AW578" s="3070" t="s">
        <v>7962</v>
      </c>
      <c r="AX578" s="3070" t="s">
        <v>7963</v>
      </c>
      <c r="AY578" s="3070" t="s">
        <v>3722</v>
      </c>
      <c r="BC578" s="3070" t="s">
        <v>7964</v>
      </c>
      <c r="BD578" s="3070" t="s">
        <v>3076</v>
      </c>
      <c r="BI578" s="3070" t="s">
        <v>3235</v>
      </c>
      <c r="BJ578" s="3070" t="s">
        <v>4578</v>
      </c>
      <c r="BL578" s="3070" t="s">
        <v>7965</v>
      </c>
      <c r="BM578" s="3075">
        <v>44353</v>
      </c>
      <c r="BN578" s="3070">
        <v>3</v>
      </c>
      <c r="BR578" s="3070">
        <v>590</v>
      </c>
      <c r="BS578" s="3070" t="s">
        <v>3238</v>
      </c>
      <c r="BZ578" s="3073">
        <v>44147.71875</v>
      </c>
      <c r="CA578" s="3070">
        <v>6</v>
      </c>
      <c r="CD578" s="3070" t="s">
        <v>3239</v>
      </c>
      <c r="CF578" s="3070" t="s">
        <v>3091</v>
      </c>
      <c r="CH578" s="3070" t="s">
        <v>3240</v>
      </c>
      <c r="CI578" s="3070">
        <v>0</v>
      </c>
      <c r="CK578" s="3070" t="s">
        <v>3722</v>
      </c>
      <c r="CL578" s="3070" t="s">
        <v>3722</v>
      </c>
      <c r="CM578" s="3070">
        <v>936400</v>
      </c>
      <c r="CV578" s="3070" t="s">
        <v>3229</v>
      </c>
      <c r="CW578" s="3070" t="s">
        <v>7966</v>
      </c>
      <c r="CX578" s="3070" t="s">
        <v>3242</v>
      </c>
      <c r="CZ578" s="3070">
        <v>213894.57</v>
      </c>
      <c r="DA578" s="3070">
        <v>159426.93</v>
      </c>
      <c r="DB578" s="3070">
        <v>0</v>
      </c>
      <c r="DC578" s="3070">
        <v>0</v>
      </c>
      <c r="DD578" s="3070">
        <v>3290547602</v>
      </c>
      <c r="DE578" s="3070">
        <v>2764253109</v>
      </c>
      <c r="DF578" s="3070">
        <v>1464966739</v>
      </c>
      <c r="DG578" s="3070">
        <v>14938370</v>
      </c>
      <c r="DH578" s="3070">
        <v>1284348000</v>
      </c>
      <c r="DI578" s="3070">
        <v>1278128000</v>
      </c>
      <c r="DJ578" s="3070">
        <v>6220000</v>
      </c>
      <c r="DK578" s="3070">
        <v>0</v>
      </c>
      <c r="DL578" s="3070">
        <v>0</v>
      </c>
      <c r="DM578" s="3070">
        <v>25491817.620000001</v>
      </c>
      <c r="DN578" s="3070">
        <v>2764253109</v>
      </c>
      <c r="DP578" s="3070">
        <v>2764253109</v>
      </c>
    </row>
    <row r="579" spans="1:120">
      <c r="A579" s="3070">
        <v>578</v>
      </c>
      <c r="B579" s="3070" t="s">
        <v>3224</v>
      </c>
      <c r="C579" s="3070">
        <v>6</v>
      </c>
      <c r="E579" s="3070">
        <v>604</v>
      </c>
      <c r="F579" s="3070" t="s">
        <v>7967</v>
      </c>
      <c r="G579" s="3070" t="s">
        <v>7968</v>
      </c>
      <c r="H579" s="3070">
        <v>1570040</v>
      </c>
      <c r="I579" s="3070">
        <v>1570040</v>
      </c>
      <c r="J579" s="3070">
        <v>120.29</v>
      </c>
      <c r="K579" s="3070">
        <v>88.57</v>
      </c>
      <c r="L579" s="3070">
        <v>0</v>
      </c>
      <c r="M579" s="3070">
        <v>0</v>
      </c>
      <c r="N579" s="3070">
        <v>15044.44</v>
      </c>
      <c r="O579" s="3070">
        <v>1809696</v>
      </c>
      <c r="P579" s="3070">
        <v>13052.12</v>
      </c>
      <c r="Q579" s="3070">
        <v>1570040</v>
      </c>
      <c r="R579" s="3070" t="s">
        <v>3227</v>
      </c>
      <c r="S579" s="3070" t="s">
        <v>7969</v>
      </c>
      <c r="T579" s="3070" t="s">
        <v>3991</v>
      </c>
      <c r="V579" s="3070" t="s">
        <v>3230</v>
      </c>
      <c r="Y579" s="3070">
        <v>471012</v>
      </c>
      <c r="Z579" s="3070">
        <v>471012</v>
      </c>
      <c r="AA579" s="3070">
        <v>1570040</v>
      </c>
      <c r="AB579" s="3070">
        <v>0</v>
      </c>
      <c r="AC579" s="3070">
        <v>0</v>
      </c>
      <c r="AD579" s="3070">
        <v>0</v>
      </c>
      <c r="AE579" s="3070">
        <v>0</v>
      </c>
      <c r="AI579" s="3070" t="s">
        <v>3227</v>
      </c>
      <c r="AJ579" s="3070">
        <v>0</v>
      </c>
      <c r="AK579" s="3070">
        <v>0</v>
      </c>
      <c r="AL579" s="3070">
        <v>0</v>
      </c>
      <c r="AM579" s="3070">
        <v>13052.12</v>
      </c>
      <c r="AN579" s="3070">
        <v>1570040</v>
      </c>
      <c r="AP579" s="3070">
        <v>1570040</v>
      </c>
      <c r="AQ579" s="3072">
        <v>45138</v>
      </c>
      <c r="AT579" s="3073">
        <v>45678</v>
      </c>
      <c r="AV579" s="3074">
        <v>3.21E+17</v>
      </c>
      <c r="AW579" s="3070" t="s">
        <v>7970</v>
      </c>
      <c r="AX579" s="3070" t="s">
        <v>7971</v>
      </c>
      <c r="AY579" s="3070" t="s">
        <v>4265</v>
      </c>
      <c r="BA579" s="3070" t="s">
        <v>4665</v>
      </c>
      <c r="BC579" s="3070" t="s">
        <v>7972</v>
      </c>
      <c r="BD579" s="3070" t="s">
        <v>3075</v>
      </c>
      <c r="BI579" s="3070" t="s">
        <v>3295</v>
      </c>
      <c r="BL579" s="3070" t="s">
        <v>7973</v>
      </c>
      <c r="BM579" s="3075">
        <v>44353</v>
      </c>
      <c r="BN579" s="3070">
        <v>4</v>
      </c>
      <c r="BR579" s="3070">
        <v>23</v>
      </c>
      <c r="BS579" s="3070" t="s">
        <v>3238</v>
      </c>
      <c r="BU579" s="3070" t="s">
        <v>4665</v>
      </c>
      <c r="BZ579" s="3073">
        <v>44209.616666666669</v>
      </c>
      <c r="CA579" s="3070">
        <v>6</v>
      </c>
      <c r="CD579" s="3070" t="s">
        <v>3239</v>
      </c>
      <c r="CF579" s="3070" t="s">
        <v>3091</v>
      </c>
      <c r="CH579" s="3070" t="s">
        <v>3240</v>
      </c>
      <c r="CI579" s="3070">
        <v>0</v>
      </c>
      <c r="CK579" s="3070" t="s">
        <v>4265</v>
      </c>
      <c r="CL579" s="3070" t="s">
        <v>4665</v>
      </c>
      <c r="CM579" s="3070">
        <v>1440403.67</v>
      </c>
      <c r="CV579" s="3070" t="s">
        <v>3494</v>
      </c>
      <c r="CW579" s="3070" t="s">
        <v>7974</v>
      </c>
      <c r="CZ579" s="3070">
        <v>213894.57</v>
      </c>
      <c r="DA579" s="3070">
        <v>159426.93</v>
      </c>
      <c r="DB579" s="3070">
        <v>0</v>
      </c>
      <c r="DC579" s="3070">
        <v>0</v>
      </c>
      <c r="DD579" s="3070">
        <v>3290547602</v>
      </c>
      <c r="DE579" s="3070">
        <v>2764253109</v>
      </c>
      <c r="DF579" s="3070">
        <v>1464966739</v>
      </c>
      <c r="DG579" s="3070">
        <v>14938370</v>
      </c>
      <c r="DH579" s="3070">
        <v>1284348000</v>
      </c>
      <c r="DI579" s="3070">
        <v>1278128000</v>
      </c>
      <c r="DJ579" s="3070">
        <v>6220000</v>
      </c>
      <c r="DK579" s="3070">
        <v>0</v>
      </c>
      <c r="DL579" s="3070">
        <v>0</v>
      </c>
      <c r="DM579" s="3070">
        <v>25491817.620000001</v>
      </c>
      <c r="DN579" s="3070">
        <v>2764253109</v>
      </c>
      <c r="DP579" s="3070">
        <v>2764253109</v>
      </c>
    </row>
    <row r="580" spans="1:120">
      <c r="A580" s="3070">
        <v>579</v>
      </c>
      <c r="B580" s="3070" t="s">
        <v>3224</v>
      </c>
      <c r="C580" s="3070">
        <v>6</v>
      </c>
      <c r="E580" s="3070">
        <v>701</v>
      </c>
      <c r="F580" s="3070" t="s">
        <v>7975</v>
      </c>
      <c r="G580" s="3070" t="s">
        <v>7976</v>
      </c>
      <c r="H580" s="3070">
        <v>1342427</v>
      </c>
      <c r="I580" s="3070">
        <v>1342427</v>
      </c>
      <c r="J580" s="3070">
        <v>108.94</v>
      </c>
      <c r="K580" s="3070">
        <v>80.209999999999994</v>
      </c>
      <c r="L580" s="3070">
        <v>0</v>
      </c>
      <c r="M580" s="3070">
        <v>0</v>
      </c>
      <c r="N580" s="3070">
        <v>15244.44</v>
      </c>
      <c r="O580" s="3070">
        <v>1660729</v>
      </c>
      <c r="P580" s="3070">
        <v>12322.63</v>
      </c>
      <c r="Q580" s="3070">
        <v>1342427</v>
      </c>
      <c r="R580" s="3070" t="s">
        <v>3227</v>
      </c>
      <c r="S580" s="3070" t="s">
        <v>7977</v>
      </c>
      <c r="T580" s="3070" t="s">
        <v>3246</v>
      </c>
      <c r="U580" s="3070" t="s">
        <v>3371</v>
      </c>
      <c r="V580" s="3070" t="s">
        <v>3230</v>
      </c>
      <c r="Y580" s="3070">
        <v>1002427</v>
      </c>
      <c r="Z580" s="3070">
        <v>1002427</v>
      </c>
      <c r="AA580" s="3070">
        <v>1002427</v>
      </c>
      <c r="AB580" s="3070">
        <v>0</v>
      </c>
      <c r="AC580" s="3070">
        <v>340000</v>
      </c>
      <c r="AD580" s="3070">
        <v>340000</v>
      </c>
      <c r="AE580" s="3070">
        <v>0</v>
      </c>
      <c r="AI580" s="3070" t="s">
        <v>3227</v>
      </c>
      <c r="AJ580" s="3070">
        <v>0</v>
      </c>
      <c r="AK580" s="3070">
        <v>0</v>
      </c>
      <c r="AL580" s="3070">
        <v>0</v>
      </c>
      <c r="AM580" s="3070">
        <v>12322.63</v>
      </c>
      <c r="AN580" s="3070">
        <v>1342427</v>
      </c>
      <c r="AP580" s="3070">
        <v>1342427</v>
      </c>
      <c r="AQ580" s="3072">
        <v>45138</v>
      </c>
      <c r="AT580" s="3073">
        <v>45678</v>
      </c>
      <c r="AV580" s="3070" t="s">
        <v>7978</v>
      </c>
      <c r="AW580" s="3070" t="s">
        <v>7979</v>
      </c>
      <c r="AX580" s="3070" t="s">
        <v>7980</v>
      </c>
      <c r="AY580" s="3070" t="s">
        <v>3632</v>
      </c>
      <c r="BC580" s="3070" t="s">
        <v>3284</v>
      </c>
      <c r="BD580" s="3070" t="s">
        <v>3077</v>
      </c>
      <c r="BI580" s="3070" t="s">
        <v>3235</v>
      </c>
      <c r="BL580" s="3070" t="s">
        <v>7981</v>
      </c>
      <c r="BM580" s="3075">
        <v>44354</v>
      </c>
      <c r="BN580" s="3070">
        <v>1</v>
      </c>
      <c r="BO580" s="3070" t="s">
        <v>3253</v>
      </c>
      <c r="BR580" s="3070">
        <v>927</v>
      </c>
      <c r="BS580" s="3070" t="s">
        <v>3238</v>
      </c>
      <c r="BZ580" s="3073">
        <v>44142.652083333334</v>
      </c>
      <c r="CA580" s="3070">
        <v>6</v>
      </c>
      <c r="CD580" s="3070" t="s">
        <v>3239</v>
      </c>
      <c r="CF580" s="3070" t="s">
        <v>3091</v>
      </c>
      <c r="CH580" s="3070" t="s">
        <v>3240</v>
      </c>
      <c r="CI580" s="3070">
        <v>0</v>
      </c>
      <c r="CK580" s="3070" t="s">
        <v>3632</v>
      </c>
      <c r="CL580" s="3070" t="s">
        <v>3632</v>
      </c>
      <c r="CM580" s="3070">
        <v>1231584.3999999999</v>
      </c>
      <c r="CV580" s="3070" t="s">
        <v>3246</v>
      </c>
      <c r="CW580" s="3070" t="s">
        <v>7982</v>
      </c>
      <c r="CX580" s="3070" t="s">
        <v>3267</v>
      </c>
      <c r="CZ580" s="3070">
        <v>213894.57</v>
      </c>
      <c r="DA580" s="3070">
        <v>159426.93</v>
      </c>
      <c r="DB580" s="3070">
        <v>0</v>
      </c>
      <c r="DC580" s="3070">
        <v>0</v>
      </c>
      <c r="DD580" s="3070">
        <v>3290547602</v>
      </c>
      <c r="DE580" s="3070">
        <v>2764253109</v>
      </c>
      <c r="DF580" s="3070">
        <v>1464966739</v>
      </c>
      <c r="DG580" s="3070">
        <v>14938370</v>
      </c>
      <c r="DH580" s="3070">
        <v>1284348000</v>
      </c>
      <c r="DI580" s="3070">
        <v>1278128000</v>
      </c>
      <c r="DJ580" s="3070">
        <v>6220000</v>
      </c>
      <c r="DK580" s="3070">
        <v>0</v>
      </c>
      <c r="DL580" s="3070">
        <v>0</v>
      </c>
      <c r="DM580" s="3070">
        <v>25491817.620000001</v>
      </c>
      <c r="DN580" s="3070">
        <v>2764253109</v>
      </c>
      <c r="DP580" s="3070">
        <v>2764253109</v>
      </c>
    </row>
    <row r="581" spans="1:120">
      <c r="A581" s="3070">
        <v>580</v>
      </c>
      <c r="B581" s="3070" t="s">
        <v>3224</v>
      </c>
      <c r="C581" s="3070">
        <v>6</v>
      </c>
      <c r="E581" s="3070">
        <v>702</v>
      </c>
      <c r="F581" s="3070" t="s">
        <v>7983</v>
      </c>
      <c r="G581" s="3070" t="s">
        <v>7984</v>
      </c>
      <c r="H581" s="3070">
        <v>1056053</v>
      </c>
      <c r="I581" s="3070">
        <v>1056053</v>
      </c>
      <c r="J581" s="3070">
        <v>84.72</v>
      </c>
      <c r="K581" s="3070">
        <v>62.38</v>
      </c>
      <c r="L581" s="3070">
        <v>0</v>
      </c>
      <c r="M581" s="3070">
        <v>0</v>
      </c>
      <c r="N581" s="3070">
        <v>15394.44</v>
      </c>
      <c r="O581" s="3070">
        <v>1304217</v>
      </c>
      <c r="P581" s="3070">
        <v>12465.21</v>
      </c>
      <c r="Q581" s="3070">
        <v>1056053</v>
      </c>
      <c r="R581" s="3070" t="s">
        <v>3227</v>
      </c>
      <c r="S581" s="3070" t="s">
        <v>7985</v>
      </c>
      <c r="T581" s="3070" t="s">
        <v>3246</v>
      </c>
      <c r="U581" s="3070" t="s">
        <v>3371</v>
      </c>
      <c r="V581" s="3070" t="s">
        <v>3230</v>
      </c>
      <c r="Y581" s="3070">
        <v>406053</v>
      </c>
      <c r="Z581" s="3070">
        <v>406053</v>
      </c>
      <c r="AA581" s="3070">
        <v>406053</v>
      </c>
      <c r="AB581" s="3070">
        <v>0</v>
      </c>
      <c r="AC581" s="3070">
        <v>650000</v>
      </c>
      <c r="AD581" s="3070">
        <v>650000</v>
      </c>
      <c r="AE581" s="3070">
        <v>0</v>
      </c>
      <c r="AI581" s="3070" t="s">
        <v>3227</v>
      </c>
      <c r="AJ581" s="3070">
        <v>0</v>
      </c>
      <c r="AK581" s="3070">
        <v>0</v>
      </c>
      <c r="AL581" s="3070">
        <v>0</v>
      </c>
      <c r="AM581" s="3070">
        <v>12465.21</v>
      </c>
      <c r="AN581" s="3070">
        <v>1056053</v>
      </c>
      <c r="AP581" s="3070">
        <v>1056053</v>
      </c>
      <c r="AQ581" s="3072">
        <v>45138</v>
      </c>
      <c r="AT581" s="3073">
        <v>45678</v>
      </c>
      <c r="AV581" s="3070" t="s">
        <v>7986</v>
      </c>
      <c r="AW581" s="3070" t="s">
        <v>7987</v>
      </c>
      <c r="AX581" s="3070" t="s">
        <v>7988</v>
      </c>
      <c r="AY581" s="3070" t="s">
        <v>3364</v>
      </c>
      <c r="BA581" s="3070" t="s">
        <v>3364</v>
      </c>
      <c r="BC581" s="3070" t="s">
        <v>3284</v>
      </c>
      <c r="BD581" s="3070" t="s">
        <v>3076</v>
      </c>
      <c r="BI581" s="3070" t="s">
        <v>3235</v>
      </c>
      <c r="BL581" s="3070" t="s">
        <v>7989</v>
      </c>
      <c r="BM581" s="3075">
        <v>44354</v>
      </c>
      <c r="BN581" s="3070">
        <v>2</v>
      </c>
      <c r="BO581" s="3070" t="s">
        <v>3253</v>
      </c>
      <c r="BR581" s="3070">
        <v>726</v>
      </c>
      <c r="BS581" s="3070" t="s">
        <v>3238</v>
      </c>
      <c r="BU581" s="3070" t="s">
        <v>3364</v>
      </c>
      <c r="BZ581" s="3073">
        <v>44142.604166666664</v>
      </c>
      <c r="CA581" s="3070">
        <v>6</v>
      </c>
      <c r="CD581" s="3070" t="s">
        <v>3239</v>
      </c>
      <c r="CF581" s="3070" t="s">
        <v>3091</v>
      </c>
      <c r="CH581" s="3070" t="s">
        <v>3240</v>
      </c>
      <c r="CI581" s="3070">
        <v>0</v>
      </c>
      <c r="CK581" s="3070" t="s">
        <v>3364</v>
      </c>
      <c r="CL581" s="3070" t="s">
        <v>3364</v>
      </c>
      <c r="CM581" s="3070">
        <v>968855.96</v>
      </c>
      <c r="CV581" s="3070" t="s">
        <v>3246</v>
      </c>
      <c r="CW581" s="3070" t="s">
        <v>7990</v>
      </c>
      <c r="CZ581" s="3070">
        <v>213894.57</v>
      </c>
      <c r="DA581" s="3070">
        <v>159426.93</v>
      </c>
      <c r="DB581" s="3070">
        <v>0</v>
      </c>
      <c r="DC581" s="3070">
        <v>0</v>
      </c>
      <c r="DD581" s="3070">
        <v>3290547602</v>
      </c>
      <c r="DE581" s="3070">
        <v>2764253109</v>
      </c>
      <c r="DF581" s="3070">
        <v>1464966739</v>
      </c>
      <c r="DG581" s="3070">
        <v>14938370</v>
      </c>
      <c r="DH581" s="3070">
        <v>1284348000</v>
      </c>
      <c r="DI581" s="3070">
        <v>1278128000</v>
      </c>
      <c r="DJ581" s="3070">
        <v>6220000</v>
      </c>
      <c r="DK581" s="3070">
        <v>0</v>
      </c>
      <c r="DL581" s="3070">
        <v>0</v>
      </c>
      <c r="DM581" s="3070">
        <v>25491817.620000001</v>
      </c>
      <c r="DN581" s="3070">
        <v>2764253109</v>
      </c>
      <c r="DP581" s="3070">
        <v>2764253109</v>
      </c>
    </row>
    <row r="582" spans="1:120">
      <c r="A582" s="3070">
        <v>581</v>
      </c>
      <c r="B582" s="3070" t="s">
        <v>3224</v>
      </c>
      <c r="C582" s="3070">
        <v>6</v>
      </c>
      <c r="E582" s="3070">
        <v>703</v>
      </c>
      <c r="F582" s="3070" t="s">
        <v>7991</v>
      </c>
      <c r="G582" s="3070" t="s">
        <v>7992</v>
      </c>
      <c r="H582" s="3070">
        <v>638272</v>
      </c>
      <c r="I582" s="3070">
        <v>1143795</v>
      </c>
      <c r="J582" s="3070">
        <v>84.72</v>
      </c>
      <c r="K582" s="3070">
        <v>62.38</v>
      </c>
      <c r="L582" s="3070">
        <v>0</v>
      </c>
      <c r="M582" s="3070">
        <v>0</v>
      </c>
      <c r="N582" s="3070">
        <v>15394.44</v>
      </c>
      <c r="O582" s="3070">
        <v>1304217</v>
      </c>
      <c r="P582" s="3070">
        <v>13500.89</v>
      </c>
      <c r="Q582" s="3070">
        <v>1143795</v>
      </c>
      <c r="R582" s="3070" t="s">
        <v>3227</v>
      </c>
      <c r="S582" s="3070" t="s">
        <v>3353</v>
      </c>
      <c r="T582" s="3070" t="s">
        <v>4061</v>
      </c>
      <c r="V582" s="3070" t="s">
        <v>3230</v>
      </c>
      <c r="Y582" s="3070">
        <v>114380</v>
      </c>
      <c r="Z582" s="3070">
        <v>114380</v>
      </c>
      <c r="AA582" s="3070">
        <v>638272</v>
      </c>
      <c r="AB582" s="3070">
        <v>505523</v>
      </c>
      <c r="AC582" s="3070">
        <v>0</v>
      </c>
      <c r="AD582" s="3070">
        <v>0</v>
      </c>
      <c r="AE582" s="3070">
        <v>0</v>
      </c>
      <c r="AI582" s="3070" t="s">
        <v>3227</v>
      </c>
      <c r="AJ582" s="3070">
        <v>0</v>
      </c>
      <c r="AK582" s="3070">
        <v>0</v>
      </c>
      <c r="AL582" s="3070">
        <v>0</v>
      </c>
      <c r="AM582" s="3070">
        <v>13500.89</v>
      </c>
      <c r="AN582" s="3070">
        <v>1143795</v>
      </c>
      <c r="AP582" s="3070">
        <v>1143795</v>
      </c>
      <c r="AQ582" s="3072">
        <v>45138</v>
      </c>
      <c r="AT582" s="3073">
        <v>45678</v>
      </c>
      <c r="AV582" s="3070" t="s">
        <v>7993</v>
      </c>
      <c r="AW582" s="3070" t="s">
        <v>7994</v>
      </c>
      <c r="AX582" s="3070" t="s">
        <v>7995</v>
      </c>
      <c r="AY582" s="3070" t="s">
        <v>3883</v>
      </c>
      <c r="BA582" s="3070" t="s">
        <v>3883</v>
      </c>
      <c r="BC582" s="3070" t="s">
        <v>4066</v>
      </c>
      <c r="BD582" s="3070" t="s">
        <v>3076</v>
      </c>
      <c r="BI582" s="3070" t="s">
        <v>4630</v>
      </c>
      <c r="BJ582" s="3070" t="s">
        <v>3682</v>
      </c>
      <c r="BL582" s="3070" t="s">
        <v>7996</v>
      </c>
      <c r="BM582" s="3075">
        <v>44354</v>
      </c>
      <c r="BN582" s="3070">
        <v>3</v>
      </c>
      <c r="BR582" s="3070">
        <v>0</v>
      </c>
      <c r="BS582" s="3070" t="s">
        <v>3238</v>
      </c>
      <c r="BU582" s="3070" t="s">
        <v>3883</v>
      </c>
      <c r="BZ582" s="3073">
        <v>44237.616666666669</v>
      </c>
      <c r="CA582" s="3070">
        <v>6</v>
      </c>
      <c r="CD582" s="3070" t="s">
        <v>3239</v>
      </c>
      <c r="CF582" s="3070" t="s">
        <v>3091</v>
      </c>
      <c r="CH582" s="3070" t="s">
        <v>3240</v>
      </c>
      <c r="CI582" s="3070">
        <v>0</v>
      </c>
      <c r="CK582" s="3070" t="s">
        <v>4527</v>
      </c>
      <c r="CL582" s="3070" t="s">
        <v>3883</v>
      </c>
      <c r="CM582" s="3070">
        <v>1049353.21</v>
      </c>
      <c r="CV582" s="3070" t="s">
        <v>3494</v>
      </c>
      <c r="CW582" s="3070" t="s">
        <v>7997</v>
      </c>
      <c r="CZ582" s="3070">
        <v>213894.57</v>
      </c>
      <c r="DA582" s="3070">
        <v>159426.93</v>
      </c>
      <c r="DB582" s="3070">
        <v>0</v>
      </c>
      <c r="DC582" s="3070">
        <v>0</v>
      </c>
      <c r="DD582" s="3070">
        <v>3290547602</v>
      </c>
      <c r="DE582" s="3070">
        <v>2764253109</v>
      </c>
      <c r="DF582" s="3070">
        <v>1464966739</v>
      </c>
      <c r="DG582" s="3070">
        <v>14938370</v>
      </c>
      <c r="DH582" s="3070">
        <v>1284348000</v>
      </c>
      <c r="DI582" s="3070">
        <v>1278128000</v>
      </c>
      <c r="DJ582" s="3070">
        <v>6220000</v>
      </c>
      <c r="DK582" s="3070">
        <v>0</v>
      </c>
      <c r="DL582" s="3070">
        <v>0</v>
      </c>
      <c r="DM582" s="3070">
        <v>25491817.620000001</v>
      </c>
      <c r="DN582" s="3070">
        <v>2764253109</v>
      </c>
      <c r="DP582" s="3070">
        <v>2764253109</v>
      </c>
    </row>
    <row r="583" spans="1:120">
      <c r="A583" s="3070">
        <v>582</v>
      </c>
      <c r="B583" s="3070" t="s">
        <v>3224</v>
      </c>
      <c r="C583" s="3070">
        <v>6</v>
      </c>
      <c r="E583" s="3070">
        <v>704</v>
      </c>
      <c r="F583" s="3070" t="s">
        <v>7998</v>
      </c>
      <c r="G583" s="3070" t="s">
        <v>7999</v>
      </c>
      <c r="H583" s="3070">
        <v>1416076</v>
      </c>
      <c r="I583" s="3070">
        <v>1416076</v>
      </c>
      <c r="J583" s="3070">
        <v>120.29</v>
      </c>
      <c r="K583" s="3070">
        <v>88.57</v>
      </c>
      <c r="L583" s="3070">
        <v>0</v>
      </c>
      <c r="M583" s="3070">
        <v>0</v>
      </c>
      <c r="N583" s="3070">
        <v>15094.44</v>
      </c>
      <c r="O583" s="3070">
        <v>1815710</v>
      </c>
      <c r="P583" s="3070">
        <v>11772.18</v>
      </c>
      <c r="Q583" s="3070">
        <v>1416076</v>
      </c>
      <c r="R583" s="3070" t="s">
        <v>3227</v>
      </c>
      <c r="S583" s="3070" t="s">
        <v>8000</v>
      </c>
      <c r="T583" s="3070" t="s">
        <v>3991</v>
      </c>
      <c r="V583" s="3070" t="s">
        <v>3230</v>
      </c>
      <c r="Y583" s="3070">
        <v>424823</v>
      </c>
      <c r="Z583" s="3070">
        <v>424823</v>
      </c>
      <c r="AA583" s="3070">
        <v>1416076</v>
      </c>
      <c r="AB583" s="3070">
        <v>0</v>
      </c>
      <c r="AC583" s="3070">
        <v>0</v>
      </c>
      <c r="AD583" s="3070">
        <v>0</v>
      </c>
      <c r="AE583" s="3070">
        <v>0</v>
      </c>
      <c r="AI583" s="3070" t="s">
        <v>3227</v>
      </c>
      <c r="AJ583" s="3070">
        <v>0</v>
      </c>
      <c r="AK583" s="3070">
        <v>0</v>
      </c>
      <c r="AL583" s="3070">
        <v>0</v>
      </c>
      <c r="AM583" s="3070">
        <v>11772.18</v>
      </c>
      <c r="AN583" s="3070">
        <v>1416076</v>
      </c>
      <c r="AP583" s="3070">
        <v>1416076</v>
      </c>
      <c r="AQ583" s="3072">
        <v>45138</v>
      </c>
      <c r="AT583" s="3073">
        <v>45678</v>
      </c>
      <c r="AV583" s="3074">
        <v>3.2E+17</v>
      </c>
      <c r="AW583" s="3070" t="s">
        <v>8001</v>
      </c>
      <c r="AX583" s="3070" t="s">
        <v>8002</v>
      </c>
      <c r="AY583" s="3070" t="s">
        <v>4100</v>
      </c>
      <c r="BA583" s="3070" t="s">
        <v>4100</v>
      </c>
      <c r="BC583" s="3070" t="s">
        <v>4145</v>
      </c>
      <c r="BD583" s="3070" t="s">
        <v>3075</v>
      </c>
      <c r="BI583" s="3070" t="s">
        <v>4630</v>
      </c>
      <c r="BL583" s="3070" t="s">
        <v>8003</v>
      </c>
      <c r="BM583" s="3075">
        <v>44354</v>
      </c>
      <c r="BN583" s="3070">
        <v>4</v>
      </c>
      <c r="BR583" s="3070">
        <v>21</v>
      </c>
      <c r="BS583" s="3070" t="s">
        <v>3238</v>
      </c>
      <c r="BU583" s="3070" t="s">
        <v>4100</v>
      </c>
      <c r="BZ583" s="3073">
        <v>44207.820833333331</v>
      </c>
      <c r="CA583" s="3070">
        <v>6</v>
      </c>
      <c r="CD583" s="3070" t="s">
        <v>3239</v>
      </c>
      <c r="CF583" s="3070" t="s">
        <v>3091</v>
      </c>
      <c r="CH583" s="3070" t="s">
        <v>3240</v>
      </c>
      <c r="CI583" s="3070">
        <v>0</v>
      </c>
      <c r="CK583" s="3070" t="s">
        <v>4100</v>
      </c>
      <c r="CL583" s="3070" t="s">
        <v>4100</v>
      </c>
      <c r="CM583" s="3070">
        <v>1299152.29</v>
      </c>
      <c r="CV583" s="3070" t="s">
        <v>3494</v>
      </c>
      <c r="CW583" s="3070" t="s">
        <v>8004</v>
      </c>
      <c r="CZ583" s="3070">
        <v>213894.57</v>
      </c>
      <c r="DA583" s="3070">
        <v>159426.93</v>
      </c>
      <c r="DB583" s="3070">
        <v>0</v>
      </c>
      <c r="DC583" s="3070">
        <v>0</v>
      </c>
      <c r="DD583" s="3070">
        <v>3290547602</v>
      </c>
      <c r="DE583" s="3070">
        <v>2764253109</v>
      </c>
      <c r="DF583" s="3070">
        <v>1464966739</v>
      </c>
      <c r="DG583" s="3070">
        <v>14938370</v>
      </c>
      <c r="DH583" s="3070">
        <v>1284348000</v>
      </c>
      <c r="DI583" s="3070">
        <v>1278128000</v>
      </c>
      <c r="DJ583" s="3070">
        <v>6220000</v>
      </c>
      <c r="DK583" s="3070">
        <v>0</v>
      </c>
      <c r="DL583" s="3070">
        <v>0</v>
      </c>
      <c r="DM583" s="3070">
        <v>25491817.620000001</v>
      </c>
      <c r="DN583" s="3070">
        <v>2764253109</v>
      </c>
      <c r="DP583" s="3070">
        <v>2764253109</v>
      </c>
    </row>
    <row r="584" spans="1:120">
      <c r="A584" s="3070">
        <v>583</v>
      </c>
      <c r="B584" s="3070" t="s">
        <v>3224</v>
      </c>
      <c r="C584" s="3070">
        <v>6</v>
      </c>
      <c r="E584" s="3070">
        <v>801</v>
      </c>
      <c r="F584" s="3070" t="s">
        <v>8005</v>
      </c>
      <c r="G584" s="3070" t="s">
        <v>8006</v>
      </c>
      <c r="H584" s="3070">
        <v>1347605</v>
      </c>
      <c r="I584" s="3070">
        <v>1347605</v>
      </c>
      <c r="J584" s="3070">
        <v>108.94</v>
      </c>
      <c r="K584" s="3070">
        <v>80.209999999999994</v>
      </c>
      <c r="L584" s="3070">
        <v>0</v>
      </c>
      <c r="M584" s="3070">
        <v>0</v>
      </c>
      <c r="N584" s="3070">
        <v>15294.44</v>
      </c>
      <c r="O584" s="3070">
        <v>1666176</v>
      </c>
      <c r="P584" s="3070">
        <v>12370.16</v>
      </c>
      <c r="Q584" s="3070">
        <v>1347605</v>
      </c>
      <c r="R584" s="3070" t="s">
        <v>3227</v>
      </c>
      <c r="S584" s="3070" t="s">
        <v>8007</v>
      </c>
      <c r="T584" s="3070" t="s">
        <v>3246</v>
      </c>
      <c r="U584" s="3070" t="s">
        <v>3247</v>
      </c>
      <c r="V584" s="3070" t="s">
        <v>3230</v>
      </c>
      <c r="Y584" s="3070">
        <v>407605</v>
      </c>
      <c r="Z584" s="3070">
        <v>407605</v>
      </c>
      <c r="AA584" s="3070">
        <v>407605</v>
      </c>
      <c r="AB584" s="3070">
        <v>0</v>
      </c>
      <c r="AC584" s="3070">
        <v>940000</v>
      </c>
      <c r="AD584" s="3070">
        <v>940000</v>
      </c>
      <c r="AE584" s="3070">
        <v>0</v>
      </c>
      <c r="AI584" s="3070" t="s">
        <v>3227</v>
      </c>
      <c r="AJ584" s="3070">
        <v>0</v>
      </c>
      <c r="AK584" s="3070">
        <v>0</v>
      </c>
      <c r="AL584" s="3070">
        <v>0</v>
      </c>
      <c r="AM584" s="3070">
        <v>12370.16</v>
      </c>
      <c r="AN584" s="3070">
        <v>1347605</v>
      </c>
      <c r="AP584" s="3070">
        <v>1347605</v>
      </c>
      <c r="AQ584" s="3072">
        <v>45138</v>
      </c>
      <c r="AT584" s="3073">
        <v>45678</v>
      </c>
      <c r="AV584" s="3070" t="s">
        <v>8008</v>
      </c>
      <c r="AW584" s="3070" t="s">
        <v>8009</v>
      </c>
      <c r="AX584" s="3070" t="s">
        <v>8010</v>
      </c>
      <c r="AY584" s="3070" t="s">
        <v>3648</v>
      </c>
      <c r="BC584" s="3070" t="s">
        <v>3284</v>
      </c>
      <c r="BD584" s="3070" t="s">
        <v>3077</v>
      </c>
      <c r="BI584" s="3070" t="s">
        <v>3235</v>
      </c>
      <c r="BJ584" s="3070" t="s">
        <v>3296</v>
      </c>
      <c r="BL584" s="3070" t="s">
        <v>8011</v>
      </c>
      <c r="BM584" s="3075">
        <v>44355</v>
      </c>
      <c r="BN584" s="3070">
        <v>1</v>
      </c>
      <c r="BO584" s="3070" t="s">
        <v>3253</v>
      </c>
      <c r="BR584" s="3070">
        <v>506</v>
      </c>
      <c r="BS584" s="3070" t="s">
        <v>3238</v>
      </c>
      <c r="BZ584" s="3073">
        <v>44142.865277777775</v>
      </c>
      <c r="CA584" s="3070">
        <v>6</v>
      </c>
      <c r="CD584" s="3070" t="s">
        <v>3239</v>
      </c>
      <c r="CF584" s="3070" t="s">
        <v>3091</v>
      </c>
      <c r="CH584" s="3070" t="s">
        <v>3240</v>
      </c>
      <c r="CI584" s="3070">
        <v>0</v>
      </c>
      <c r="CK584" s="3070" t="s">
        <v>3648</v>
      </c>
      <c r="CL584" s="3070" t="s">
        <v>3648</v>
      </c>
      <c r="CM584" s="3070">
        <v>1236334.8600000001</v>
      </c>
      <c r="CV584" s="3070" t="s">
        <v>3246</v>
      </c>
      <c r="CW584" s="3070" t="s">
        <v>8012</v>
      </c>
      <c r="CX584" s="3070" t="s">
        <v>3311</v>
      </c>
      <c r="CZ584" s="3070">
        <v>213894.57</v>
      </c>
      <c r="DA584" s="3070">
        <v>159426.93</v>
      </c>
      <c r="DB584" s="3070">
        <v>0</v>
      </c>
      <c r="DC584" s="3070">
        <v>0</v>
      </c>
      <c r="DD584" s="3070">
        <v>3290547602</v>
      </c>
      <c r="DE584" s="3070">
        <v>2764253109</v>
      </c>
      <c r="DF584" s="3070">
        <v>1464966739</v>
      </c>
      <c r="DG584" s="3070">
        <v>14938370</v>
      </c>
      <c r="DH584" s="3070">
        <v>1284348000</v>
      </c>
      <c r="DI584" s="3070">
        <v>1278128000</v>
      </c>
      <c r="DJ584" s="3070">
        <v>6220000</v>
      </c>
      <c r="DK584" s="3070">
        <v>0</v>
      </c>
      <c r="DL584" s="3070">
        <v>0</v>
      </c>
      <c r="DM584" s="3070">
        <v>25491817.620000001</v>
      </c>
      <c r="DN584" s="3070">
        <v>2764253109</v>
      </c>
      <c r="DP584" s="3070">
        <v>2764253109</v>
      </c>
    </row>
    <row r="585" spans="1:120">
      <c r="A585" s="3070">
        <v>584</v>
      </c>
      <c r="B585" s="3070" t="s">
        <v>3224</v>
      </c>
      <c r="C585" s="3070">
        <v>6</v>
      </c>
      <c r="E585" s="3070">
        <v>802</v>
      </c>
      <c r="F585" s="3070" t="s">
        <v>8013</v>
      </c>
      <c r="G585" s="3070" t="s">
        <v>8014</v>
      </c>
      <c r="H585" s="3070">
        <v>1049479</v>
      </c>
      <c r="I585" s="3070">
        <v>1049479</v>
      </c>
      <c r="J585" s="3070">
        <v>84.72</v>
      </c>
      <c r="K585" s="3070">
        <v>62.38</v>
      </c>
      <c r="L585" s="3070">
        <v>0</v>
      </c>
      <c r="M585" s="3070">
        <v>0</v>
      </c>
      <c r="N585" s="3070">
        <v>15444.44</v>
      </c>
      <c r="O585" s="3070">
        <v>1308453</v>
      </c>
      <c r="P585" s="3070">
        <v>12387.62</v>
      </c>
      <c r="Q585" s="3070">
        <v>1049479</v>
      </c>
      <c r="R585" s="3070" t="s">
        <v>3227</v>
      </c>
      <c r="S585" s="3070" t="s">
        <v>8015</v>
      </c>
      <c r="T585" s="3070" t="s">
        <v>3229</v>
      </c>
      <c r="V585" s="3070" t="s">
        <v>3230</v>
      </c>
      <c r="Y585" s="3070">
        <v>314844</v>
      </c>
      <c r="Z585" s="3070">
        <v>314844</v>
      </c>
      <c r="AA585" s="3070">
        <v>1049479</v>
      </c>
      <c r="AB585" s="3070">
        <v>0</v>
      </c>
      <c r="AC585" s="3070">
        <v>0</v>
      </c>
      <c r="AD585" s="3070">
        <v>0</v>
      </c>
      <c r="AE585" s="3070">
        <v>0</v>
      </c>
      <c r="AI585" s="3070" t="s">
        <v>3227</v>
      </c>
      <c r="AJ585" s="3070">
        <v>0</v>
      </c>
      <c r="AK585" s="3070">
        <v>0</v>
      </c>
      <c r="AL585" s="3070">
        <v>0</v>
      </c>
      <c r="AM585" s="3070">
        <v>12387.62</v>
      </c>
      <c r="AN585" s="3070">
        <v>1049479</v>
      </c>
      <c r="AP585" s="3070">
        <v>1049479</v>
      </c>
      <c r="AQ585" s="3072">
        <v>45138</v>
      </c>
      <c r="AT585" s="3073">
        <v>45678</v>
      </c>
      <c r="AV585" s="3074">
        <v>3.21E+17</v>
      </c>
      <c r="AW585" s="3070" t="s">
        <v>8016</v>
      </c>
      <c r="AX585" s="3070" t="s">
        <v>8017</v>
      </c>
      <c r="AY585" s="3070" t="s">
        <v>3273</v>
      </c>
      <c r="BA585" s="3070" t="s">
        <v>3273</v>
      </c>
      <c r="BC585" s="3070" t="s">
        <v>3347</v>
      </c>
      <c r="BD585" s="3070" t="s">
        <v>3076</v>
      </c>
      <c r="BI585" s="3070" t="s">
        <v>3235</v>
      </c>
      <c r="BJ585" s="3070" t="s">
        <v>6298</v>
      </c>
      <c r="BL585" s="3070" t="s">
        <v>8018</v>
      </c>
      <c r="BM585" s="3075">
        <v>44355</v>
      </c>
      <c r="BN585" s="3070">
        <v>2</v>
      </c>
      <c r="BR585" s="3070">
        <v>740</v>
      </c>
      <c r="BS585" s="3070" t="s">
        <v>3238</v>
      </c>
      <c r="BU585" s="3070" t="s">
        <v>3273</v>
      </c>
      <c r="BZ585" s="3073">
        <v>44142.613194444442</v>
      </c>
      <c r="CA585" s="3070">
        <v>6</v>
      </c>
      <c r="CD585" s="3070" t="s">
        <v>3239</v>
      </c>
      <c r="CF585" s="3070" t="s">
        <v>3091</v>
      </c>
      <c r="CH585" s="3070" t="s">
        <v>3240</v>
      </c>
      <c r="CI585" s="3070">
        <v>0</v>
      </c>
      <c r="CK585" s="3070" t="s">
        <v>3273</v>
      </c>
      <c r="CL585" s="3070" t="s">
        <v>3273</v>
      </c>
      <c r="CM585" s="3070">
        <v>962824.77</v>
      </c>
      <c r="CV585" s="3070" t="s">
        <v>3229</v>
      </c>
      <c r="CW585" s="3070" t="s">
        <v>8019</v>
      </c>
      <c r="CZ585" s="3070">
        <v>213894.57</v>
      </c>
      <c r="DA585" s="3070">
        <v>159426.93</v>
      </c>
      <c r="DB585" s="3070">
        <v>0</v>
      </c>
      <c r="DC585" s="3070">
        <v>0</v>
      </c>
      <c r="DD585" s="3070">
        <v>3290547602</v>
      </c>
      <c r="DE585" s="3070">
        <v>2764253109</v>
      </c>
      <c r="DF585" s="3070">
        <v>1464966739</v>
      </c>
      <c r="DG585" s="3070">
        <v>14938370</v>
      </c>
      <c r="DH585" s="3070">
        <v>1284348000</v>
      </c>
      <c r="DI585" s="3070">
        <v>1278128000</v>
      </c>
      <c r="DJ585" s="3070">
        <v>6220000</v>
      </c>
      <c r="DK585" s="3070">
        <v>0</v>
      </c>
      <c r="DL585" s="3070">
        <v>0</v>
      </c>
      <c r="DM585" s="3070">
        <v>25491817.620000001</v>
      </c>
      <c r="DN585" s="3070">
        <v>2764253109</v>
      </c>
      <c r="DP585" s="3070">
        <v>2764253109</v>
      </c>
    </row>
    <row r="586" spans="1:120">
      <c r="A586" s="3070">
        <v>585</v>
      </c>
      <c r="B586" s="3070" t="s">
        <v>3224</v>
      </c>
      <c r="C586" s="3070">
        <v>6</v>
      </c>
      <c r="E586" s="3070">
        <v>803</v>
      </c>
      <c r="F586" s="3070" t="s">
        <v>8020</v>
      </c>
      <c r="G586" s="3070" t="s">
        <v>8021</v>
      </c>
      <c r="H586" s="3070">
        <v>1119457</v>
      </c>
      <c r="I586" s="3070">
        <v>1119457</v>
      </c>
      <c r="J586" s="3070">
        <v>84.72</v>
      </c>
      <c r="K586" s="3070">
        <v>62.38</v>
      </c>
      <c r="L586" s="3070">
        <v>0</v>
      </c>
      <c r="M586" s="3070">
        <v>0</v>
      </c>
      <c r="N586" s="3070">
        <v>15444.44</v>
      </c>
      <c r="O586" s="3070">
        <v>1308453</v>
      </c>
      <c r="P586" s="3070">
        <v>13213.61</v>
      </c>
      <c r="Q586" s="3070">
        <v>1119457</v>
      </c>
      <c r="R586" s="3070" t="s">
        <v>3227</v>
      </c>
      <c r="S586" s="3070" t="s">
        <v>8022</v>
      </c>
      <c r="T586" s="3070" t="s">
        <v>3425</v>
      </c>
      <c r="V586" s="3070" t="s">
        <v>3230</v>
      </c>
      <c r="Y586" s="3070">
        <v>719457</v>
      </c>
      <c r="Z586" s="3070">
        <v>111946</v>
      </c>
      <c r="AA586" s="3070">
        <v>719457</v>
      </c>
      <c r="AB586" s="3070">
        <v>0</v>
      </c>
      <c r="AC586" s="3070">
        <v>400000</v>
      </c>
      <c r="AD586" s="3070">
        <v>400000</v>
      </c>
      <c r="AE586" s="3070">
        <v>0</v>
      </c>
      <c r="AI586" s="3070" t="s">
        <v>3227</v>
      </c>
      <c r="AJ586" s="3070">
        <v>0</v>
      </c>
      <c r="AK586" s="3070">
        <v>0</v>
      </c>
      <c r="AL586" s="3070">
        <v>0</v>
      </c>
      <c r="AM586" s="3070">
        <v>13213.61</v>
      </c>
      <c r="AN586" s="3070">
        <v>1119457</v>
      </c>
      <c r="AP586" s="3070">
        <v>1119457</v>
      </c>
      <c r="AQ586" s="3072">
        <v>45138</v>
      </c>
      <c r="AT586" s="3073">
        <v>45678</v>
      </c>
      <c r="AV586" s="3070" t="s">
        <v>8023</v>
      </c>
      <c r="AW586" s="3070" t="s">
        <v>8024</v>
      </c>
      <c r="AX586" s="3070" t="s">
        <v>8025</v>
      </c>
      <c r="AY586" s="3070" t="s">
        <v>3393</v>
      </c>
      <c r="BC586" s="3070" t="s">
        <v>8026</v>
      </c>
      <c r="BD586" s="3070" t="s">
        <v>3076</v>
      </c>
      <c r="BI586" s="3070" t="s">
        <v>3235</v>
      </c>
      <c r="BJ586" s="3070" t="s">
        <v>6298</v>
      </c>
      <c r="BL586" s="3070" t="s">
        <v>8027</v>
      </c>
      <c r="BM586" s="3075">
        <v>44355</v>
      </c>
      <c r="BN586" s="3070">
        <v>3</v>
      </c>
      <c r="BP586" s="3070" t="s">
        <v>3253</v>
      </c>
      <c r="BR586" s="3070">
        <v>0</v>
      </c>
      <c r="BS586" s="3070" t="s">
        <v>3238</v>
      </c>
      <c r="BZ586" s="3073">
        <v>44160.413194444445</v>
      </c>
      <c r="CA586" s="3070">
        <v>6</v>
      </c>
      <c r="CD586" s="3070" t="s">
        <v>3239</v>
      </c>
      <c r="CF586" s="3070" t="s">
        <v>3091</v>
      </c>
      <c r="CH586" s="3070" t="s">
        <v>3240</v>
      </c>
      <c r="CI586" s="3070">
        <v>0</v>
      </c>
      <c r="CJ586" s="3070" t="s">
        <v>3259</v>
      </c>
      <c r="CK586" s="3070" t="s">
        <v>3393</v>
      </c>
      <c r="CL586" s="3070" t="s">
        <v>3393</v>
      </c>
      <c r="CM586" s="3070">
        <v>1027024.77</v>
      </c>
      <c r="CV586" s="3070" t="s">
        <v>3425</v>
      </c>
      <c r="CW586" s="3070" t="s">
        <v>8028</v>
      </c>
      <c r="CX586" s="3070" t="s">
        <v>3510</v>
      </c>
      <c r="CZ586" s="3070">
        <v>213894.57</v>
      </c>
      <c r="DA586" s="3070">
        <v>159426.93</v>
      </c>
      <c r="DB586" s="3070">
        <v>0</v>
      </c>
      <c r="DC586" s="3070">
        <v>0</v>
      </c>
      <c r="DD586" s="3070">
        <v>3290547602</v>
      </c>
      <c r="DE586" s="3070">
        <v>2764253109</v>
      </c>
      <c r="DF586" s="3070">
        <v>1464966739</v>
      </c>
      <c r="DG586" s="3070">
        <v>14938370</v>
      </c>
      <c r="DH586" s="3070">
        <v>1284348000</v>
      </c>
      <c r="DI586" s="3070">
        <v>1278128000</v>
      </c>
      <c r="DJ586" s="3070">
        <v>6220000</v>
      </c>
      <c r="DK586" s="3070">
        <v>0</v>
      </c>
      <c r="DL586" s="3070">
        <v>0</v>
      </c>
      <c r="DM586" s="3070">
        <v>25491817.620000001</v>
      </c>
      <c r="DN586" s="3070">
        <v>2764253109</v>
      </c>
      <c r="DP586" s="3070">
        <v>2764253109</v>
      </c>
    </row>
    <row r="587" spans="1:120">
      <c r="A587" s="3070">
        <v>586</v>
      </c>
      <c r="B587" s="3070" t="s">
        <v>3224</v>
      </c>
      <c r="C587" s="3070">
        <v>6</v>
      </c>
      <c r="E587" s="3070">
        <v>804</v>
      </c>
      <c r="F587" s="3070" t="s">
        <v>8029</v>
      </c>
      <c r="G587" s="3070" t="s">
        <v>8030</v>
      </c>
      <c r="H587" s="3070">
        <v>1485497</v>
      </c>
      <c r="I587" s="3070">
        <v>1485497</v>
      </c>
      <c r="J587" s="3070">
        <v>120.29</v>
      </c>
      <c r="K587" s="3070">
        <v>88.57</v>
      </c>
      <c r="L587" s="3070">
        <v>0</v>
      </c>
      <c r="M587" s="3070">
        <v>0</v>
      </c>
      <c r="N587" s="3070">
        <v>15144.44</v>
      </c>
      <c r="O587" s="3070">
        <v>1821725</v>
      </c>
      <c r="P587" s="3070">
        <v>12349.3</v>
      </c>
      <c r="Q587" s="3070">
        <v>1485497</v>
      </c>
      <c r="R587" s="3070" t="s">
        <v>3227</v>
      </c>
      <c r="S587" s="3070" t="s">
        <v>8031</v>
      </c>
      <c r="T587" s="3070" t="s">
        <v>3258</v>
      </c>
      <c r="U587" s="3070" t="s">
        <v>3259</v>
      </c>
      <c r="V587" s="3070" t="s">
        <v>3230</v>
      </c>
      <c r="Y587" s="3070">
        <v>455497</v>
      </c>
      <c r="Z587" s="3070">
        <v>455497</v>
      </c>
      <c r="AA587" s="3070">
        <v>455497</v>
      </c>
      <c r="AB587" s="3070">
        <v>0</v>
      </c>
      <c r="AC587" s="3070">
        <v>1030000</v>
      </c>
      <c r="AD587" s="3070">
        <v>1030000</v>
      </c>
      <c r="AE587" s="3070">
        <v>0</v>
      </c>
      <c r="AI587" s="3070" t="s">
        <v>3227</v>
      </c>
      <c r="AJ587" s="3070">
        <v>0</v>
      </c>
      <c r="AK587" s="3070">
        <v>0</v>
      </c>
      <c r="AL587" s="3070">
        <v>0</v>
      </c>
      <c r="AM587" s="3070">
        <v>12349.3</v>
      </c>
      <c r="AN587" s="3070">
        <v>1485497</v>
      </c>
      <c r="AP587" s="3070">
        <v>1485497</v>
      </c>
      <c r="AQ587" s="3072">
        <v>45138</v>
      </c>
      <c r="AT587" s="3073">
        <v>45678</v>
      </c>
      <c r="AV587" s="3070" t="s">
        <v>8032</v>
      </c>
      <c r="AW587" s="3070" t="s">
        <v>8033</v>
      </c>
      <c r="AX587" s="3070" t="s">
        <v>8034</v>
      </c>
      <c r="AY587" s="3070" t="s">
        <v>4065</v>
      </c>
      <c r="BA587" s="3070" t="s">
        <v>4065</v>
      </c>
      <c r="BC587" s="3070" t="s">
        <v>8035</v>
      </c>
      <c r="BD587" s="3070" t="s">
        <v>3075</v>
      </c>
      <c r="BI587" s="3070" t="s">
        <v>3295</v>
      </c>
      <c r="BL587" s="3070" t="s">
        <v>8036</v>
      </c>
      <c r="BM587" s="3075">
        <v>44355</v>
      </c>
      <c r="BN587" s="3070">
        <v>4</v>
      </c>
      <c r="BO587" s="3070" t="s">
        <v>3253</v>
      </c>
      <c r="BP587" s="3070" t="s">
        <v>3253</v>
      </c>
      <c r="BR587" s="3070">
        <v>19</v>
      </c>
      <c r="BS587" s="3070" t="s">
        <v>3238</v>
      </c>
      <c r="BU587" s="3070" t="s">
        <v>4065</v>
      </c>
      <c r="BZ587" s="3073">
        <v>44199.552777777775</v>
      </c>
      <c r="CA587" s="3070">
        <v>6</v>
      </c>
      <c r="CD587" s="3070" t="s">
        <v>3239</v>
      </c>
      <c r="CF587" s="3070" t="s">
        <v>3091</v>
      </c>
      <c r="CH587" s="3070" t="s">
        <v>3240</v>
      </c>
      <c r="CI587" s="3070">
        <v>0</v>
      </c>
      <c r="CJ587" s="3070" t="s">
        <v>3259</v>
      </c>
      <c r="CK587" s="3070" t="s">
        <v>4065</v>
      </c>
      <c r="CL587" s="3070" t="s">
        <v>4242</v>
      </c>
      <c r="CM587" s="3070">
        <v>1362841.28</v>
      </c>
      <c r="CV587" s="3070" t="s">
        <v>3258</v>
      </c>
      <c r="CW587" s="3070" t="s">
        <v>8037</v>
      </c>
      <c r="CZ587" s="3070">
        <v>213894.57</v>
      </c>
      <c r="DA587" s="3070">
        <v>159426.93</v>
      </c>
      <c r="DB587" s="3070">
        <v>0</v>
      </c>
      <c r="DC587" s="3070">
        <v>0</v>
      </c>
      <c r="DD587" s="3070">
        <v>3290547602</v>
      </c>
      <c r="DE587" s="3070">
        <v>2764253109</v>
      </c>
      <c r="DF587" s="3070">
        <v>1464966739</v>
      </c>
      <c r="DG587" s="3070">
        <v>14938370</v>
      </c>
      <c r="DH587" s="3070">
        <v>1284348000</v>
      </c>
      <c r="DI587" s="3070">
        <v>1278128000</v>
      </c>
      <c r="DJ587" s="3070">
        <v>6220000</v>
      </c>
      <c r="DK587" s="3070">
        <v>0</v>
      </c>
      <c r="DL587" s="3070">
        <v>0</v>
      </c>
      <c r="DM587" s="3070">
        <v>25491817.620000001</v>
      </c>
      <c r="DN587" s="3070">
        <v>2764253109</v>
      </c>
      <c r="DP587" s="3070">
        <v>2764253109</v>
      </c>
    </row>
    <row r="588" spans="1:120">
      <c r="A588" s="3070">
        <v>587</v>
      </c>
      <c r="B588" s="3070" t="s">
        <v>3224</v>
      </c>
      <c r="C588" s="3070">
        <v>6</v>
      </c>
      <c r="E588" s="3070">
        <v>901</v>
      </c>
      <c r="F588" s="3070" t="s">
        <v>8038</v>
      </c>
      <c r="G588" s="3070" t="s">
        <v>8039</v>
      </c>
      <c r="H588" s="3070">
        <v>1352783</v>
      </c>
      <c r="I588" s="3070">
        <v>1352783</v>
      </c>
      <c r="J588" s="3070">
        <v>108.94</v>
      </c>
      <c r="K588" s="3070">
        <v>80.209999999999994</v>
      </c>
      <c r="L588" s="3070">
        <v>0</v>
      </c>
      <c r="M588" s="3070">
        <v>0</v>
      </c>
      <c r="N588" s="3070">
        <v>15344.44</v>
      </c>
      <c r="O588" s="3070">
        <v>1671623</v>
      </c>
      <c r="P588" s="3070">
        <v>12417.69</v>
      </c>
      <c r="Q588" s="3070">
        <v>1352783</v>
      </c>
      <c r="R588" s="3070" t="s">
        <v>3227</v>
      </c>
      <c r="S588" s="3070" t="s">
        <v>8040</v>
      </c>
      <c r="T588" s="3070" t="s">
        <v>3258</v>
      </c>
      <c r="U588" s="3070" t="s">
        <v>3259</v>
      </c>
      <c r="V588" s="3070" t="s">
        <v>3230</v>
      </c>
      <c r="Y588" s="3070">
        <v>412783</v>
      </c>
      <c r="Z588" s="3070">
        <v>412783</v>
      </c>
      <c r="AA588" s="3070">
        <v>412783</v>
      </c>
      <c r="AB588" s="3070">
        <v>0</v>
      </c>
      <c r="AC588" s="3070">
        <v>940000</v>
      </c>
      <c r="AD588" s="3070">
        <v>940000</v>
      </c>
      <c r="AE588" s="3070">
        <v>0</v>
      </c>
      <c r="AI588" s="3070" t="s">
        <v>3227</v>
      </c>
      <c r="AJ588" s="3070">
        <v>0</v>
      </c>
      <c r="AK588" s="3070">
        <v>0</v>
      </c>
      <c r="AL588" s="3070">
        <v>0</v>
      </c>
      <c r="AM588" s="3070">
        <v>12417.69</v>
      </c>
      <c r="AN588" s="3070">
        <v>1352783</v>
      </c>
      <c r="AP588" s="3070">
        <v>1352783</v>
      </c>
      <c r="AQ588" s="3072">
        <v>45138</v>
      </c>
      <c r="AT588" s="3073">
        <v>45678</v>
      </c>
      <c r="AV588" s="3070" t="s">
        <v>8041</v>
      </c>
      <c r="AW588" s="3070" t="s">
        <v>8042</v>
      </c>
      <c r="AX588" s="3070" t="s">
        <v>8043</v>
      </c>
      <c r="AY588" s="3070" t="s">
        <v>3250</v>
      </c>
      <c r="BC588" s="3070" t="s">
        <v>3263</v>
      </c>
      <c r="BD588" s="3070" t="s">
        <v>3077</v>
      </c>
      <c r="BI588" s="3070" t="s">
        <v>3235</v>
      </c>
      <c r="BJ588" s="3070" t="s">
        <v>3682</v>
      </c>
      <c r="BL588" s="3070" t="s">
        <v>8044</v>
      </c>
      <c r="BM588" s="3075">
        <v>44356</v>
      </c>
      <c r="BN588" s="3070">
        <v>1</v>
      </c>
      <c r="BO588" s="3070" t="s">
        <v>3253</v>
      </c>
      <c r="BP588" s="3070" t="s">
        <v>3253</v>
      </c>
      <c r="BR588" s="3070">
        <v>109</v>
      </c>
      <c r="BS588" s="3070" t="s">
        <v>3238</v>
      </c>
      <c r="BZ588" s="3073">
        <v>44142.865972222222</v>
      </c>
      <c r="CA588" s="3070">
        <v>6</v>
      </c>
      <c r="CD588" s="3070" t="s">
        <v>3239</v>
      </c>
      <c r="CF588" s="3070" t="s">
        <v>3091</v>
      </c>
      <c r="CH588" s="3070" t="s">
        <v>3240</v>
      </c>
      <c r="CI588" s="3070">
        <v>0</v>
      </c>
      <c r="CJ588" s="3070" t="s">
        <v>3259</v>
      </c>
      <c r="CK588" s="3070" t="s">
        <v>3250</v>
      </c>
      <c r="CL588" s="3070" t="s">
        <v>3250</v>
      </c>
      <c r="CM588" s="3070">
        <v>1241085.32</v>
      </c>
      <c r="CV588" s="3070" t="s">
        <v>3258</v>
      </c>
      <c r="CW588" s="3070" t="s">
        <v>8045</v>
      </c>
      <c r="CX588" s="3070" t="s">
        <v>3510</v>
      </c>
      <c r="CZ588" s="3070">
        <v>213894.57</v>
      </c>
      <c r="DA588" s="3070">
        <v>159426.93</v>
      </c>
      <c r="DB588" s="3070">
        <v>0</v>
      </c>
      <c r="DC588" s="3070">
        <v>0</v>
      </c>
      <c r="DD588" s="3070">
        <v>3290547602</v>
      </c>
      <c r="DE588" s="3070">
        <v>2764253109</v>
      </c>
      <c r="DF588" s="3070">
        <v>1464966739</v>
      </c>
      <c r="DG588" s="3070">
        <v>14938370</v>
      </c>
      <c r="DH588" s="3070">
        <v>1284348000</v>
      </c>
      <c r="DI588" s="3070">
        <v>1278128000</v>
      </c>
      <c r="DJ588" s="3070">
        <v>6220000</v>
      </c>
      <c r="DK588" s="3070">
        <v>0</v>
      </c>
      <c r="DL588" s="3070">
        <v>0</v>
      </c>
      <c r="DM588" s="3070">
        <v>25491817.620000001</v>
      </c>
      <c r="DN588" s="3070">
        <v>2764253109</v>
      </c>
      <c r="DP588" s="3070">
        <v>2764253109</v>
      </c>
    </row>
    <row r="589" spans="1:120">
      <c r="A589" s="3070">
        <v>588</v>
      </c>
      <c r="B589" s="3070" t="s">
        <v>3224</v>
      </c>
      <c r="C589" s="3070">
        <v>6</v>
      </c>
      <c r="E589" s="3070">
        <v>902</v>
      </c>
      <c r="F589" s="3070" t="s">
        <v>8046</v>
      </c>
      <c r="G589" s="3070" t="s">
        <v>8047</v>
      </c>
      <c r="H589" s="3070">
        <v>1048145</v>
      </c>
      <c r="I589" s="3070">
        <v>1048145</v>
      </c>
      <c r="J589" s="3070">
        <v>84.72</v>
      </c>
      <c r="K589" s="3070">
        <v>62.38</v>
      </c>
      <c r="L589" s="3070">
        <v>0</v>
      </c>
      <c r="M589" s="3070">
        <v>0</v>
      </c>
      <c r="N589" s="3070">
        <v>15494.44</v>
      </c>
      <c r="O589" s="3070">
        <v>1312689</v>
      </c>
      <c r="P589" s="3070">
        <v>12371.87</v>
      </c>
      <c r="Q589" s="3070">
        <v>1048145</v>
      </c>
      <c r="R589" s="3070" t="s">
        <v>3227</v>
      </c>
      <c r="S589" s="3070" t="s">
        <v>8048</v>
      </c>
      <c r="T589" s="3070" t="s">
        <v>3246</v>
      </c>
      <c r="U589" s="3070" t="s">
        <v>3371</v>
      </c>
      <c r="V589" s="3070" t="s">
        <v>3230</v>
      </c>
      <c r="Y589" s="3070">
        <v>428145</v>
      </c>
      <c r="Z589" s="3070">
        <v>104815</v>
      </c>
      <c r="AA589" s="3070">
        <v>428145</v>
      </c>
      <c r="AB589" s="3070">
        <v>0</v>
      </c>
      <c r="AC589" s="3070">
        <v>620000</v>
      </c>
      <c r="AD589" s="3070">
        <v>620000</v>
      </c>
      <c r="AE589" s="3070">
        <v>0</v>
      </c>
      <c r="AI589" s="3070" t="s">
        <v>3227</v>
      </c>
      <c r="AJ589" s="3070">
        <v>0</v>
      </c>
      <c r="AK589" s="3070">
        <v>0</v>
      </c>
      <c r="AL589" s="3070">
        <v>0</v>
      </c>
      <c r="AM589" s="3070">
        <v>12371.87</v>
      </c>
      <c r="AN589" s="3070">
        <v>1048145</v>
      </c>
      <c r="AP589" s="3070">
        <v>1048145</v>
      </c>
      <c r="AQ589" s="3072">
        <v>45138</v>
      </c>
      <c r="AT589" s="3073">
        <v>45678</v>
      </c>
      <c r="AV589" s="3070" t="s">
        <v>8049</v>
      </c>
      <c r="AW589" s="3070" t="s">
        <v>8050</v>
      </c>
      <c r="AX589" s="3070" t="s">
        <v>8051</v>
      </c>
      <c r="AY589" s="3070" t="s">
        <v>3306</v>
      </c>
      <c r="BC589" s="3070" t="s">
        <v>8052</v>
      </c>
      <c r="BD589" s="3070" t="s">
        <v>3076</v>
      </c>
      <c r="BI589" s="3070" t="s">
        <v>3235</v>
      </c>
      <c r="BJ589" s="3070" t="s">
        <v>3338</v>
      </c>
      <c r="BL589" s="3070" t="s">
        <v>8053</v>
      </c>
      <c r="BM589" s="3075">
        <v>44356</v>
      </c>
      <c r="BN589" s="3070">
        <v>2</v>
      </c>
      <c r="BO589" s="3070" t="s">
        <v>3253</v>
      </c>
      <c r="BR589" s="3070">
        <v>332</v>
      </c>
      <c r="BS589" s="3070" t="s">
        <v>3238</v>
      </c>
      <c r="BZ589" s="3073">
        <v>44153.857638888891</v>
      </c>
      <c r="CA589" s="3070">
        <v>6</v>
      </c>
      <c r="CD589" s="3070" t="s">
        <v>3239</v>
      </c>
      <c r="CF589" s="3070" t="s">
        <v>3091</v>
      </c>
      <c r="CH589" s="3070" t="s">
        <v>3240</v>
      </c>
      <c r="CI589" s="3070">
        <v>0</v>
      </c>
      <c r="CK589" s="3070" t="s">
        <v>3346</v>
      </c>
      <c r="CL589" s="3070" t="s">
        <v>3306</v>
      </c>
      <c r="CM589" s="3070">
        <v>961600.91</v>
      </c>
      <c r="CV589" s="3070" t="s">
        <v>3246</v>
      </c>
      <c r="CW589" s="3070" t="s">
        <v>8054</v>
      </c>
      <c r="CX589" s="3070" t="s">
        <v>3311</v>
      </c>
      <c r="CZ589" s="3070">
        <v>213894.57</v>
      </c>
      <c r="DA589" s="3070">
        <v>159426.93</v>
      </c>
      <c r="DB589" s="3070">
        <v>0</v>
      </c>
      <c r="DC589" s="3070">
        <v>0</v>
      </c>
      <c r="DD589" s="3070">
        <v>3290547602</v>
      </c>
      <c r="DE589" s="3070">
        <v>2764253109</v>
      </c>
      <c r="DF589" s="3070">
        <v>1464966739</v>
      </c>
      <c r="DG589" s="3070">
        <v>14938370</v>
      </c>
      <c r="DH589" s="3070">
        <v>1284348000</v>
      </c>
      <c r="DI589" s="3070">
        <v>1278128000</v>
      </c>
      <c r="DJ589" s="3070">
        <v>6220000</v>
      </c>
      <c r="DK589" s="3070">
        <v>0</v>
      </c>
      <c r="DL589" s="3070">
        <v>0</v>
      </c>
      <c r="DM589" s="3070">
        <v>25491817.620000001</v>
      </c>
      <c r="DN589" s="3070">
        <v>2764253109</v>
      </c>
      <c r="DP589" s="3070">
        <v>2764253109</v>
      </c>
    </row>
    <row r="590" spans="1:120">
      <c r="A590" s="3070">
        <v>589</v>
      </c>
      <c r="B590" s="3070" t="s">
        <v>3224</v>
      </c>
      <c r="C590" s="3070">
        <v>6</v>
      </c>
      <c r="E590" s="3070">
        <v>903</v>
      </c>
      <c r="F590" s="3070" t="s">
        <v>8055</v>
      </c>
      <c r="G590" s="3070" t="s">
        <v>8056</v>
      </c>
      <c r="H590" s="3070">
        <v>1064106</v>
      </c>
      <c r="I590" s="3070">
        <v>1064106</v>
      </c>
      <c r="J590" s="3070">
        <v>84.72</v>
      </c>
      <c r="K590" s="3070">
        <v>62.38</v>
      </c>
      <c r="L590" s="3070">
        <v>0</v>
      </c>
      <c r="M590" s="3070">
        <v>0</v>
      </c>
      <c r="N590" s="3070">
        <v>15494.44</v>
      </c>
      <c r="O590" s="3070">
        <v>1312689</v>
      </c>
      <c r="P590" s="3070">
        <v>12560.27</v>
      </c>
      <c r="Q590" s="3070">
        <v>1064106</v>
      </c>
      <c r="R590" s="3070" t="s">
        <v>3227</v>
      </c>
      <c r="S590" s="3070" t="s">
        <v>8057</v>
      </c>
      <c r="T590" s="3070" t="s">
        <v>3246</v>
      </c>
      <c r="U590" s="3070" t="s">
        <v>3381</v>
      </c>
      <c r="V590" s="3070" t="s">
        <v>3230</v>
      </c>
      <c r="Y590" s="3070">
        <v>324106</v>
      </c>
      <c r="Z590" s="3070">
        <v>324106</v>
      </c>
      <c r="AA590" s="3070">
        <v>324106</v>
      </c>
      <c r="AB590" s="3070">
        <v>0</v>
      </c>
      <c r="AC590" s="3070">
        <v>740000</v>
      </c>
      <c r="AD590" s="3070">
        <v>740000</v>
      </c>
      <c r="AE590" s="3070">
        <v>0</v>
      </c>
      <c r="AI590" s="3070" t="s">
        <v>3227</v>
      </c>
      <c r="AJ590" s="3070">
        <v>0</v>
      </c>
      <c r="AK590" s="3070">
        <v>0</v>
      </c>
      <c r="AL590" s="3070">
        <v>0</v>
      </c>
      <c r="AM590" s="3070">
        <v>12560.27</v>
      </c>
      <c r="AN590" s="3070">
        <v>1064106</v>
      </c>
      <c r="AP590" s="3070">
        <v>1064106</v>
      </c>
      <c r="AQ590" s="3072">
        <v>45138</v>
      </c>
      <c r="AT590" s="3073">
        <v>45678</v>
      </c>
      <c r="AV590" s="3074">
        <v>3.21E+17</v>
      </c>
      <c r="AW590" s="3070" t="s">
        <v>8058</v>
      </c>
      <c r="AX590" s="3070" t="s">
        <v>8059</v>
      </c>
      <c r="AY590" s="3070" t="s">
        <v>3419</v>
      </c>
      <c r="BC590" s="3070" t="s">
        <v>3284</v>
      </c>
      <c r="BD590" s="3070" t="s">
        <v>3076</v>
      </c>
      <c r="BI590" s="3070" t="s">
        <v>3235</v>
      </c>
      <c r="BJ590" s="3070" t="s">
        <v>3236</v>
      </c>
      <c r="BL590" s="3070" t="s">
        <v>8060</v>
      </c>
      <c r="BM590" s="3075">
        <v>44356</v>
      </c>
      <c r="BN590" s="3070">
        <v>3</v>
      </c>
      <c r="BO590" s="3070" t="s">
        <v>3253</v>
      </c>
      <c r="BR590" s="3070">
        <v>807</v>
      </c>
      <c r="BS590" s="3070" t="s">
        <v>3238</v>
      </c>
      <c r="BZ590" s="3073">
        <v>44142.597222222219</v>
      </c>
      <c r="CA590" s="3070">
        <v>6</v>
      </c>
      <c r="CD590" s="3070" t="s">
        <v>3239</v>
      </c>
      <c r="CF590" s="3070" t="s">
        <v>3091</v>
      </c>
      <c r="CH590" s="3070" t="s">
        <v>3240</v>
      </c>
      <c r="CI590" s="3070">
        <v>0</v>
      </c>
      <c r="CK590" s="3070" t="s">
        <v>3419</v>
      </c>
      <c r="CL590" s="3070" t="s">
        <v>3419</v>
      </c>
      <c r="CM590" s="3070">
        <v>976244.04</v>
      </c>
      <c r="CV590" s="3070" t="s">
        <v>3246</v>
      </c>
      <c r="CW590" s="3070" t="s">
        <v>8061</v>
      </c>
      <c r="CX590" s="3070" t="s">
        <v>3267</v>
      </c>
      <c r="CZ590" s="3070">
        <v>213894.57</v>
      </c>
      <c r="DA590" s="3070">
        <v>159426.93</v>
      </c>
      <c r="DB590" s="3070">
        <v>0</v>
      </c>
      <c r="DC590" s="3070">
        <v>0</v>
      </c>
      <c r="DD590" s="3070">
        <v>3290547602</v>
      </c>
      <c r="DE590" s="3070">
        <v>2764253109</v>
      </c>
      <c r="DF590" s="3070">
        <v>1464966739</v>
      </c>
      <c r="DG590" s="3070">
        <v>14938370</v>
      </c>
      <c r="DH590" s="3070">
        <v>1284348000</v>
      </c>
      <c r="DI590" s="3070">
        <v>1278128000</v>
      </c>
      <c r="DJ590" s="3070">
        <v>6220000</v>
      </c>
      <c r="DK590" s="3070">
        <v>0</v>
      </c>
      <c r="DL590" s="3070">
        <v>0</v>
      </c>
      <c r="DM590" s="3070">
        <v>25491817.620000001</v>
      </c>
      <c r="DN590" s="3070">
        <v>2764253109</v>
      </c>
      <c r="DP590" s="3070">
        <v>2764253109</v>
      </c>
    </row>
    <row r="591" spans="1:120">
      <c r="A591" s="3070">
        <v>590</v>
      </c>
      <c r="B591" s="3070" t="s">
        <v>3224</v>
      </c>
      <c r="C591" s="3070">
        <v>6</v>
      </c>
      <c r="E591" s="3070">
        <v>904</v>
      </c>
      <c r="F591" s="3070" t="s">
        <v>8062</v>
      </c>
      <c r="G591" s="3070" t="s">
        <v>8063</v>
      </c>
      <c r="H591" s="3070">
        <v>1476572</v>
      </c>
      <c r="I591" s="3070">
        <v>1476572</v>
      </c>
      <c r="J591" s="3070">
        <v>120.29</v>
      </c>
      <c r="K591" s="3070">
        <v>88.57</v>
      </c>
      <c r="L591" s="3070">
        <v>0</v>
      </c>
      <c r="M591" s="3070">
        <v>0</v>
      </c>
      <c r="N591" s="3070">
        <v>15194.44</v>
      </c>
      <c r="O591" s="3070">
        <v>1827739</v>
      </c>
      <c r="P591" s="3070">
        <v>12275.1</v>
      </c>
      <c r="Q591" s="3070">
        <v>1476572</v>
      </c>
      <c r="R591" s="3070" t="s">
        <v>3227</v>
      </c>
      <c r="S591" s="3070" t="s">
        <v>8064</v>
      </c>
      <c r="T591" s="3070" t="s">
        <v>3258</v>
      </c>
      <c r="U591" s="3070" t="s">
        <v>3259</v>
      </c>
      <c r="V591" s="3070" t="s">
        <v>3230</v>
      </c>
      <c r="Y591" s="3070">
        <v>446572</v>
      </c>
      <c r="Z591" s="3070">
        <v>147657</v>
      </c>
      <c r="AA591" s="3070">
        <v>446572</v>
      </c>
      <c r="AB591" s="3070">
        <v>0</v>
      </c>
      <c r="AC591" s="3070">
        <v>1030000</v>
      </c>
      <c r="AD591" s="3070">
        <v>1030000</v>
      </c>
      <c r="AE591" s="3070">
        <v>0</v>
      </c>
      <c r="AI591" s="3070" t="s">
        <v>3227</v>
      </c>
      <c r="AJ591" s="3070">
        <v>0</v>
      </c>
      <c r="AK591" s="3070">
        <v>0</v>
      </c>
      <c r="AL591" s="3070">
        <v>0</v>
      </c>
      <c r="AM591" s="3070">
        <v>12275.1</v>
      </c>
      <c r="AN591" s="3070">
        <v>1476572</v>
      </c>
      <c r="AP591" s="3070">
        <v>1476572</v>
      </c>
      <c r="AQ591" s="3072">
        <v>45138</v>
      </c>
      <c r="AT591" s="3073">
        <v>45678</v>
      </c>
      <c r="AV591" s="3070" t="s">
        <v>8065</v>
      </c>
      <c r="AW591" s="3070" t="s">
        <v>8066</v>
      </c>
      <c r="AX591" s="3070" t="s">
        <v>8067</v>
      </c>
      <c r="AY591" s="3070" t="s">
        <v>3375</v>
      </c>
      <c r="BC591" s="3070" t="s">
        <v>3263</v>
      </c>
      <c r="BD591" s="3070" t="s">
        <v>3075</v>
      </c>
      <c r="BI591" s="3070" t="s">
        <v>3235</v>
      </c>
      <c r="BL591" s="3070" t="s">
        <v>8068</v>
      </c>
      <c r="BM591" s="3075">
        <v>44356</v>
      </c>
      <c r="BN591" s="3070">
        <v>4</v>
      </c>
      <c r="BO591" s="3070" t="s">
        <v>3253</v>
      </c>
      <c r="BP591" s="3070" t="s">
        <v>3253</v>
      </c>
      <c r="BR591" s="3070">
        <v>955</v>
      </c>
      <c r="BS591" s="3070" t="s">
        <v>3238</v>
      </c>
      <c r="BZ591" s="3073">
        <v>44153.830555555556</v>
      </c>
      <c r="CA591" s="3070">
        <v>6</v>
      </c>
      <c r="CD591" s="3070" t="s">
        <v>3239</v>
      </c>
      <c r="CF591" s="3070" t="s">
        <v>3091</v>
      </c>
      <c r="CH591" s="3070" t="s">
        <v>3240</v>
      </c>
      <c r="CI591" s="3070">
        <v>0</v>
      </c>
      <c r="CJ591" s="3070" t="s">
        <v>3259</v>
      </c>
      <c r="CK591" s="3070" t="s">
        <v>3375</v>
      </c>
      <c r="CL591" s="3070" t="s">
        <v>3375</v>
      </c>
      <c r="CM591" s="3070">
        <v>1354653.21</v>
      </c>
      <c r="CV591" s="3070" t="s">
        <v>3258</v>
      </c>
      <c r="CW591" s="3070" t="s">
        <v>8069</v>
      </c>
      <c r="CZ591" s="3070">
        <v>213894.57</v>
      </c>
      <c r="DA591" s="3070">
        <v>159426.93</v>
      </c>
      <c r="DB591" s="3070">
        <v>0</v>
      </c>
      <c r="DC591" s="3070">
        <v>0</v>
      </c>
      <c r="DD591" s="3070">
        <v>3290547602</v>
      </c>
      <c r="DE591" s="3070">
        <v>2764253109</v>
      </c>
      <c r="DF591" s="3070">
        <v>1464966739</v>
      </c>
      <c r="DG591" s="3070">
        <v>14938370</v>
      </c>
      <c r="DH591" s="3070">
        <v>1284348000</v>
      </c>
      <c r="DI591" s="3070">
        <v>1278128000</v>
      </c>
      <c r="DJ591" s="3070">
        <v>6220000</v>
      </c>
      <c r="DK591" s="3070">
        <v>0</v>
      </c>
      <c r="DL591" s="3070">
        <v>0</v>
      </c>
      <c r="DM591" s="3070">
        <v>25491817.620000001</v>
      </c>
      <c r="DN591" s="3070">
        <v>2764253109</v>
      </c>
      <c r="DP591" s="3070">
        <v>2764253109</v>
      </c>
    </row>
    <row r="592" spans="1:120">
      <c r="A592" s="3070">
        <v>591</v>
      </c>
      <c r="B592" s="3070" t="s">
        <v>3224</v>
      </c>
      <c r="C592" s="3070">
        <v>7</v>
      </c>
      <c r="E592" s="3070">
        <v>1001</v>
      </c>
      <c r="F592" s="3070" t="s">
        <v>8070</v>
      </c>
      <c r="G592" s="3070" t="s">
        <v>8071</v>
      </c>
      <c r="H592" s="3070">
        <v>1620258</v>
      </c>
      <c r="I592" s="3070">
        <v>1620258</v>
      </c>
      <c r="J592" s="3070">
        <v>122.27</v>
      </c>
      <c r="K592" s="3070">
        <v>90.43</v>
      </c>
      <c r="L592" s="3070">
        <v>0</v>
      </c>
      <c r="M592" s="3070">
        <v>0</v>
      </c>
      <c r="N592" s="3070">
        <v>15494.44</v>
      </c>
      <c r="O592" s="3070">
        <v>1894505</v>
      </c>
      <c r="P592" s="3070">
        <v>13251.48</v>
      </c>
      <c r="Q592" s="3070">
        <v>1620258</v>
      </c>
      <c r="R592" s="3070" t="s">
        <v>3227</v>
      </c>
      <c r="S592" s="3070" t="s">
        <v>8072</v>
      </c>
      <c r="T592" s="3070" t="s">
        <v>3246</v>
      </c>
      <c r="U592" s="3070" t="s">
        <v>3259</v>
      </c>
      <c r="V592" s="3070" t="s">
        <v>3230</v>
      </c>
      <c r="Y592" s="3070">
        <v>490258</v>
      </c>
      <c r="Z592" s="3070">
        <v>490258</v>
      </c>
      <c r="AA592" s="3070">
        <v>490258</v>
      </c>
      <c r="AB592" s="3070">
        <v>0</v>
      </c>
      <c r="AC592" s="3070">
        <v>1130000</v>
      </c>
      <c r="AD592" s="3070">
        <v>1130000</v>
      </c>
      <c r="AE592" s="3070">
        <v>0</v>
      </c>
      <c r="AI592" s="3070" t="s">
        <v>3227</v>
      </c>
      <c r="AJ592" s="3070">
        <v>0</v>
      </c>
      <c r="AK592" s="3070">
        <v>0</v>
      </c>
      <c r="AL592" s="3070">
        <v>0</v>
      </c>
      <c r="AM592" s="3070">
        <v>13251.48</v>
      </c>
      <c r="AN592" s="3070">
        <v>1620258</v>
      </c>
      <c r="AP592" s="3070">
        <v>1620258</v>
      </c>
      <c r="AQ592" s="3072">
        <v>45138</v>
      </c>
      <c r="AT592" s="3073">
        <v>45678</v>
      </c>
      <c r="AV592" s="3070" t="s">
        <v>8073</v>
      </c>
      <c r="AW592" s="3070" t="s">
        <v>8074</v>
      </c>
      <c r="AX592" s="3070" t="s">
        <v>8075</v>
      </c>
      <c r="AY592" s="3070" t="s">
        <v>3892</v>
      </c>
      <c r="BA592" s="3070" t="s">
        <v>3892</v>
      </c>
      <c r="BC592" s="3070" t="s">
        <v>8076</v>
      </c>
      <c r="BD592" s="3070" t="s">
        <v>3075</v>
      </c>
      <c r="BI592" s="3070" t="s">
        <v>3235</v>
      </c>
      <c r="BL592" s="3070" t="s">
        <v>8077</v>
      </c>
      <c r="BM592" s="3075">
        <v>44378</v>
      </c>
      <c r="BN592" s="3070">
        <v>1</v>
      </c>
      <c r="BO592" s="3070" t="s">
        <v>3253</v>
      </c>
      <c r="BR592" s="3070">
        <v>20</v>
      </c>
      <c r="BS592" s="3070" t="s">
        <v>3238</v>
      </c>
      <c r="BU592" s="3070" t="s">
        <v>3892</v>
      </c>
      <c r="BV592" s="3070" t="s">
        <v>8078</v>
      </c>
      <c r="BZ592" s="3073">
        <v>44195.820138888892</v>
      </c>
      <c r="CA592" s="3070">
        <v>7</v>
      </c>
      <c r="CD592" s="3070" t="s">
        <v>3239</v>
      </c>
      <c r="CF592" s="3070" t="s">
        <v>3091</v>
      </c>
      <c r="CH592" s="3070" t="s">
        <v>3240</v>
      </c>
      <c r="CI592" s="3070">
        <v>0</v>
      </c>
      <c r="CK592" s="3070" t="s">
        <v>4056</v>
      </c>
      <c r="CL592" s="3070" t="s">
        <v>4056</v>
      </c>
      <c r="CM592" s="3070">
        <v>1486475.23</v>
      </c>
      <c r="CV592" s="3070" t="s">
        <v>3246</v>
      </c>
      <c r="CW592" s="3070" t="s">
        <v>8079</v>
      </c>
      <c r="CX592" s="3070" t="s">
        <v>3311</v>
      </c>
      <c r="CZ592" s="3070">
        <v>213894.57</v>
      </c>
      <c r="DA592" s="3070">
        <v>159426.93</v>
      </c>
      <c r="DB592" s="3070">
        <v>0</v>
      </c>
      <c r="DC592" s="3070">
        <v>0</v>
      </c>
      <c r="DD592" s="3070">
        <v>3290547602</v>
      </c>
      <c r="DE592" s="3070">
        <v>2764253109</v>
      </c>
      <c r="DF592" s="3070">
        <v>1464966739</v>
      </c>
      <c r="DG592" s="3070">
        <v>14938370</v>
      </c>
      <c r="DH592" s="3070">
        <v>1284348000</v>
      </c>
      <c r="DI592" s="3070">
        <v>1278128000</v>
      </c>
      <c r="DJ592" s="3070">
        <v>6220000</v>
      </c>
      <c r="DK592" s="3070">
        <v>0</v>
      </c>
      <c r="DL592" s="3070">
        <v>0</v>
      </c>
      <c r="DM592" s="3070">
        <v>25491817.620000001</v>
      </c>
      <c r="DN592" s="3070">
        <v>2764253109</v>
      </c>
      <c r="DP592" s="3070">
        <v>2764253109</v>
      </c>
    </row>
    <row r="593" spans="1:120">
      <c r="A593" s="3070">
        <v>592</v>
      </c>
      <c r="B593" s="3070" t="s">
        <v>3224</v>
      </c>
      <c r="C593" s="3070">
        <v>7</v>
      </c>
      <c r="E593" s="3070">
        <v>1002</v>
      </c>
      <c r="F593" s="3070" t="s">
        <v>8080</v>
      </c>
      <c r="G593" s="3070" t="s">
        <v>8081</v>
      </c>
      <c r="H593" s="3070">
        <v>1276550</v>
      </c>
      <c r="I593" s="3070">
        <v>1276550</v>
      </c>
      <c r="J593" s="3070">
        <v>102.02</v>
      </c>
      <c r="K593" s="3070">
        <v>75.45</v>
      </c>
      <c r="L593" s="3070">
        <v>0</v>
      </c>
      <c r="M593" s="3070">
        <v>0</v>
      </c>
      <c r="N593" s="3070">
        <v>15444.44</v>
      </c>
      <c r="O593" s="3070">
        <v>1575642</v>
      </c>
      <c r="P593" s="3070">
        <v>12512.74</v>
      </c>
      <c r="Q593" s="3070">
        <v>1276550</v>
      </c>
      <c r="R593" s="3070" t="s">
        <v>3227</v>
      </c>
      <c r="S593" s="3070" t="s">
        <v>8082</v>
      </c>
      <c r="T593" s="3070" t="s">
        <v>3246</v>
      </c>
      <c r="U593" s="3070" t="s">
        <v>3279</v>
      </c>
      <c r="V593" s="3070" t="s">
        <v>3230</v>
      </c>
      <c r="Y593" s="3070">
        <v>776550</v>
      </c>
      <c r="Z593" s="3070">
        <v>686550</v>
      </c>
      <c r="AA593" s="3070">
        <v>776550</v>
      </c>
      <c r="AB593" s="3070">
        <v>0</v>
      </c>
      <c r="AC593" s="3070">
        <v>500000</v>
      </c>
      <c r="AD593" s="3070">
        <v>500000</v>
      </c>
      <c r="AE593" s="3070">
        <v>0</v>
      </c>
      <c r="AI593" s="3070" t="s">
        <v>3227</v>
      </c>
      <c r="AJ593" s="3070">
        <v>0</v>
      </c>
      <c r="AK593" s="3070">
        <v>0</v>
      </c>
      <c r="AL593" s="3070">
        <v>0</v>
      </c>
      <c r="AM593" s="3070">
        <v>12512.74</v>
      </c>
      <c r="AN593" s="3070">
        <v>1276550</v>
      </c>
      <c r="AP593" s="3070">
        <v>1276550</v>
      </c>
      <c r="AQ593" s="3072">
        <v>45138</v>
      </c>
      <c r="AT593" s="3073">
        <v>45678</v>
      </c>
      <c r="AV593" s="3070" t="s">
        <v>8083</v>
      </c>
      <c r="AW593" s="3070" t="s">
        <v>8084</v>
      </c>
      <c r="AX593" s="3070" t="s">
        <v>8085</v>
      </c>
      <c r="AY593" s="3070" t="s">
        <v>3760</v>
      </c>
      <c r="BC593" s="3070" t="s">
        <v>3284</v>
      </c>
      <c r="BD593" s="3070" t="s">
        <v>3077</v>
      </c>
      <c r="BI593" s="3070" t="s">
        <v>3235</v>
      </c>
      <c r="BJ593" s="3070" t="s">
        <v>3236</v>
      </c>
      <c r="BL593" s="3070" t="s">
        <v>8086</v>
      </c>
      <c r="BM593" s="3075">
        <v>44378</v>
      </c>
      <c r="BN593" s="3070">
        <v>2</v>
      </c>
      <c r="BO593" s="3070" t="s">
        <v>3253</v>
      </c>
      <c r="BR593" s="3070">
        <v>237</v>
      </c>
      <c r="BS593" s="3070" t="s">
        <v>3238</v>
      </c>
      <c r="BZ593" s="3073">
        <v>44142.593055555553</v>
      </c>
      <c r="CA593" s="3070">
        <v>7</v>
      </c>
      <c r="CD593" s="3070" t="s">
        <v>3239</v>
      </c>
      <c r="CF593" s="3070" t="s">
        <v>3091</v>
      </c>
      <c r="CH593" s="3070" t="s">
        <v>3240</v>
      </c>
      <c r="CI593" s="3070">
        <v>0</v>
      </c>
      <c r="CK593" s="3070" t="s">
        <v>3760</v>
      </c>
      <c r="CL593" s="3070" t="s">
        <v>3760</v>
      </c>
      <c r="CM593" s="3070">
        <v>1171146.79</v>
      </c>
      <c r="CV593" s="3070" t="s">
        <v>3246</v>
      </c>
      <c r="CW593" s="3070" t="s">
        <v>8087</v>
      </c>
      <c r="CX593" s="3070" t="s">
        <v>3267</v>
      </c>
      <c r="CZ593" s="3070">
        <v>213894.57</v>
      </c>
      <c r="DA593" s="3070">
        <v>159426.93</v>
      </c>
      <c r="DB593" s="3070">
        <v>0</v>
      </c>
      <c r="DC593" s="3070">
        <v>0</v>
      </c>
      <c r="DD593" s="3070">
        <v>3290547602</v>
      </c>
      <c r="DE593" s="3070">
        <v>2764253109</v>
      </c>
      <c r="DF593" s="3070">
        <v>1464966739</v>
      </c>
      <c r="DG593" s="3070">
        <v>14938370</v>
      </c>
      <c r="DH593" s="3070">
        <v>1284348000</v>
      </c>
      <c r="DI593" s="3070">
        <v>1278128000</v>
      </c>
      <c r="DJ593" s="3070">
        <v>6220000</v>
      </c>
      <c r="DK593" s="3070">
        <v>0</v>
      </c>
      <c r="DL593" s="3070">
        <v>0</v>
      </c>
      <c r="DM593" s="3070">
        <v>25491817.620000001</v>
      </c>
      <c r="DN593" s="3070">
        <v>2764253109</v>
      </c>
      <c r="DP593" s="3070">
        <v>2764253109</v>
      </c>
    </row>
    <row r="594" spans="1:120">
      <c r="A594" s="3070">
        <v>593</v>
      </c>
      <c r="B594" s="3070" t="s">
        <v>3224</v>
      </c>
      <c r="C594" s="3070">
        <v>7</v>
      </c>
      <c r="E594" s="3070">
        <v>1003</v>
      </c>
      <c r="F594" s="3070" t="s">
        <v>8088</v>
      </c>
      <c r="G594" s="3070" t="s">
        <v>8089</v>
      </c>
      <c r="H594" s="3070">
        <v>1276550</v>
      </c>
      <c r="I594" s="3070">
        <v>1276550</v>
      </c>
      <c r="J594" s="3070">
        <v>102.02</v>
      </c>
      <c r="K594" s="3070">
        <v>75.45</v>
      </c>
      <c r="L594" s="3070">
        <v>0</v>
      </c>
      <c r="M594" s="3070">
        <v>0</v>
      </c>
      <c r="N594" s="3070">
        <v>15444.44</v>
      </c>
      <c r="O594" s="3070">
        <v>1575642</v>
      </c>
      <c r="P594" s="3070">
        <v>12512.74</v>
      </c>
      <c r="Q594" s="3070">
        <v>1276550</v>
      </c>
      <c r="R594" s="3070" t="s">
        <v>3227</v>
      </c>
      <c r="S594" s="3070" t="s">
        <v>8090</v>
      </c>
      <c r="T594" s="3070" t="s">
        <v>3258</v>
      </c>
      <c r="U594" s="3070" t="s">
        <v>3259</v>
      </c>
      <c r="V594" s="3070" t="s">
        <v>3230</v>
      </c>
      <c r="Y594" s="3070">
        <v>396550</v>
      </c>
      <c r="Z594" s="3070">
        <v>506550</v>
      </c>
      <c r="AA594" s="3070">
        <v>506550</v>
      </c>
      <c r="AB594" s="3070">
        <v>0</v>
      </c>
      <c r="AC594" s="3070">
        <v>770000</v>
      </c>
      <c r="AD594" s="3070">
        <v>770000</v>
      </c>
      <c r="AE594" s="3070">
        <v>0</v>
      </c>
      <c r="AI594" s="3070" t="s">
        <v>3227</v>
      </c>
      <c r="AJ594" s="3070">
        <v>0</v>
      </c>
      <c r="AK594" s="3070">
        <v>0</v>
      </c>
      <c r="AL594" s="3070">
        <v>0</v>
      </c>
      <c r="AM594" s="3070">
        <v>12512.74</v>
      </c>
      <c r="AN594" s="3070">
        <v>1276550</v>
      </c>
      <c r="AP594" s="3070">
        <v>1276550</v>
      </c>
      <c r="AQ594" s="3072">
        <v>45138</v>
      </c>
      <c r="AT594" s="3073">
        <v>45678</v>
      </c>
      <c r="AV594" s="3070" t="s">
        <v>8091</v>
      </c>
      <c r="AW594" s="3070" t="s">
        <v>8092</v>
      </c>
      <c r="AX594" s="3070" t="s">
        <v>8093</v>
      </c>
      <c r="AY594" s="3070" t="s">
        <v>3597</v>
      </c>
      <c r="BC594" s="3070" t="s">
        <v>3263</v>
      </c>
      <c r="BD594" s="3070" t="s">
        <v>3077</v>
      </c>
      <c r="BI594" s="3070" t="s">
        <v>3295</v>
      </c>
      <c r="BJ594" s="3070" t="s">
        <v>3598</v>
      </c>
      <c r="BL594" s="3070" t="s">
        <v>8094</v>
      </c>
      <c r="BM594" s="3075">
        <v>44378</v>
      </c>
      <c r="BN594" s="3070">
        <v>3</v>
      </c>
      <c r="BO594" s="3070" t="s">
        <v>3253</v>
      </c>
      <c r="BP594" s="3070" t="s">
        <v>3253</v>
      </c>
      <c r="BR594" s="3070">
        <v>0</v>
      </c>
      <c r="BS594" s="3070" t="s">
        <v>3238</v>
      </c>
      <c r="BZ594" s="3073">
        <v>44149.776388888888</v>
      </c>
      <c r="CA594" s="3070">
        <v>7</v>
      </c>
      <c r="CD594" s="3070" t="s">
        <v>3239</v>
      </c>
      <c r="CF594" s="3070" t="s">
        <v>3091</v>
      </c>
      <c r="CH594" s="3070" t="s">
        <v>3240</v>
      </c>
      <c r="CI594" s="3070">
        <v>0</v>
      </c>
      <c r="CJ594" s="3070" t="s">
        <v>3259</v>
      </c>
      <c r="CK594" s="3070" t="s">
        <v>3419</v>
      </c>
      <c r="CL594" s="3070" t="s">
        <v>3597</v>
      </c>
      <c r="CM594" s="3070">
        <v>1171146.79</v>
      </c>
      <c r="CV594" s="3070" t="s">
        <v>3258</v>
      </c>
      <c r="CW594" s="3070" t="s">
        <v>8095</v>
      </c>
      <c r="CZ594" s="3070">
        <v>213894.57</v>
      </c>
      <c r="DA594" s="3070">
        <v>159426.93</v>
      </c>
      <c r="DB594" s="3070">
        <v>0</v>
      </c>
      <c r="DC594" s="3070">
        <v>0</v>
      </c>
      <c r="DD594" s="3070">
        <v>3290547602</v>
      </c>
      <c r="DE594" s="3070">
        <v>2764253109</v>
      </c>
      <c r="DF594" s="3070">
        <v>1464966739</v>
      </c>
      <c r="DG594" s="3070">
        <v>14938370</v>
      </c>
      <c r="DH594" s="3070">
        <v>1284348000</v>
      </c>
      <c r="DI594" s="3070">
        <v>1278128000</v>
      </c>
      <c r="DJ594" s="3070">
        <v>6220000</v>
      </c>
      <c r="DK594" s="3070">
        <v>0</v>
      </c>
      <c r="DL594" s="3070">
        <v>0</v>
      </c>
      <c r="DM594" s="3070">
        <v>25491817.620000001</v>
      </c>
      <c r="DN594" s="3070">
        <v>2764253109</v>
      </c>
      <c r="DP594" s="3070">
        <v>2764253109</v>
      </c>
    </row>
    <row r="595" spans="1:120">
      <c r="A595" s="3070">
        <v>594</v>
      </c>
      <c r="B595" s="3070" t="s">
        <v>3224</v>
      </c>
      <c r="C595" s="3070">
        <v>7</v>
      </c>
      <c r="E595" s="3070">
        <v>1004</v>
      </c>
      <c r="F595" s="3070" t="s">
        <v>8096</v>
      </c>
      <c r="G595" s="3070" t="s">
        <v>8097</v>
      </c>
      <c r="H595" s="3070">
        <v>1524123</v>
      </c>
      <c r="I595" s="3070">
        <v>1524123</v>
      </c>
      <c r="J595" s="3070">
        <v>122.27</v>
      </c>
      <c r="K595" s="3070">
        <v>90.43</v>
      </c>
      <c r="L595" s="3070">
        <v>0</v>
      </c>
      <c r="M595" s="3070">
        <v>0</v>
      </c>
      <c r="N595" s="3070">
        <v>15394.44</v>
      </c>
      <c r="O595" s="3070">
        <v>1882278</v>
      </c>
      <c r="P595" s="3070">
        <v>12465.22</v>
      </c>
      <c r="Q595" s="3070">
        <v>1524123</v>
      </c>
      <c r="R595" s="3070" t="s">
        <v>3227</v>
      </c>
      <c r="S595" s="3070" t="s">
        <v>8098</v>
      </c>
      <c r="T595" s="3070" t="s">
        <v>3246</v>
      </c>
      <c r="U595" s="3070" t="s">
        <v>3259</v>
      </c>
      <c r="V595" s="3070" t="s">
        <v>3230</v>
      </c>
      <c r="Y595" s="3070">
        <v>824123</v>
      </c>
      <c r="Z595" s="3070">
        <v>824123</v>
      </c>
      <c r="AA595" s="3070">
        <v>824123</v>
      </c>
      <c r="AB595" s="3070">
        <v>0</v>
      </c>
      <c r="AC595" s="3070">
        <v>700000</v>
      </c>
      <c r="AD595" s="3070">
        <v>700000</v>
      </c>
      <c r="AE595" s="3070">
        <v>0</v>
      </c>
      <c r="AI595" s="3070" t="s">
        <v>3227</v>
      </c>
      <c r="AJ595" s="3070">
        <v>0</v>
      </c>
      <c r="AK595" s="3070">
        <v>0</v>
      </c>
      <c r="AL595" s="3070">
        <v>0</v>
      </c>
      <c r="AM595" s="3070">
        <v>12465.22</v>
      </c>
      <c r="AN595" s="3070">
        <v>1524123</v>
      </c>
      <c r="AP595" s="3070">
        <v>1524123</v>
      </c>
      <c r="AQ595" s="3072">
        <v>45138</v>
      </c>
      <c r="AT595" s="3073">
        <v>45678</v>
      </c>
      <c r="AV595" s="3070" t="s">
        <v>8099</v>
      </c>
      <c r="AW595" s="3070" t="s">
        <v>8100</v>
      </c>
      <c r="AX595" s="3070" t="s">
        <v>8101</v>
      </c>
      <c r="AY595" s="3070" t="s">
        <v>3233</v>
      </c>
      <c r="BC595" s="3070" t="s">
        <v>3284</v>
      </c>
      <c r="BD595" s="3070" t="s">
        <v>3075</v>
      </c>
      <c r="BI595" s="3070" t="s">
        <v>3235</v>
      </c>
      <c r="BL595" s="3070" t="s">
        <v>8102</v>
      </c>
      <c r="BM595" s="3075">
        <v>44378</v>
      </c>
      <c r="BN595" s="3070">
        <v>4</v>
      </c>
      <c r="BO595" s="3070" t="s">
        <v>3253</v>
      </c>
      <c r="BR595" s="3070">
        <v>910</v>
      </c>
      <c r="BS595" s="3070" t="s">
        <v>3238</v>
      </c>
      <c r="BZ595" s="3073">
        <v>44142.96597222222</v>
      </c>
      <c r="CA595" s="3070">
        <v>7</v>
      </c>
      <c r="CD595" s="3070" t="s">
        <v>3239</v>
      </c>
      <c r="CF595" s="3070" t="s">
        <v>3091</v>
      </c>
      <c r="CH595" s="3070" t="s">
        <v>3240</v>
      </c>
      <c r="CI595" s="3070">
        <v>0</v>
      </c>
      <c r="CK595" s="3070" t="s">
        <v>3233</v>
      </c>
      <c r="CL595" s="3070" t="s">
        <v>3233</v>
      </c>
      <c r="CM595" s="3070">
        <v>1398277.98</v>
      </c>
      <c r="CV595" s="3070" t="s">
        <v>3246</v>
      </c>
      <c r="CW595" s="3070" t="s">
        <v>8103</v>
      </c>
      <c r="CX595" s="3070" t="s">
        <v>3267</v>
      </c>
      <c r="CZ595" s="3070">
        <v>213894.57</v>
      </c>
      <c r="DA595" s="3070">
        <v>159426.93</v>
      </c>
      <c r="DB595" s="3070">
        <v>0</v>
      </c>
      <c r="DC595" s="3070">
        <v>0</v>
      </c>
      <c r="DD595" s="3070">
        <v>3290547602</v>
      </c>
      <c r="DE595" s="3070">
        <v>2764253109</v>
      </c>
      <c r="DF595" s="3070">
        <v>1464966739</v>
      </c>
      <c r="DG595" s="3070">
        <v>14938370</v>
      </c>
      <c r="DH595" s="3070">
        <v>1284348000</v>
      </c>
      <c r="DI595" s="3070">
        <v>1278128000</v>
      </c>
      <c r="DJ595" s="3070">
        <v>6220000</v>
      </c>
      <c r="DK595" s="3070">
        <v>0</v>
      </c>
      <c r="DL595" s="3070">
        <v>0</v>
      </c>
      <c r="DM595" s="3070">
        <v>25491817.620000001</v>
      </c>
      <c r="DN595" s="3070">
        <v>2764253109</v>
      </c>
      <c r="DP595" s="3070">
        <v>2764253109</v>
      </c>
    </row>
    <row r="596" spans="1:120">
      <c r="A596" s="3070">
        <v>595</v>
      </c>
      <c r="B596" s="3070" t="s">
        <v>3224</v>
      </c>
      <c r="C596" s="3070">
        <v>7</v>
      </c>
      <c r="E596" s="3070">
        <v>101</v>
      </c>
      <c r="F596" s="3070" t="s">
        <v>8104</v>
      </c>
      <c r="G596" s="3070" t="s">
        <v>8105</v>
      </c>
      <c r="H596" s="3070">
        <v>1092208</v>
      </c>
      <c r="I596" s="3070">
        <v>1092208</v>
      </c>
      <c r="J596" s="3070">
        <v>122.38</v>
      </c>
      <c r="K596" s="3070">
        <v>90.51</v>
      </c>
      <c r="L596" s="3070">
        <v>0</v>
      </c>
      <c r="M596" s="3070">
        <v>0</v>
      </c>
      <c r="N596" s="3070">
        <v>14944.44</v>
      </c>
      <c r="O596" s="3070">
        <v>1828901</v>
      </c>
      <c r="P596" s="3070">
        <v>8924.73</v>
      </c>
      <c r="Q596" s="3070">
        <v>1092208</v>
      </c>
      <c r="R596" s="3070" t="s">
        <v>3227</v>
      </c>
      <c r="S596" s="3070" t="s">
        <v>8106</v>
      </c>
      <c r="T596" s="3070" t="s">
        <v>3425</v>
      </c>
      <c r="V596" s="3070" t="s">
        <v>3230</v>
      </c>
      <c r="Y596" s="3070">
        <v>592208</v>
      </c>
      <c r="Z596" s="3070">
        <v>546104</v>
      </c>
      <c r="AA596" s="3070">
        <v>592208</v>
      </c>
      <c r="AB596" s="3070">
        <v>0</v>
      </c>
      <c r="AC596" s="3070">
        <v>500000</v>
      </c>
      <c r="AD596" s="3070">
        <v>500000</v>
      </c>
      <c r="AE596" s="3070">
        <v>0</v>
      </c>
      <c r="AI596" s="3070" t="s">
        <v>3227</v>
      </c>
      <c r="AJ596" s="3070">
        <v>0</v>
      </c>
      <c r="AK596" s="3070">
        <v>0</v>
      </c>
      <c r="AL596" s="3070">
        <v>0</v>
      </c>
      <c r="AM596" s="3070">
        <v>8924.73</v>
      </c>
      <c r="AN596" s="3070">
        <v>1092208</v>
      </c>
      <c r="AP596" s="3070">
        <v>1092208</v>
      </c>
      <c r="AQ596" s="3072">
        <v>45138</v>
      </c>
      <c r="AT596" s="3073">
        <v>45678</v>
      </c>
      <c r="AV596" s="3070" t="s">
        <v>8107</v>
      </c>
      <c r="AW596" s="3070" t="s">
        <v>8108</v>
      </c>
      <c r="AX596" s="3070" t="s">
        <v>8109</v>
      </c>
      <c r="AY596" s="3070" t="s">
        <v>3981</v>
      </c>
      <c r="BC596" s="3070" t="s">
        <v>8110</v>
      </c>
      <c r="BD596" s="3070" t="s">
        <v>3075</v>
      </c>
      <c r="BI596" s="3070" t="s">
        <v>3235</v>
      </c>
      <c r="BJ596" s="3070" t="s">
        <v>3296</v>
      </c>
      <c r="BL596" s="3070" t="s">
        <v>8111</v>
      </c>
      <c r="BM596" s="3075">
        <v>44378</v>
      </c>
      <c r="BN596" s="3070">
        <v>1</v>
      </c>
      <c r="BP596" s="3070" t="s">
        <v>3253</v>
      </c>
      <c r="BR596" s="3070">
        <v>0</v>
      </c>
      <c r="BS596" s="3070" t="s">
        <v>3238</v>
      </c>
      <c r="BV596" s="3070" t="s">
        <v>8112</v>
      </c>
      <c r="BW596" s="3070" t="s">
        <v>8113</v>
      </c>
      <c r="BX596" s="3070" t="s">
        <v>8114</v>
      </c>
      <c r="BZ596" s="3073">
        <v>44269.384722222225</v>
      </c>
      <c r="CA596" s="3070">
        <v>7</v>
      </c>
      <c r="CD596" s="3070" t="s">
        <v>3239</v>
      </c>
      <c r="CF596" s="3070" t="s">
        <v>3091</v>
      </c>
      <c r="CH596" s="3070" t="s">
        <v>3240</v>
      </c>
      <c r="CI596" s="3070">
        <v>0</v>
      </c>
      <c r="CJ596" s="3070" t="s">
        <v>3259</v>
      </c>
      <c r="CK596" s="3070" t="s">
        <v>3985</v>
      </c>
      <c r="CL596" s="3070" t="s">
        <v>5292</v>
      </c>
      <c r="CM596" s="3070">
        <v>1002025.69</v>
      </c>
      <c r="CV596" s="3070" t="s">
        <v>3425</v>
      </c>
      <c r="CW596" s="3070" t="s">
        <v>8115</v>
      </c>
      <c r="CX596" s="3070" t="s">
        <v>3510</v>
      </c>
      <c r="CZ596" s="3070">
        <v>213894.57</v>
      </c>
      <c r="DA596" s="3070">
        <v>159426.93</v>
      </c>
      <c r="DB596" s="3070">
        <v>0</v>
      </c>
      <c r="DC596" s="3070">
        <v>0</v>
      </c>
      <c r="DD596" s="3070">
        <v>3290547602</v>
      </c>
      <c r="DE596" s="3070">
        <v>2764253109</v>
      </c>
      <c r="DF596" s="3070">
        <v>1464966739</v>
      </c>
      <c r="DG596" s="3070">
        <v>14938370</v>
      </c>
      <c r="DH596" s="3070">
        <v>1284348000</v>
      </c>
      <c r="DI596" s="3070">
        <v>1278128000</v>
      </c>
      <c r="DJ596" s="3070">
        <v>6220000</v>
      </c>
      <c r="DK596" s="3070">
        <v>0</v>
      </c>
      <c r="DL596" s="3070">
        <v>0</v>
      </c>
      <c r="DM596" s="3070">
        <v>25491817.620000001</v>
      </c>
      <c r="DN596" s="3070">
        <v>2764253109</v>
      </c>
      <c r="DP596" s="3070">
        <v>2764253109</v>
      </c>
    </row>
    <row r="597" spans="1:120">
      <c r="A597" s="3070">
        <v>596</v>
      </c>
      <c r="B597" s="3070" t="s">
        <v>3224</v>
      </c>
      <c r="C597" s="3070">
        <v>7</v>
      </c>
      <c r="E597" s="3070">
        <v>104</v>
      </c>
      <c r="F597" s="3070" t="s">
        <v>8116</v>
      </c>
      <c r="G597" s="3070" t="s">
        <v>8117</v>
      </c>
      <c r="H597" s="3070">
        <v>1084498</v>
      </c>
      <c r="I597" s="3070">
        <v>1084498</v>
      </c>
      <c r="J597" s="3070">
        <v>122.38</v>
      </c>
      <c r="K597" s="3070">
        <v>90.51</v>
      </c>
      <c r="L597" s="3070">
        <v>0</v>
      </c>
      <c r="M597" s="3070">
        <v>0</v>
      </c>
      <c r="N597" s="3070">
        <v>14844.44</v>
      </c>
      <c r="O597" s="3070">
        <v>1816663</v>
      </c>
      <c r="P597" s="3070">
        <v>8861.73</v>
      </c>
      <c r="Q597" s="3070">
        <v>1084498</v>
      </c>
      <c r="R597" s="3070" t="s">
        <v>3227</v>
      </c>
      <c r="S597" s="3070" t="s">
        <v>8118</v>
      </c>
      <c r="T597" s="3070" t="s">
        <v>3878</v>
      </c>
      <c r="U597" s="3070" t="s">
        <v>3279</v>
      </c>
      <c r="V597" s="3070" t="s">
        <v>3230</v>
      </c>
      <c r="Y597" s="3070">
        <v>544498</v>
      </c>
      <c r="Z597" s="3070">
        <v>544498</v>
      </c>
      <c r="AA597" s="3070">
        <v>544498</v>
      </c>
      <c r="AB597" s="3070">
        <v>0</v>
      </c>
      <c r="AC597" s="3070">
        <v>540000</v>
      </c>
      <c r="AD597" s="3070">
        <v>540000</v>
      </c>
      <c r="AE597" s="3070">
        <v>0</v>
      </c>
      <c r="AI597" s="3070" t="s">
        <v>3227</v>
      </c>
      <c r="AJ597" s="3070">
        <v>0</v>
      </c>
      <c r="AK597" s="3070">
        <v>0</v>
      </c>
      <c r="AL597" s="3070">
        <v>0</v>
      </c>
      <c r="AM597" s="3070">
        <v>8861.73</v>
      </c>
      <c r="AN597" s="3070">
        <v>1084498</v>
      </c>
      <c r="AP597" s="3070">
        <v>1084498</v>
      </c>
      <c r="AQ597" s="3072">
        <v>45138</v>
      </c>
      <c r="AT597" s="3073">
        <v>45678</v>
      </c>
      <c r="AV597" s="3070" t="s">
        <v>8119</v>
      </c>
      <c r="AW597" s="3070" t="s">
        <v>8120</v>
      </c>
      <c r="AX597" s="3070" t="s">
        <v>8121</v>
      </c>
      <c r="AY597" s="3070" t="s">
        <v>4065</v>
      </c>
      <c r="BC597" s="3070" t="s">
        <v>4133</v>
      </c>
      <c r="BD597" s="3070" t="s">
        <v>3075</v>
      </c>
      <c r="BI597" s="3070" t="s">
        <v>3235</v>
      </c>
      <c r="BJ597" s="3070" t="s">
        <v>3296</v>
      </c>
      <c r="BL597" s="3070" t="s">
        <v>8122</v>
      </c>
      <c r="BM597" s="3075">
        <v>44378</v>
      </c>
      <c r="BN597" s="3070">
        <v>4</v>
      </c>
      <c r="BO597" s="3070" t="s">
        <v>3253</v>
      </c>
      <c r="BR597" s="3070">
        <v>0</v>
      </c>
      <c r="BS597" s="3070" t="s">
        <v>3238</v>
      </c>
      <c r="BV597" s="3070" t="s">
        <v>8123</v>
      </c>
      <c r="BW597" s="3070" t="s">
        <v>8124</v>
      </c>
      <c r="BX597" s="3070" t="s">
        <v>8125</v>
      </c>
      <c r="BZ597" s="3073">
        <v>44269.4</v>
      </c>
      <c r="CA597" s="3070">
        <v>7</v>
      </c>
      <c r="CD597" s="3070" t="s">
        <v>3239</v>
      </c>
      <c r="CF597" s="3070" t="s">
        <v>3091</v>
      </c>
      <c r="CH597" s="3070" t="s">
        <v>3240</v>
      </c>
      <c r="CI597" s="3070">
        <v>0</v>
      </c>
      <c r="CK597" s="3070" t="s">
        <v>4068</v>
      </c>
      <c r="CL597" s="3070" t="s">
        <v>4167</v>
      </c>
      <c r="CM597" s="3070">
        <v>994952.29</v>
      </c>
      <c r="CV597" s="3070" t="s">
        <v>3246</v>
      </c>
      <c r="CW597" s="3070" t="s">
        <v>8126</v>
      </c>
      <c r="CX597" s="3070" t="s">
        <v>3242</v>
      </c>
      <c r="CZ597" s="3070">
        <v>213894.57</v>
      </c>
      <c r="DA597" s="3070">
        <v>159426.93</v>
      </c>
      <c r="DB597" s="3070">
        <v>0</v>
      </c>
      <c r="DC597" s="3070">
        <v>0</v>
      </c>
      <c r="DD597" s="3070">
        <v>3290547602</v>
      </c>
      <c r="DE597" s="3070">
        <v>2764253109</v>
      </c>
      <c r="DF597" s="3070">
        <v>1464966739</v>
      </c>
      <c r="DG597" s="3070">
        <v>14938370</v>
      </c>
      <c r="DH597" s="3070">
        <v>1284348000</v>
      </c>
      <c r="DI597" s="3070">
        <v>1278128000</v>
      </c>
      <c r="DJ597" s="3070">
        <v>6220000</v>
      </c>
      <c r="DK597" s="3070">
        <v>0</v>
      </c>
      <c r="DL597" s="3070">
        <v>0</v>
      </c>
      <c r="DM597" s="3070">
        <v>25491817.620000001</v>
      </c>
      <c r="DN597" s="3070">
        <v>2764253109</v>
      </c>
      <c r="DP597" s="3070">
        <v>2764253109</v>
      </c>
    </row>
    <row r="598" spans="1:120">
      <c r="A598" s="3070">
        <v>597</v>
      </c>
      <c r="B598" s="3070" t="s">
        <v>3224</v>
      </c>
      <c r="C598" s="3070">
        <v>7</v>
      </c>
      <c r="E598" s="3070">
        <v>1101</v>
      </c>
      <c r="F598" s="3070" t="s">
        <v>8127</v>
      </c>
      <c r="G598" s="3070" t="s">
        <v>8128</v>
      </c>
      <c r="H598" s="3070">
        <v>1608643</v>
      </c>
      <c r="I598" s="3070">
        <v>1608643</v>
      </c>
      <c r="J598" s="3070">
        <v>122.27</v>
      </c>
      <c r="K598" s="3070">
        <v>90.43</v>
      </c>
      <c r="L598" s="3070">
        <v>0</v>
      </c>
      <c r="M598" s="3070">
        <v>0</v>
      </c>
      <c r="N598" s="3070">
        <v>15544.44</v>
      </c>
      <c r="O598" s="3070">
        <v>1900619</v>
      </c>
      <c r="P598" s="3070">
        <v>13156.48</v>
      </c>
      <c r="Q598" s="3070">
        <v>1608643</v>
      </c>
      <c r="R598" s="3070" t="s">
        <v>3227</v>
      </c>
      <c r="S598" s="3070" t="s">
        <v>8129</v>
      </c>
      <c r="T598" s="3070" t="s">
        <v>3476</v>
      </c>
      <c r="U598" s="3070" t="s">
        <v>3371</v>
      </c>
      <c r="V598" s="3070" t="s">
        <v>3230</v>
      </c>
      <c r="Y598" s="3070">
        <v>193037</v>
      </c>
      <c r="Z598" s="3070">
        <v>193037</v>
      </c>
      <c r="AA598" s="3070">
        <v>488643</v>
      </c>
      <c r="AB598" s="3070">
        <v>0</v>
      </c>
      <c r="AC598" s="3070">
        <v>1120000</v>
      </c>
      <c r="AD598" s="3070">
        <v>1120000</v>
      </c>
      <c r="AE598" s="3070">
        <v>0</v>
      </c>
      <c r="AI598" s="3070" t="s">
        <v>3227</v>
      </c>
      <c r="AJ598" s="3070">
        <v>0</v>
      </c>
      <c r="AK598" s="3070">
        <v>0</v>
      </c>
      <c r="AL598" s="3070">
        <v>0</v>
      </c>
      <c r="AM598" s="3070">
        <v>13156.48</v>
      </c>
      <c r="AN598" s="3070">
        <v>1608643</v>
      </c>
      <c r="AP598" s="3070">
        <v>1608643</v>
      </c>
      <c r="AQ598" s="3072">
        <v>45138</v>
      </c>
      <c r="AT598" s="3073">
        <v>45678</v>
      </c>
      <c r="AV598" s="3074">
        <v>3.21E+17</v>
      </c>
      <c r="AW598" s="3070" t="s">
        <v>8130</v>
      </c>
      <c r="AX598" s="3070" t="s">
        <v>8131</v>
      </c>
      <c r="AY598" s="3070" t="s">
        <v>3318</v>
      </c>
      <c r="BA598" s="3070" t="s">
        <v>3587</v>
      </c>
      <c r="BC598" s="3070" t="s">
        <v>8132</v>
      </c>
      <c r="BD598" s="3070" t="s">
        <v>3075</v>
      </c>
      <c r="BI598" s="3070" t="s">
        <v>3235</v>
      </c>
      <c r="BL598" s="3070" t="s">
        <v>8133</v>
      </c>
      <c r="BM598" s="3075">
        <v>44378</v>
      </c>
      <c r="BN598" s="3070">
        <v>101</v>
      </c>
      <c r="BO598" s="3070" t="s">
        <v>3253</v>
      </c>
      <c r="BR598" s="3070">
        <v>16</v>
      </c>
      <c r="BS598" s="3070" t="s">
        <v>3238</v>
      </c>
      <c r="BU598" s="3070" t="s">
        <v>3587</v>
      </c>
      <c r="BV598" s="3070" t="s">
        <v>8134</v>
      </c>
      <c r="BZ598" s="3073">
        <v>44174.708333333336</v>
      </c>
      <c r="CA598" s="3070">
        <v>7</v>
      </c>
      <c r="CD598" s="3070" t="s">
        <v>3239</v>
      </c>
      <c r="CF598" s="3070" t="s">
        <v>3091</v>
      </c>
      <c r="CH598" s="3070" t="s">
        <v>3240</v>
      </c>
      <c r="CI598" s="3070">
        <v>0</v>
      </c>
      <c r="CK598" s="3070" t="s">
        <v>3318</v>
      </c>
      <c r="CL598" s="3070" t="s">
        <v>3318</v>
      </c>
      <c r="CM598" s="3070">
        <v>1475819.27</v>
      </c>
      <c r="CV598" s="3070" t="s">
        <v>3482</v>
      </c>
      <c r="CW598" s="3070" t="s">
        <v>8135</v>
      </c>
      <c r="CX598" s="3070" t="s">
        <v>3242</v>
      </c>
      <c r="CZ598" s="3070">
        <v>213894.57</v>
      </c>
      <c r="DA598" s="3070">
        <v>159426.93</v>
      </c>
      <c r="DB598" s="3070">
        <v>0</v>
      </c>
      <c r="DC598" s="3070">
        <v>0</v>
      </c>
      <c r="DD598" s="3070">
        <v>3290547602</v>
      </c>
      <c r="DE598" s="3070">
        <v>2764253109</v>
      </c>
      <c r="DF598" s="3070">
        <v>1464966739</v>
      </c>
      <c r="DG598" s="3070">
        <v>14938370</v>
      </c>
      <c r="DH598" s="3070">
        <v>1284348000</v>
      </c>
      <c r="DI598" s="3070">
        <v>1278128000</v>
      </c>
      <c r="DJ598" s="3070">
        <v>6220000</v>
      </c>
      <c r="DK598" s="3070">
        <v>0</v>
      </c>
      <c r="DL598" s="3070">
        <v>0</v>
      </c>
      <c r="DM598" s="3070">
        <v>25491817.620000001</v>
      </c>
      <c r="DN598" s="3070">
        <v>2764253109</v>
      </c>
      <c r="DP598" s="3070">
        <v>2764253109</v>
      </c>
    </row>
    <row r="599" spans="1:120">
      <c r="A599" s="3070">
        <v>598</v>
      </c>
      <c r="B599" s="3070" t="s">
        <v>3224</v>
      </c>
      <c r="C599" s="3070">
        <v>7</v>
      </c>
      <c r="E599" s="3070">
        <v>1102</v>
      </c>
      <c r="F599" s="3070" t="s">
        <v>8136</v>
      </c>
      <c r="G599" s="3070" t="s">
        <v>8137</v>
      </c>
      <c r="H599" s="3070">
        <v>1281399</v>
      </c>
      <c r="I599" s="3070">
        <v>1281399</v>
      </c>
      <c r="J599" s="3070">
        <v>102.02</v>
      </c>
      <c r="K599" s="3070">
        <v>75.45</v>
      </c>
      <c r="L599" s="3070">
        <v>0</v>
      </c>
      <c r="M599" s="3070">
        <v>0</v>
      </c>
      <c r="N599" s="3070">
        <v>15494.44</v>
      </c>
      <c r="O599" s="3070">
        <v>1580743</v>
      </c>
      <c r="P599" s="3070">
        <v>12560.27</v>
      </c>
      <c r="Q599" s="3070">
        <v>1281399</v>
      </c>
      <c r="R599" s="3070" t="s">
        <v>3227</v>
      </c>
      <c r="S599" s="3070" t="s">
        <v>8138</v>
      </c>
      <c r="T599" s="3070" t="s">
        <v>3246</v>
      </c>
      <c r="U599" s="3070" t="s">
        <v>3279</v>
      </c>
      <c r="V599" s="3070" t="s">
        <v>3230</v>
      </c>
      <c r="Y599" s="3070">
        <v>881399</v>
      </c>
      <c r="Z599" s="3070">
        <v>881399</v>
      </c>
      <c r="AA599" s="3070">
        <v>881399</v>
      </c>
      <c r="AB599" s="3070">
        <v>0</v>
      </c>
      <c r="AC599" s="3070">
        <v>400000</v>
      </c>
      <c r="AD599" s="3070">
        <v>400000</v>
      </c>
      <c r="AE599" s="3070">
        <v>0</v>
      </c>
      <c r="AI599" s="3070" t="s">
        <v>3227</v>
      </c>
      <c r="AJ599" s="3070">
        <v>0</v>
      </c>
      <c r="AK599" s="3070">
        <v>0</v>
      </c>
      <c r="AL599" s="3070">
        <v>0</v>
      </c>
      <c r="AM599" s="3070">
        <v>12560.27</v>
      </c>
      <c r="AN599" s="3070">
        <v>1281399</v>
      </c>
      <c r="AP599" s="3070">
        <v>1281399</v>
      </c>
      <c r="AQ599" s="3072">
        <v>45138</v>
      </c>
      <c r="AT599" s="3073">
        <v>45678</v>
      </c>
      <c r="AV599" s="3070" t="s">
        <v>8139</v>
      </c>
      <c r="AW599" s="3070" t="s">
        <v>8140</v>
      </c>
      <c r="AX599" s="3070" t="s">
        <v>8141</v>
      </c>
      <c r="AY599" s="3070" t="s">
        <v>3364</v>
      </c>
      <c r="BC599" s="3070" t="s">
        <v>3284</v>
      </c>
      <c r="BD599" s="3070" t="s">
        <v>3077</v>
      </c>
      <c r="BI599" s="3070" t="s">
        <v>3235</v>
      </c>
      <c r="BJ599" s="3070" t="s">
        <v>3236</v>
      </c>
      <c r="BL599" s="3070" t="s">
        <v>8142</v>
      </c>
      <c r="BM599" s="3075">
        <v>44378</v>
      </c>
      <c r="BN599" s="3070">
        <v>102</v>
      </c>
      <c r="BO599" s="3070" t="s">
        <v>3253</v>
      </c>
      <c r="BR599" s="3070">
        <v>239</v>
      </c>
      <c r="BS599" s="3070" t="s">
        <v>3238</v>
      </c>
      <c r="BZ599" s="3073">
        <v>44142.958333333336</v>
      </c>
      <c r="CA599" s="3070">
        <v>7</v>
      </c>
      <c r="CD599" s="3070" t="s">
        <v>3239</v>
      </c>
      <c r="CF599" s="3070" t="s">
        <v>3091</v>
      </c>
      <c r="CH599" s="3070" t="s">
        <v>3240</v>
      </c>
      <c r="CI599" s="3070">
        <v>0</v>
      </c>
      <c r="CK599" s="3070" t="s">
        <v>3364</v>
      </c>
      <c r="CL599" s="3070" t="s">
        <v>3364</v>
      </c>
      <c r="CM599" s="3070">
        <v>1175595.4099999999</v>
      </c>
      <c r="CV599" s="3070" t="s">
        <v>3246</v>
      </c>
      <c r="CW599" s="3070" t="s">
        <v>8143</v>
      </c>
      <c r="CX599" s="3070" t="s">
        <v>3510</v>
      </c>
      <c r="CZ599" s="3070">
        <v>213894.57</v>
      </c>
      <c r="DA599" s="3070">
        <v>159426.93</v>
      </c>
      <c r="DB599" s="3070">
        <v>0</v>
      </c>
      <c r="DC599" s="3070">
        <v>0</v>
      </c>
      <c r="DD599" s="3070">
        <v>3290547602</v>
      </c>
      <c r="DE599" s="3070">
        <v>2764253109</v>
      </c>
      <c r="DF599" s="3070">
        <v>1464966739</v>
      </c>
      <c r="DG599" s="3070">
        <v>14938370</v>
      </c>
      <c r="DH599" s="3070">
        <v>1284348000</v>
      </c>
      <c r="DI599" s="3070">
        <v>1278128000</v>
      </c>
      <c r="DJ599" s="3070">
        <v>6220000</v>
      </c>
      <c r="DK599" s="3070">
        <v>0</v>
      </c>
      <c r="DL599" s="3070">
        <v>0</v>
      </c>
      <c r="DM599" s="3070">
        <v>25491817.620000001</v>
      </c>
      <c r="DN599" s="3070">
        <v>2764253109</v>
      </c>
      <c r="DP599" s="3070">
        <v>2764253109</v>
      </c>
    </row>
    <row r="600" spans="1:120">
      <c r="A600" s="3070">
        <v>599</v>
      </c>
      <c r="B600" s="3070" t="s">
        <v>3224</v>
      </c>
      <c r="C600" s="3070">
        <v>7</v>
      </c>
      <c r="E600" s="3070">
        <v>1103</v>
      </c>
      <c r="F600" s="3070" t="s">
        <v>8144</v>
      </c>
      <c r="G600" s="3070" t="s">
        <v>8145</v>
      </c>
      <c r="H600" s="3070">
        <v>1281399</v>
      </c>
      <c r="I600" s="3070">
        <v>1281399</v>
      </c>
      <c r="J600" s="3070">
        <v>102.02</v>
      </c>
      <c r="K600" s="3070">
        <v>75.45</v>
      </c>
      <c r="L600" s="3070">
        <v>0</v>
      </c>
      <c r="M600" s="3070">
        <v>0</v>
      </c>
      <c r="N600" s="3070">
        <v>15494.44</v>
      </c>
      <c r="O600" s="3070">
        <v>1580743</v>
      </c>
      <c r="P600" s="3070">
        <v>12560.27</v>
      </c>
      <c r="Q600" s="3070">
        <v>1281399</v>
      </c>
      <c r="R600" s="3070" t="s">
        <v>3227</v>
      </c>
      <c r="S600" s="3070" t="s">
        <v>8146</v>
      </c>
      <c r="T600" s="3070" t="s">
        <v>3258</v>
      </c>
      <c r="U600" s="3070" t="s">
        <v>3259</v>
      </c>
      <c r="V600" s="3070" t="s">
        <v>3230</v>
      </c>
      <c r="Y600" s="3070">
        <v>631399</v>
      </c>
      <c r="Z600" s="3070">
        <v>631399</v>
      </c>
      <c r="AA600" s="3070">
        <v>631399</v>
      </c>
      <c r="AB600" s="3070">
        <v>0</v>
      </c>
      <c r="AC600" s="3070">
        <v>650000</v>
      </c>
      <c r="AD600" s="3070">
        <v>650000</v>
      </c>
      <c r="AE600" s="3070">
        <v>0</v>
      </c>
      <c r="AI600" s="3070" t="s">
        <v>3227</v>
      </c>
      <c r="AJ600" s="3070">
        <v>0</v>
      </c>
      <c r="AK600" s="3070">
        <v>0</v>
      </c>
      <c r="AL600" s="3070">
        <v>0</v>
      </c>
      <c r="AM600" s="3070">
        <v>12560.27</v>
      </c>
      <c r="AN600" s="3070">
        <v>1281399</v>
      </c>
      <c r="AP600" s="3070">
        <v>1281399</v>
      </c>
      <c r="AQ600" s="3072">
        <v>45138</v>
      </c>
      <c r="AT600" s="3073">
        <v>45678</v>
      </c>
      <c r="AV600" s="3070" t="s">
        <v>8147</v>
      </c>
      <c r="AW600" s="3070" t="s">
        <v>8148</v>
      </c>
      <c r="AX600" s="3070" t="s">
        <v>8149</v>
      </c>
      <c r="AY600" s="3070" t="s">
        <v>3656</v>
      </c>
      <c r="BC600" s="3070" t="s">
        <v>3263</v>
      </c>
      <c r="BD600" s="3070" t="s">
        <v>3077</v>
      </c>
      <c r="BI600" s="3070" t="s">
        <v>3295</v>
      </c>
      <c r="BL600" s="3070" t="s">
        <v>8150</v>
      </c>
      <c r="BM600" s="3075">
        <v>44378</v>
      </c>
      <c r="BN600" s="3070">
        <v>103</v>
      </c>
      <c r="BO600" s="3070" t="s">
        <v>3253</v>
      </c>
      <c r="BP600" s="3070" t="s">
        <v>3253</v>
      </c>
      <c r="BR600" s="3070">
        <v>829</v>
      </c>
      <c r="BS600" s="3070" t="s">
        <v>3238</v>
      </c>
      <c r="BZ600" s="3073">
        <v>44142.965277777781</v>
      </c>
      <c r="CA600" s="3070">
        <v>7</v>
      </c>
      <c r="CD600" s="3070" t="s">
        <v>3239</v>
      </c>
      <c r="CF600" s="3070" t="s">
        <v>3091</v>
      </c>
      <c r="CH600" s="3070" t="s">
        <v>3240</v>
      </c>
      <c r="CI600" s="3070">
        <v>0</v>
      </c>
      <c r="CJ600" s="3070" t="s">
        <v>3259</v>
      </c>
      <c r="CK600" s="3070" t="s">
        <v>3656</v>
      </c>
      <c r="CL600" s="3070" t="s">
        <v>3656</v>
      </c>
      <c r="CM600" s="3070">
        <v>1175595.4099999999</v>
      </c>
      <c r="CV600" s="3070" t="s">
        <v>3258</v>
      </c>
      <c r="CW600" s="3070" t="s">
        <v>8151</v>
      </c>
      <c r="CZ600" s="3070">
        <v>213894.57</v>
      </c>
      <c r="DA600" s="3070">
        <v>159426.93</v>
      </c>
      <c r="DB600" s="3070">
        <v>0</v>
      </c>
      <c r="DC600" s="3070">
        <v>0</v>
      </c>
      <c r="DD600" s="3070">
        <v>3290547602</v>
      </c>
      <c r="DE600" s="3070">
        <v>2764253109</v>
      </c>
      <c r="DF600" s="3070">
        <v>1464966739</v>
      </c>
      <c r="DG600" s="3070">
        <v>14938370</v>
      </c>
      <c r="DH600" s="3070">
        <v>1284348000</v>
      </c>
      <c r="DI600" s="3070">
        <v>1278128000</v>
      </c>
      <c r="DJ600" s="3070">
        <v>6220000</v>
      </c>
      <c r="DK600" s="3070">
        <v>0</v>
      </c>
      <c r="DL600" s="3070">
        <v>0</v>
      </c>
      <c r="DM600" s="3070">
        <v>25491817.620000001</v>
      </c>
      <c r="DN600" s="3070">
        <v>2764253109</v>
      </c>
      <c r="DP600" s="3070">
        <v>2764253109</v>
      </c>
    </row>
    <row r="601" spans="1:120">
      <c r="A601" s="3070">
        <v>600</v>
      </c>
      <c r="B601" s="3070" t="s">
        <v>3224</v>
      </c>
      <c r="C601" s="3070">
        <v>7</v>
      </c>
      <c r="E601" s="3070">
        <v>1104</v>
      </c>
      <c r="F601" s="3070" t="s">
        <v>8152</v>
      </c>
      <c r="G601" s="3070" t="s">
        <v>8153</v>
      </c>
      <c r="H601" s="3070">
        <v>1514635</v>
      </c>
      <c r="I601" s="3070">
        <v>1514635</v>
      </c>
      <c r="J601" s="3070">
        <v>122.27</v>
      </c>
      <c r="K601" s="3070">
        <v>90.43</v>
      </c>
      <c r="L601" s="3070">
        <v>0</v>
      </c>
      <c r="M601" s="3070">
        <v>0</v>
      </c>
      <c r="N601" s="3070">
        <v>15444.44</v>
      </c>
      <c r="O601" s="3070">
        <v>1888392</v>
      </c>
      <c r="P601" s="3070">
        <v>12387.63</v>
      </c>
      <c r="Q601" s="3070">
        <v>1514635</v>
      </c>
      <c r="R601" s="3070" t="s">
        <v>3227</v>
      </c>
      <c r="S601" s="3070" t="s">
        <v>8154</v>
      </c>
      <c r="T601" s="3070" t="s">
        <v>3229</v>
      </c>
      <c r="V601" s="3070" t="s">
        <v>3230</v>
      </c>
      <c r="Y601" s="3070">
        <v>454391</v>
      </c>
      <c r="Z601" s="3070">
        <v>454391</v>
      </c>
      <c r="AA601" s="3070">
        <v>1514635</v>
      </c>
      <c r="AB601" s="3070">
        <v>0</v>
      </c>
      <c r="AC601" s="3070">
        <v>0</v>
      </c>
      <c r="AD601" s="3070">
        <v>0</v>
      </c>
      <c r="AE601" s="3070">
        <v>0</v>
      </c>
      <c r="AI601" s="3070" t="s">
        <v>3227</v>
      </c>
      <c r="AJ601" s="3070">
        <v>0</v>
      </c>
      <c r="AK601" s="3070">
        <v>0</v>
      </c>
      <c r="AL601" s="3070">
        <v>0</v>
      </c>
      <c r="AM601" s="3070">
        <v>12387.63</v>
      </c>
      <c r="AN601" s="3070">
        <v>1514635</v>
      </c>
      <c r="AP601" s="3070">
        <v>1514635</v>
      </c>
      <c r="AQ601" s="3072">
        <v>45138</v>
      </c>
      <c r="AT601" s="3073">
        <v>45678</v>
      </c>
      <c r="AV601" s="3074">
        <v>3.21E+17</v>
      </c>
      <c r="AW601" s="3070" t="s">
        <v>8155</v>
      </c>
      <c r="AX601" s="3070" t="s">
        <v>8156</v>
      </c>
      <c r="AY601" s="3070" t="s">
        <v>3337</v>
      </c>
      <c r="BC601" s="3070" t="s">
        <v>3792</v>
      </c>
      <c r="BD601" s="3070" t="s">
        <v>3075</v>
      </c>
      <c r="BI601" s="3070" t="s">
        <v>3235</v>
      </c>
      <c r="BJ601" s="3070" t="s">
        <v>3296</v>
      </c>
      <c r="BL601" s="3070" t="s">
        <v>8157</v>
      </c>
      <c r="BM601" s="3075">
        <v>44378</v>
      </c>
      <c r="BN601" s="3070">
        <v>104</v>
      </c>
      <c r="BR601" s="3070">
        <v>137</v>
      </c>
      <c r="BS601" s="3070" t="s">
        <v>3238</v>
      </c>
      <c r="BZ601" s="3073">
        <v>44154.739583333336</v>
      </c>
      <c r="CA601" s="3070">
        <v>7</v>
      </c>
      <c r="CD601" s="3070" t="s">
        <v>3239</v>
      </c>
      <c r="CF601" s="3070" t="s">
        <v>3091</v>
      </c>
      <c r="CH601" s="3070" t="s">
        <v>3240</v>
      </c>
      <c r="CI601" s="3070">
        <v>0</v>
      </c>
      <c r="CK601" s="3070" t="s">
        <v>3337</v>
      </c>
      <c r="CL601" s="3070" t="s">
        <v>3337</v>
      </c>
      <c r="CM601" s="3070">
        <v>1389573.39</v>
      </c>
      <c r="CV601" s="3070" t="s">
        <v>3229</v>
      </c>
      <c r="CW601" s="3070" t="s">
        <v>8158</v>
      </c>
      <c r="CX601" s="3070" t="s">
        <v>3267</v>
      </c>
      <c r="CZ601" s="3070">
        <v>213894.57</v>
      </c>
      <c r="DA601" s="3070">
        <v>159426.93</v>
      </c>
      <c r="DB601" s="3070">
        <v>0</v>
      </c>
      <c r="DC601" s="3070">
        <v>0</v>
      </c>
      <c r="DD601" s="3070">
        <v>3290547602</v>
      </c>
      <c r="DE601" s="3070">
        <v>2764253109</v>
      </c>
      <c r="DF601" s="3070">
        <v>1464966739</v>
      </c>
      <c r="DG601" s="3070">
        <v>14938370</v>
      </c>
      <c r="DH601" s="3070">
        <v>1284348000</v>
      </c>
      <c r="DI601" s="3070">
        <v>1278128000</v>
      </c>
      <c r="DJ601" s="3070">
        <v>6220000</v>
      </c>
      <c r="DK601" s="3070">
        <v>0</v>
      </c>
      <c r="DL601" s="3070">
        <v>0</v>
      </c>
      <c r="DM601" s="3070">
        <v>25491817.620000001</v>
      </c>
      <c r="DN601" s="3070">
        <v>2764253109</v>
      </c>
      <c r="DP601" s="3070">
        <v>2764253109</v>
      </c>
    </row>
    <row r="602" spans="1:120">
      <c r="A602" s="3070">
        <v>601</v>
      </c>
      <c r="B602" s="3070" t="s">
        <v>3224</v>
      </c>
      <c r="C602" s="3070">
        <v>7</v>
      </c>
      <c r="E602" s="3070">
        <v>1201</v>
      </c>
      <c r="F602" s="3070" t="s">
        <v>8159</v>
      </c>
      <c r="G602" s="3070" t="s">
        <v>8160</v>
      </c>
      <c r="H602" s="3070">
        <v>1531895</v>
      </c>
      <c r="I602" s="3070">
        <v>1531895</v>
      </c>
      <c r="J602" s="3070">
        <v>122.27</v>
      </c>
      <c r="K602" s="3070">
        <v>90.43</v>
      </c>
      <c r="L602" s="3070">
        <v>0</v>
      </c>
      <c r="M602" s="3070">
        <v>0</v>
      </c>
      <c r="N602" s="3070">
        <v>15594.44</v>
      </c>
      <c r="O602" s="3070">
        <v>1906732</v>
      </c>
      <c r="P602" s="3070">
        <v>12528.79</v>
      </c>
      <c r="Q602" s="3070">
        <v>1531895</v>
      </c>
      <c r="R602" s="3070" t="s">
        <v>3227</v>
      </c>
      <c r="S602" s="3070" t="s">
        <v>8161</v>
      </c>
      <c r="T602" s="3070" t="s">
        <v>3229</v>
      </c>
      <c r="V602" s="3070" t="s">
        <v>3230</v>
      </c>
      <c r="Y602" s="3070">
        <v>361895</v>
      </c>
      <c r="Z602" s="3070">
        <v>361895</v>
      </c>
      <c r="AA602" s="3070">
        <v>1531895</v>
      </c>
      <c r="AB602" s="3070">
        <v>0</v>
      </c>
      <c r="AC602" s="3070">
        <v>0</v>
      </c>
      <c r="AD602" s="3070">
        <v>0</v>
      </c>
      <c r="AE602" s="3070">
        <v>0</v>
      </c>
      <c r="AI602" s="3070" t="s">
        <v>3227</v>
      </c>
      <c r="AJ602" s="3070">
        <v>0</v>
      </c>
      <c r="AK602" s="3070">
        <v>0</v>
      </c>
      <c r="AL602" s="3070">
        <v>0</v>
      </c>
      <c r="AM602" s="3070">
        <v>12528.79</v>
      </c>
      <c r="AN602" s="3070">
        <v>1531895</v>
      </c>
      <c r="AP602" s="3070">
        <v>1531895</v>
      </c>
      <c r="AQ602" s="3072">
        <v>45138</v>
      </c>
      <c r="AT602" s="3073">
        <v>45678</v>
      </c>
      <c r="AV602" s="3070" t="s">
        <v>8162</v>
      </c>
      <c r="AW602" s="3070" t="s">
        <v>8163</v>
      </c>
      <c r="AX602" s="3070" t="s">
        <v>8164</v>
      </c>
      <c r="AY602" s="3070" t="s">
        <v>3722</v>
      </c>
      <c r="BC602" s="3070" t="s">
        <v>3347</v>
      </c>
      <c r="BD602" s="3070" t="s">
        <v>3075</v>
      </c>
      <c r="BI602" s="3070" t="s">
        <v>3235</v>
      </c>
      <c r="BL602" s="3070" t="s">
        <v>8165</v>
      </c>
      <c r="BM602" s="3075">
        <v>44378</v>
      </c>
      <c r="BN602" s="3070">
        <v>201</v>
      </c>
      <c r="BR602" s="3070">
        <v>832</v>
      </c>
      <c r="BS602" s="3070" t="s">
        <v>3238</v>
      </c>
      <c r="BT602" s="3070" t="s">
        <v>3086</v>
      </c>
      <c r="BZ602" s="3073">
        <v>44142.962500000001</v>
      </c>
      <c r="CA602" s="3070">
        <v>7</v>
      </c>
      <c r="CB602" s="3070" t="s">
        <v>3086</v>
      </c>
      <c r="CD602" s="3070" t="s">
        <v>3239</v>
      </c>
      <c r="CF602" s="3070" t="s">
        <v>3091</v>
      </c>
      <c r="CH602" s="3070" t="s">
        <v>3240</v>
      </c>
      <c r="CI602" s="3070">
        <v>0</v>
      </c>
      <c r="CK602" s="3070" t="s">
        <v>3722</v>
      </c>
      <c r="CL602" s="3070" t="s">
        <v>3722</v>
      </c>
      <c r="CM602" s="3070">
        <v>1405408.26</v>
      </c>
      <c r="CV602" s="3070" t="s">
        <v>3229</v>
      </c>
      <c r="CW602" s="3070" t="s">
        <v>8166</v>
      </c>
      <c r="CX602" s="3070" t="s">
        <v>3242</v>
      </c>
      <c r="CZ602" s="3070">
        <v>213894.57</v>
      </c>
      <c r="DA602" s="3070">
        <v>159426.93</v>
      </c>
      <c r="DB602" s="3070">
        <v>0</v>
      </c>
      <c r="DC602" s="3070">
        <v>0</v>
      </c>
      <c r="DD602" s="3070">
        <v>3290547602</v>
      </c>
      <c r="DE602" s="3070">
        <v>2764253109</v>
      </c>
      <c r="DF602" s="3070">
        <v>1464966739</v>
      </c>
      <c r="DG602" s="3070">
        <v>14938370</v>
      </c>
      <c r="DH602" s="3070">
        <v>1284348000</v>
      </c>
      <c r="DI602" s="3070">
        <v>1278128000</v>
      </c>
      <c r="DJ602" s="3070">
        <v>6220000</v>
      </c>
      <c r="DK602" s="3070">
        <v>0</v>
      </c>
      <c r="DL602" s="3070">
        <v>0</v>
      </c>
      <c r="DM602" s="3070">
        <v>25491817.620000001</v>
      </c>
      <c r="DN602" s="3070">
        <v>2764253109</v>
      </c>
      <c r="DP602" s="3070">
        <v>2764253109</v>
      </c>
    </row>
    <row r="603" spans="1:120">
      <c r="A603" s="3070">
        <v>602</v>
      </c>
      <c r="B603" s="3070" t="s">
        <v>3224</v>
      </c>
      <c r="C603" s="3070">
        <v>7</v>
      </c>
      <c r="E603" s="3070">
        <v>1202</v>
      </c>
      <c r="F603" s="3070" t="s">
        <v>8167</v>
      </c>
      <c r="G603" s="3070" t="s">
        <v>8168</v>
      </c>
      <c r="H603" s="3070">
        <v>1286248</v>
      </c>
      <c r="I603" s="3070">
        <v>1286248</v>
      </c>
      <c r="J603" s="3070">
        <v>102.02</v>
      </c>
      <c r="K603" s="3070">
        <v>75.45</v>
      </c>
      <c r="L603" s="3070">
        <v>0</v>
      </c>
      <c r="M603" s="3070">
        <v>0</v>
      </c>
      <c r="N603" s="3070">
        <v>15544.44</v>
      </c>
      <c r="O603" s="3070">
        <v>1585844</v>
      </c>
      <c r="P603" s="3070">
        <v>12607.8</v>
      </c>
      <c r="Q603" s="3070">
        <v>1286248</v>
      </c>
      <c r="R603" s="3070" t="s">
        <v>3227</v>
      </c>
      <c r="S603" s="3070" t="s">
        <v>8169</v>
      </c>
      <c r="T603" s="3070" t="s">
        <v>3258</v>
      </c>
      <c r="U603" s="3070" t="s">
        <v>3259</v>
      </c>
      <c r="V603" s="3070" t="s">
        <v>3230</v>
      </c>
      <c r="Y603" s="3070">
        <v>386248</v>
      </c>
      <c r="Z603" s="3070">
        <v>386248</v>
      </c>
      <c r="AA603" s="3070">
        <v>386248</v>
      </c>
      <c r="AB603" s="3070">
        <v>0</v>
      </c>
      <c r="AC603" s="3070">
        <v>900000</v>
      </c>
      <c r="AD603" s="3070">
        <v>900000</v>
      </c>
      <c r="AE603" s="3070">
        <v>0</v>
      </c>
      <c r="AI603" s="3070" t="s">
        <v>3227</v>
      </c>
      <c r="AJ603" s="3070">
        <v>0</v>
      </c>
      <c r="AK603" s="3070">
        <v>0</v>
      </c>
      <c r="AL603" s="3070">
        <v>0</v>
      </c>
      <c r="AM603" s="3070">
        <v>12607.8</v>
      </c>
      <c r="AN603" s="3070">
        <v>1286248</v>
      </c>
      <c r="AP603" s="3070">
        <v>1286248</v>
      </c>
      <c r="AQ603" s="3072">
        <v>45138</v>
      </c>
      <c r="AT603" s="3073">
        <v>45678</v>
      </c>
      <c r="AV603" s="3074">
        <v>3.21E+17</v>
      </c>
      <c r="AW603" s="3070" t="s">
        <v>8170</v>
      </c>
      <c r="AX603" s="3070" t="s">
        <v>8171</v>
      </c>
      <c r="AY603" s="3070" t="s">
        <v>3597</v>
      </c>
      <c r="BC603" s="3070" t="s">
        <v>3263</v>
      </c>
      <c r="BD603" s="3070" t="s">
        <v>3077</v>
      </c>
      <c r="BI603" s="3070" t="s">
        <v>3235</v>
      </c>
      <c r="BL603" s="3070" t="s">
        <v>8172</v>
      </c>
      <c r="BM603" s="3075">
        <v>44378</v>
      </c>
      <c r="BN603" s="3070">
        <v>202</v>
      </c>
      <c r="BO603" s="3070" t="s">
        <v>3253</v>
      </c>
      <c r="BP603" s="3070" t="s">
        <v>3253</v>
      </c>
      <c r="BR603" s="3070">
        <v>29</v>
      </c>
      <c r="BS603" s="3070" t="s">
        <v>3238</v>
      </c>
      <c r="BZ603" s="3073">
        <v>44142.603472222225</v>
      </c>
      <c r="CA603" s="3070">
        <v>7</v>
      </c>
      <c r="CD603" s="3070" t="s">
        <v>3239</v>
      </c>
      <c r="CF603" s="3070" t="s">
        <v>3091</v>
      </c>
      <c r="CH603" s="3070" t="s">
        <v>3240</v>
      </c>
      <c r="CI603" s="3070">
        <v>0</v>
      </c>
      <c r="CJ603" s="3070" t="s">
        <v>3259</v>
      </c>
      <c r="CK603" s="3070" t="s">
        <v>3597</v>
      </c>
      <c r="CL603" s="3070" t="s">
        <v>3597</v>
      </c>
      <c r="CM603" s="3070">
        <v>1180044.04</v>
      </c>
      <c r="CV603" s="3070" t="s">
        <v>3258</v>
      </c>
      <c r="CW603" s="3070" t="s">
        <v>8173</v>
      </c>
      <c r="CZ603" s="3070">
        <v>213894.57</v>
      </c>
      <c r="DA603" s="3070">
        <v>159426.93</v>
      </c>
      <c r="DB603" s="3070">
        <v>0</v>
      </c>
      <c r="DC603" s="3070">
        <v>0</v>
      </c>
      <c r="DD603" s="3070">
        <v>3290547602</v>
      </c>
      <c r="DE603" s="3070">
        <v>2764253109</v>
      </c>
      <c r="DF603" s="3070">
        <v>1464966739</v>
      </c>
      <c r="DG603" s="3070">
        <v>14938370</v>
      </c>
      <c r="DH603" s="3070">
        <v>1284348000</v>
      </c>
      <c r="DI603" s="3070">
        <v>1278128000</v>
      </c>
      <c r="DJ603" s="3070">
        <v>6220000</v>
      </c>
      <c r="DK603" s="3070">
        <v>0</v>
      </c>
      <c r="DL603" s="3070">
        <v>0</v>
      </c>
      <c r="DM603" s="3070">
        <v>25491817.620000001</v>
      </c>
      <c r="DN603" s="3070">
        <v>2764253109</v>
      </c>
      <c r="DP603" s="3070">
        <v>2764253109</v>
      </c>
    </row>
    <row r="604" spans="1:120">
      <c r="A604" s="3070">
        <v>603</v>
      </c>
      <c r="B604" s="3070" t="s">
        <v>3224</v>
      </c>
      <c r="C604" s="3070">
        <v>7</v>
      </c>
      <c r="E604" s="3070">
        <v>1203</v>
      </c>
      <c r="F604" s="3070" t="s">
        <v>8174</v>
      </c>
      <c r="G604" s="3070" t="s">
        <v>8175</v>
      </c>
      <c r="H604" s="3070">
        <v>1286248</v>
      </c>
      <c r="I604" s="3070">
        <v>1286248</v>
      </c>
      <c r="J604" s="3070">
        <v>102.02</v>
      </c>
      <c r="K604" s="3070">
        <v>75.45</v>
      </c>
      <c r="L604" s="3070">
        <v>0</v>
      </c>
      <c r="M604" s="3070">
        <v>0</v>
      </c>
      <c r="N604" s="3070">
        <v>15544.44</v>
      </c>
      <c r="O604" s="3070">
        <v>1585844</v>
      </c>
      <c r="P604" s="3070">
        <v>12607.8</v>
      </c>
      <c r="Q604" s="3070">
        <v>1286248</v>
      </c>
      <c r="R604" s="3070" t="s">
        <v>3227</v>
      </c>
      <c r="S604" s="3070" t="s">
        <v>8176</v>
      </c>
      <c r="T604" s="3070" t="s">
        <v>3302</v>
      </c>
      <c r="V604" s="3070" t="s">
        <v>3230</v>
      </c>
      <c r="Y604" s="3070">
        <v>128625</v>
      </c>
      <c r="Z604" s="3070">
        <v>128625</v>
      </c>
      <c r="AA604" s="3070">
        <v>1286248</v>
      </c>
      <c r="AB604" s="3070">
        <v>0</v>
      </c>
      <c r="AC604" s="3070">
        <v>0</v>
      </c>
      <c r="AD604" s="3070">
        <v>0</v>
      </c>
      <c r="AE604" s="3070">
        <v>0</v>
      </c>
      <c r="AI604" s="3070" t="s">
        <v>3227</v>
      </c>
      <c r="AJ604" s="3070">
        <v>0</v>
      </c>
      <c r="AK604" s="3070">
        <v>0</v>
      </c>
      <c r="AL604" s="3070">
        <v>0</v>
      </c>
      <c r="AM604" s="3070">
        <v>12607.8</v>
      </c>
      <c r="AN604" s="3070">
        <v>1286248</v>
      </c>
      <c r="AP604" s="3070">
        <v>1286248</v>
      </c>
      <c r="AQ604" s="3072">
        <v>45138</v>
      </c>
      <c r="AT604" s="3073">
        <v>45678</v>
      </c>
      <c r="AV604" s="3070" t="s">
        <v>8177</v>
      </c>
      <c r="AW604" s="3070" t="s">
        <v>8178</v>
      </c>
      <c r="AX604" s="3070" t="s">
        <v>8179</v>
      </c>
      <c r="AY604" s="3070" t="s">
        <v>3385</v>
      </c>
      <c r="BC604" s="3070" t="s">
        <v>3307</v>
      </c>
      <c r="BD604" s="3070" t="s">
        <v>3077</v>
      </c>
      <c r="BI604" s="3070" t="s">
        <v>3235</v>
      </c>
      <c r="BJ604" s="3070" t="s">
        <v>3328</v>
      </c>
      <c r="BL604" s="3070" t="s">
        <v>8180</v>
      </c>
      <c r="BM604" s="3075">
        <v>44378</v>
      </c>
      <c r="BN604" s="3070">
        <v>203</v>
      </c>
      <c r="BR604" s="3070">
        <v>295</v>
      </c>
      <c r="BS604" s="3070" t="s">
        <v>3238</v>
      </c>
      <c r="BZ604" s="3073">
        <v>44142.620138888888</v>
      </c>
      <c r="CA604" s="3070">
        <v>7</v>
      </c>
      <c r="CD604" s="3070" t="s">
        <v>3239</v>
      </c>
      <c r="CF604" s="3070" t="s">
        <v>3091</v>
      </c>
      <c r="CH604" s="3070" t="s">
        <v>3240</v>
      </c>
      <c r="CI604" s="3070">
        <v>0</v>
      </c>
      <c r="CK604" s="3070" t="s">
        <v>3385</v>
      </c>
      <c r="CL604" s="3070" t="s">
        <v>3385</v>
      </c>
      <c r="CM604" s="3070">
        <v>1180044.04</v>
      </c>
      <c r="CV604" s="3070" t="s">
        <v>3309</v>
      </c>
      <c r="CW604" s="3070" t="s">
        <v>8181</v>
      </c>
      <c r="CZ604" s="3070">
        <v>213894.57</v>
      </c>
      <c r="DA604" s="3070">
        <v>159426.93</v>
      </c>
      <c r="DB604" s="3070">
        <v>0</v>
      </c>
      <c r="DC604" s="3070">
        <v>0</v>
      </c>
      <c r="DD604" s="3070">
        <v>3290547602</v>
      </c>
      <c r="DE604" s="3070">
        <v>2764253109</v>
      </c>
      <c r="DF604" s="3070">
        <v>1464966739</v>
      </c>
      <c r="DG604" s="3070">
        <v>14938370</v>
      </c>
      <c r="DH604" s="3070">
        <v>1284348000</v>
      </c>
      <c r="DI604" s="3070">
        <v>1278128000</v>
      </c>
      <c r="DJ604" s="3070">
        <v>6220000</v>
      </c>
      <c r="DK604" s="3070">
        <v>0</v>
      </c>
      <c r="DL604" s="3070">
        <v>0</v>
      </c>
      <c r="DM604" s="3070">
        <v>25491817.620000001</v>
      </c>
      <c r="DN604" s="3070">
        <v>2764253109</v>
      </c>
      <c r="DP604" s="3070">
        <v>2764253109</v>
      </c>
    </row>
    <row r="605" spans="1:120">
      <c r="A605" s="3070">
        <v>604</v>
      </c>
      <c r="B605" s="3070" t="s">
        <v>3224</v>
      </c>
      <c r="C605" s="3070">
        <v>7</v>
      </c>
      <c r="E605" s="3070">
        <v>1204</v>
      </c>
      <c r="F605" s="3070" t="s">
        <v>8182</v>
      </c>
      <c r="G605" s="3070" t="s">
        <v>8183</v>
      </c>
      <c r="H605" s="3070">
        <v>1535746</v>
      </c>
      <c r="I605" s="3070">
        <v>1535746</v>
      </c>
      <c r="J605" s="3070">
        <v>122.27</v>
      </c>
      <c r="K605" s="3070">
        <v>90.43</v>
      </c>
      <c r="L605" s="3070">
        <v>0</v>
      </c>
      <c r="M605" s="3070">
        <v>0</v>
      </c>
      <c r="N605" s="3070">
        <v>15494.44</v>
      </c>
      <c r="O605" s="3070">
        <v>1894505</v>
      </c>
      <c r="P605" s="3070">
        <v>12560.28</v>
      </c>
      <c r="Q605" s="3070">
        <v>1535746</v>
      </c>
      <c r="R605" s="3070" t="s">
        <v>3227</v>
      </c>
      <c r="S605" s="3070" t="s">
        <v>8184</v>
      </c>
      <c r="T605" s="3070" t="s">
        <v>3246</v>
      </c>
      <c r="U605" s="3070" t="s">
        <v>3259</v>
      </c>
      <c r="V605" s="3070" t="s">
        <v>3230</v>
      </c>
      <c r="Y605" s="3070">
        <v>1005746</v>
      </c>
      <c r="Z605" s="3070">
        <v>1005746</v>
      </c>
      <c r="AA605" s="3070">
        <v>1005746</v>
      </c>
      <c r="AB605" s="3070">
        <v>0</v>
      </c>
      <c r="AC605" s="3070">
        <v>530000</v>
      </c>
      <c r="AD605" s="3070">
        <v>530000</v>
      </c>
      <c r="AE605" s="3070">
        <v>0</v>
      </c>
      <c r="AI605" s="3070" t="s">
        <v>3227</v>
      </c>
      <c r="AJ605" s="3070">
        <v>0</v>
      </c>
      <c r="AK605" s="3070">
        <v>0</v>
      </c>
      <c r="AL605" s="3070">
        <v>0</v>
      </c>
      <c r="AM605" s="3070">
        <v>12560.28</v>
      </c>
      <c r="AN605" s="3070">
        <v>1535746</v>
      </c>
      <c r="AP605" s="3070">
        <v>1535746</v>
      </c>
      <c r="AQ605" s="3072">
        <v>45138</v>
      </c>
      <c r="AT605" s="3073">
        <v>45678</v>
      </c>
      <c r="AV605" s="3070" t="s">
        <v>8185</v>
      </c>
      <c r="AW605" s="3070" t="s">
        <v>8186</v>
      </c>
      <c r="AX605" s="3070" t="s">
        <v>8187</v>
      </c>
      <c r="AY605" s="3070" t="s">
        <v>3346</v>
      </c>
      <c r="BC605" s="3070" t="s">
        <v>3284</v>
      </c>
      <c r="BD605" s="3070" t="s">
        <v>3075</v>
      </c>
      <c r="BI605" s="3070" t="s">
        <v>3295</v>
      </c>
      <c r="BL605" s="3070" t="s">
        <v>8188</v>
      </c>
      <c r="BM605" s="3075">
        <v>44378</v>
      </c>
      <c r="BN605" s="3070">
        <v>204</v>
      </c>
      <c r="BO605" s="3070" t="s">
        <v>3253</v>
      </c>
      <c r="BR605" s="3070">
        <v>763</v>
      </c>
      <c r="BS605" s="3070" t="s">
        <v>3238</v>
      </c>
      <c r="BZ605" s="3073">
        <v>44142.966666666667</v>
      </c>
      <c r="CA605" s="3070">
        <v>7</v>
      </c>
      <c r="CD605" s="3070" t="s">
        <v>3239</v>
      </c>
      <c r="CF605" s="3070" t="s">
        <v>3091</v>
      </c>
      <c r="CH605" s="3070" t="s">
        <v>3240</v>
      </c>
      <c r="CI605" s="3070">
        <v>0</v>
      </c>
      <c r="CK605" s="3070" t="s">
        <v>3346</v>
      </c>
      <c r="CL605" s="3070" t="s">
        <v>3346</v>
      </c>
      <c r="CM605" s="3070">
        <v>1408941.28</v>
      </c>
      <c r="CV605" s="3070" t="s">
        <v>3246</v>
      </c>
      <c r="CW605" s="3070" t="s">
        <v>8189</v>
      </c>
      <c r="CZ605" s="3070">
        <v>213894.57</v>
      </c>
      <c r="DA605" s="3070">
        <v>159426.93</v>
      </c>
      <c r="DB605" s="3070">
        <v>0</v>
      </c>
      <c r="DC605" s="3070">
        <v>0</v>
      </c>
      <c r="DD605" s="3070">
        <v>3290547602</v>
      </c>
      <c r="DE605" s="3070">
        <v>2764253109</v>
      </c>
      <c r="DF605" s="3070">
        <v>1464966739</v>
      </c>
      <c r="DG605" s="3070">
        <v>14938370</v>
      </c>
      <c r="DH605" s="3070">
        <v>1284348000</v>
      </c>
      <c r="DI605" s="3070">
        <v>1278128000</v>
      </c>
      <c r="DJ605" s="3070">
        <v>6220000</v>
      </c>
      <c r="DK605" s="3070">
        <v>0</v>
      </c>
      <c r="DL605" s="3070">
        <v>0</v>
      </c>
      <c r="DM605" s="3070">
        <v>25491817.620000001</v>
      </c>
      <c r="DN605" s="3070">
        <v>2764253109</v>
      </c>
      <c r="DP605" s="3070">
        <v>2764253109</v>
      </c>
    </row>
    <row r="606" spans="1:120">
      <c r="A606" s="3070">
        <v>605</v>
      </c>
      <c r="B606" s="3070" t="s">
        <v>3224</v>
      </c>
      <c r="C606" s="3070">
        <v>7</v>
      </c>
      <c r="E606" s="3070">
        <v>1301</v>
      </c>
      <c r="F606" s="3070" t="s">
        <v>8190</v>
      </c>
      <c r="G606" s="3070" t="s">
        <v>8191</v>
      </c>
      <c r="H606" s="3070">
        <v>1547369</v>
      </c>
      <c r="I606" s="3070">
        <v>1547369</v>
      </c>
      <c r="J606" s="3070">
        <v>122.27</v>
      </c>
      <c r="K606" s="3070">
        <v>90.43</v>
      </c>
      <c r="L606" s="3070">
        <v>0</v>
      </c>
      <c r="M606" s="3070">
        <v>0</v>
      </c>
      <c r="N606" s="3070">
        <v>15594.44</v>
      </c>
      <c r="O606" s="3070">
        <v>1906732</v>
      </c>
      <c r="P606" s="3070">
        <v>12655.34</v>
      </c>
      <c r="Q606" s="3070">
        <v>1547369</v>
      </c>
      <c r="R606" s="3070" t="s">
        <v>3227</v>
      </c>
      <c r="S606" s="3070" t="s">
        <v>8192</v>
      </c>
      <c r="T606" s="3070" t="s">
        <v>3246</v>
      </c>
      <c r="U606" s="3070" t="s">
        <v>3247</v>
      </c>
      <c r="V606" s="3070" t="s">
        <v>3230</v>
      </c>
      <c r="Y606" s="3070">
        <v>647369</v>
      </c>
      <c r="Z606" s="3070">
        <v>647369</v>
      </c>
      <c r="AA606" s="3070">
        <v>647369</v>
      </c>
      <c r="AB606" s="3070">
        <v>0</v>
      </c>
      <c r="AC606" s="3070">
        <v>900000</v>
      </c>
      <c r="AD606" s="3070">
        <v>900000</v>
      </c>
      <c r="AE606" s="3070">
        <v>0</v>
      </c>
      <c r="AI606" s="3070" t="s">
        <v>3227</v>
      </c>
      <c r="AJ606" s="3070">
        <v>0</v>
      </c>
      <c r="AK606" s="3070">
        <v>0</v>
      </c>
      <c r="AL606" s="3070">
        <v>0</v>
      </c>
      <c r="AM606" s="3070">
        <v>12655.34</v>
      </c>
      <c r="AN606" s="3070">
        <v>1547369</v>
      </c>
      <c r="AP606" s="3070">
        <v>1547369</v>
      </c>
      <c r="AQ606" s="3072">
        <v>45138</v>
      </c>
      <c r="AT606" s="3073">
        <v>45678</v>
      </c>
      <c r="AV606" s="3070" t="s">
        <v>8193</v>
      </c>
      <c r="AW606" s="3070" t="s">
        <v>8194</v>
      </c>
      <c r="AX606" s="3070" t="s">
        <v>8195</v>
      </c>
      <c r="AY606" s="3070" t="s">
        <v>3632</v>
      </c>
      <c r="BC606" s="3070" t="s">
        <v>3284</v>
      </c>
      <c r="BD606" s="3070" t="s">
        <v>3075</v>
      </c>
      <c r="BI606" s="3070" t="s">
        <v>3235</v>
      </c>
      <c r="BJ606" s="3070" t="s">
        <v>3296</v>
      </c>
      <c r="BL606" s="3070" t="s">
        <v>8196</v>
      </c>
      <c r="BM606" s="3075">
        <v>44378</v>
      </c>
      <c r="BN606" s="3070">
        <v>301</v>
      </c>
      <c r="BO606" s="3070" t="s">
        <v>3253</v>
      </c>
      <c r="BR606" s="3070">
        <v>773</v>
      </c>
      <c r="BS606" s="3070" t="s">
        <v>3238</v>
      </c>
      <c r="BZ606" s="3073">
        <v>44142.617361111108</v>
      </c>
      <c r="CA606" s="3070">
        <v>7</v>
      </c>
      <c r="CD606" s="3070" t="s">
        <v>3239</v>
      </c>
      <c r="CF606" s="3070" t="s">
        <v>3091</v>
      </c>
      <c r="CH606" s="3070" t="s">
        <v>3240</v>
      </c>
      <c r="CI606" s="3070">
        <v>0</v>
      </c>
      <c r="CK606" s="3070" t="s">
        <v>3632</v>
      </c>
      <c r="CL606" s="3070" t="s">
        <v>3632</v>
      </c>
      <c r="CM606" s="3070">
        <v>1419604.59</v>
      </c>
      <c r="CV606" s="3070" t="s">
        <v>3246</v>
      </c>
      <c r="CW606" s="3070" t="s">
        <v>8197</v>
      </c>
      <c r="CX606" s="3070" t="s">
        <v>3267</v>
      </c>
      <c r="CZ606" s="3070">
        <v>213894.57</v>
      </c>
      <c r="DA606" s="3070">
        <v>159426.93</v>
      </c>
      <c r="DB606" s="3070">
        <v>0</v>
      </c>
      <c r="DC606" s="3070">
        <v>0</v>
      </c>
      <c r="DD606" s="3070">
        <v>3290547602</v>
      </c>
      <c r="DE606" s="3070">
        <v>2764253109</v>
      </c>
      <c r="DF606" s="3070">
        <v>1464966739</v>
      </c>
      <c r="DG606" s="3070">
        <v>14938370</v>
      </c>
      <c r="DH606" s="3070">
        <v>1284348000</v>
      </c>
      <c r="DI606" s="3070">
        <v>1278128000</v>
      </c>
      <c r="DJ606" s="3070">
        <v>6220000</v>
      </c>
      <c r="DK606" s="3070">
        <v>0</v>
      </c>
      <c r="DL606" s="3070">
        <v>0</v>
      </c>
      <c r="DM606" s="3070">
        <v>25491817.620000001</v>
      </c>
      <c r="DN606" s="3070">
        <v>2764253109</v>
      </c>
      <c r="DP606" s="3070">
        <v>2764253109</v>
      </c>
    </row>
    <row r="607" spans="1:120">
      <c r="A607" s="3070">
        <v>606</v>
      </c>
      <c r="B607" s="3070" t="s">
        <v>3224</v>
      </c>
      <c r="C607" s="3070">
        <v>7</v>
      </c>
      <c r="E607" s="3070">
        <v>1302</v>
      </c>
      <c r="F607" s="3070" t="s">
        <v>8198</v>
      </c>
      <c r="G607" s="3070" t="s">
        <v>8199</v>
      </c>
      <c r="H607" s="3070">
        <v>1285870</v>
      </c>
      <c r="I607" s="3070">
        <v>1285870</v>
      </c>
      <c r="J607" s="3070">
        <v>101.99</v>
      </c>
      <c r="K607" s="3070">
        <v>75.430000000000007</v>
      </c>
      <c r="L607" s="3070">
        <v>0</v>
      </c>
      <c r="M607" s="3070">
        <v>0</v>
      </c>
      <c r="N607" s="3070">
        <v>15544.44</v>
      </c>
      <c r="O607" s="3070">
        <v>1585377</v>
      </c>
      <c r="P607" s="3070">
        <v>12607.8</v>
      </c>
      <c r="Q607" s="3070">
        <v>1285870</v>
      </c>
      <c r="R607" s="3070" t="s">
        <v>3227</v>
      </c>
      <c r="S607" s="3070" t="s">
        <v>8200</v>
      </c>
      <c r="T607" s="3070" t="s">
        <v>3258</v>
      </c>
      <c r="U607" s="3070" t="s">
        <v>3259</v>
      </c>
      <c r="V607" s="3070" t="s">
        <v>3230</v>
      </c>
      <c r="Y607" s="3070">
        <v>385870</v>
      </c>
      <c r="Z607" s="3070">
        <v>385870</v>
      </c>
      <c r="AA607" s="3070">
        <v>385870</v>
      </c>
      <c r="AB607" s="3070">
        <v>0</v>
      </c>
      <c r="AC607" s="3070">
        <v>900000</v>
      </c>
      <c r="AD607" s="3070">
        <v>900000</v>
      </c>
      <c r="AE607" s="3070">
        <v>0</v>
      </c>
      <c r="AI607" s="3070" t="s">
        <v>3227</v>
      </c>
      <c r="AJ607" s="3070">
        <v>0</v>
      </c>
      <c r="AK607" s="3070">
        <v>0</v>
      </c>
      <c r="AL607" s="3070">
        <v>0</v>
      </c>
      <c r="AM607" s="3070">
        <v>12607.8</v>
      </c>
      <c r="AN607" s="3070">
        <v>1285870</v>
      </c>
      <c r="AP607" s="3070">
        <v>1285870</v>
      </c>
      <c r="AQ607" s="3072">
        <v>45138</v>
      </c>
      <c r="AT607" s="3073">
        <v>45678</v>
      </c>
      <c r="AV607" s="3070" t="s">
        <v>8201</v>
      </c>
      <c r="AW607" s="3070" t="s">
        <v>8202</v>
      </c>
      <c r="AX607" s="3070" t="s">
        <v>8203</v>
      </c>
      <c r="AY607" s="3070" t="s">
        <v>3283</v>
      </c>
      <c r="BC607" s="3070" t="s">
        <v>3263</v>
      </c>
      <c r="BD607" s="3070" t="s">
        <v>3077</v>
      </c>
      <c r="BI607" s="3070" t="s">
        <v>3235</v>
      </c>
      <c r="BJ607" s="3070" t="s">
        <v>3338</v>
      </c>
      <c r="BL607" s="3070" t="s">
        <v>8204</v>
      </c>
      <c r="BM607" s="3075">
        <v>44378</v>
      </c>
      <c r="BN607" s="3070">
        <v>302</v>
      </c>
      <c r="BO607" s="3070" t="s">
        <v>3253</v>
      </c>
      <c r="BP607" s="3070" t="s">
        <v>3253</v>
      </c>
      <c r="BR607" s="3070">
        <v>362</v>
      </c>
      <c r="BS607" s="3070" t="s">
        <v>3238</v>
      </c>
      <c r="BZ607" s="3073">
        <v>44142.597916666666</v>
      </c>
      <c r="CA607" s="3070">
        <v>7</v>
      </c>
      <c r="CD607" s="3070" t="s">
        <v>3239</v>
      </c>
      <c r="CF607" s="3070" t="s">
        <v>3091</v>
      </c>
      <c r="CH607" s="3070" t="s">
        <v>3240</v>
      </c>
      <c r="CI607" s="3070">
        <v>0</v>
      </c>
      <c r="CJ607" s="3070" t="s">
        <v>3259</v>
      </c>
      <c r="CK607" s="3070" t="s">
        <v>3283</v>
      </c>
      <c r="CL607" s="3070" t="s">
        <v>3283</v>
      </c>
      <c r="CM607" s="3070">
        <v>1179697.25</v>
      </c>
      <c r="CV607" s="3070" t="s">
        <v>3258</v>
      </c>
      <c r="CW607" s="3070" t="s">
        <v>8205</v>
      </c>
      <c r="CZ607" s="3070">
        <v>213894.57</v>
      </c>
      <c r="DA607" s="3070">
        <v>159426.93</v>
      </c>
      <c r="DB607" s="3070">
        <v>0</v>
      </c>
      <c r="DC607" s="3070">
        <v>0</v>
      </c>
      <c r="DD607" s="3070">
        <v>3290547602</v>
      </c>
      <c r="DE607" s="3070">
        <v>2764253109</v>
      </c>
      <c r="DF607" s="3070">
        <v>1464966739</v>
      </c>
      <c r="DG607" s="3070">
        <v>14938370</v>
      </c>
      <c r="DH607" s="3070">
        <v>1284348000</v>
      </c>
      <c r="DI607" s="3070">
        <v>1278128000</v>
      </c>
      <c r="DJ607" s="3070">
        <v>6220000</v>
      </c>
      <c r="DK607" s="3070">
        <v>0</v>
      </c>
      <c r="DL607" s="3070">
        <v>0</v>
      </c>
      <c r="DM607" s="3070">
        <v>25491817.620000001</v>
      </c>
      <c r="DN607" s="3070">
        <v>2764253109</v>
      </c>
      <c r="DP607" s="3070">
        <v>2764253109</v>
      </c>
    </row>
    <row r="608" spans="1:120">
      <c r="A608" s="3070">
        <v>607</v>
      </c>
      <c r="B608" s="3070" t="s">
        <v>3224</v>
      </c>
      <c r="C608" s="3070">
        <v>7</v>
      </c>
      <c r="E608" s="3070">
        <v>1303</v>
      </c>
      <c r="F608" s="3070" t="s">
        <v>8206</v>
      </c>
      <c r="G608" s="3070" t="s">
        <v>8207</v>
      </c>
      <c r="H608" s="3070">
        <v>1285114</v>
      </c>
      <c r="I608" s="3070">
        <v>1285114</v>
      </c>
      <c r="J608" s="3070">
        <v>101.93</v>
      </c>
      <c r="K608" s="3070">
        <v>75.39</v>
      </c>
      <c r="L608" s="3070">
        <v>0</v>
      </c>
      <c r="M608" s="3070">
        <v>0</v>
      </c>
      <c r="N608" s="3070">
        <v>15544.44</v>
      </c>
      <c r="O608" s="3070">
        <v>1584445</v>
      </c>
      <c r="P608" s="3070">
        <v>12607.81</v>
      </c>
      <c r="Q608" s="3070">
        <v>1285114</v>
      </c>
      <c r="R608" s="3070" t="s">
        <v>3227</v>
      </c>
      <c r="S608" s="3070" t="s">
        <v>8208</v>
      </c>
      <c r="T608" s="3070" t="s">
        <v>3258</v>
      </c>
      <c r="U608" s="3070" t="s">
        <v>3279</v>
      </c>
      <c r="V608" s="3070" t="s">
        <v>3230</v>
      </c>
      <c r="Y608" s="3070">
        <v>485114</v>
      </c>
      <c r="Z608" s="3070">
        <v>485114</v>
      </c>
      <c r="AA608" s="3070">
        <v>485114</v>
      </c>
      <c r="AB608" s="3070">
        <v>0</v>
      </c>
      <c r="AC608" s="3070">
        <v>800000</v>
      </c>
      <c r="AD608" s="3070">
        <v>800000</v>
      </c>
      <c r="AE608" s="3070">
        <v>0</v>
      </c>
      <c r="AI608" s="3070" t="s">
        <v>3227</v>
      </c>
      <c r="AJ608" s="3070">
        <v>0</v>
      </c>
      <c r="AK608" s="3070">
        <v>0</v>
      </c>
      <c r="AL608" s="3070">
        <v>0</v>
      </c>
      <c r="AM608" s="3070">
        <v>12607.81</v>
      </c>
      <c r="AN608" s="3070">
        <v>1285114</v>
      </c>
      <c r="AP608" s="3070">
        <v>1285114</v>
      </c>
      <c r="AQ608" s="3072">
        <v>45138</v>
      </c>
      <c r="AT608" s="3073">
        <v>45678</v>
      </c>
      <c r="AV608" s="3070" t="s">
        <v>8209</v>
      </c>
      <c r="AW608" s="3070" t="s">
        <v>8210</v>
      </c>
      <c r="AX608" s="3070" t="s">
        <v>7029</v>
      </c>
      <c r="AY608" s="3070" t="s">
        <v>3411</v>
      </c>
      <c r="BC608" s="3070" t="s">
        <v>3263</v>
      </c>
      <c r="BD608" s="3070" t="s">
        <v>3077</v>
      </c>
      <c r="BI608" s="3070" t="s">
        <v>3295</v>
      </c>
      <c r="BJ608" s="3070" t="s">
        <v>3296</v>
      </c>
      <c r="BL608" s="3070" t="s">
        <v>8211</v>
      </c>
      <c r="BM608" s="3075">
        <v>44378</v>
      </c>
      <c r="BN608" s="3070">
        <v>303</v>
      </c>
      <c r="BO608" s="3070" t="s">
        <v>3253</v>
      </c>
      <c r="BP608" s="3070" t="s">
        <v>3253</v>
      </c>
      <c r="BR608" s="3070">
        <v>391</v>
      </c>
      <c r="BS608" s="3070" t="s">
        <v>3238</v>
      </c>
      <c r="BZ608" s="3073">
        <v>44142.619444444441</v>
      </c>
      <c r="CA608" s="3070">
        <v>7</v>
      </c>
      <c r="CD608" s="3070" t="s">
        <v>3239</v>
      </c>
      <c r="CF608" s="3070" t="s">
        <v>3091</v>
      </c>
      <c r="CH608" s="3070" t="s">
        <v>3240</v>
      </c>
      <c r="CI608" s="3070">
        <v>0</v>
      </c>
      <c r="CJ608" s="3070" t="s">
        <v>3259</v>
      </c>
      <c r="CK608" s="3070" t="s">
        <v>3411</v>
      </c>
      <c r="CL608" s="3070" t="s">
        <v>3411</v>
      </c>
      <c r="CM608" s="3070">
        <v>1179003.67</v>
      </c>
      <c r="CV608" s="3070" t="s">
        <v>3258</v>
      </c>
      <c r="CW608" s="3070" t="s">
        <v>8212</v>
      </c>
      <c r="CZ608" s="3070">
        <v>213894.57</v>
      </c>
      <c r="DA608" s="3070">
        <v>159426.93</v>
      </c>
      <c r="DB608" s="3070">
        <v>0</v>
      </c>
      <c r="DC608" s="3070">
        <v>0</v>
      </c>
      <c r="DD608" s="3070">
        <v>3290547602</v>
      </c>
      <c r="DE608" s="3070">
        <v>2764253109</v>
      </c>
      <c r="DF608" s="3070">
        <v>1464966739</v>
      </c>
      <c r="DG608" s="3070">
        <v>14938370</v>
      </c>
      <c r="DH608" s="3070">
        <v>1284348000</v>
      </c>
      <c r="DI608" s="3070">
        <v>1278128000</v>
      </c>
      <c r="DJ608" s="3070">
        <v>6220000</v>
      </c>
      <c r="DK608" s="3070">
        <v>0</v>
      </c>
      <c r="DL608" s="3070">
        <v>0</v>
      </c>
      <c r="DM608" s="3070">
        <v>25491817.620000001</v>
      </c>
      <c r="DN608" s="3070">
        <v>2764253109</v>
      </c>
      <c r="DP608" s="3070">
        <v>2764253109</v>
      </c>
    </row>
    <row r="609" spans="1:120">
      <c r="A609" s="3070">
        <v>608</v>
      </c>
      <c r="B609" s="3070" t="s">
        <v>3224</v>
      </c>
      <c r="C609" s="3070">
        <v>7</v>
      </c>
      <c r="E609" s="3070">
        <v>1304</v>
      </c>
      <c r="F609" s="3070" t="s">
        <v>8213</v>
      </c>
      <c r="G609" s="3070" t="s">
        <v>8214</v>
      </c>
      <c r="H609" s="3070">
        <v>1535746</v>
      </c>
      <c r="I609" s="3070">
        <v>1535746</v>
      </c>
      <c r="J609" s="3070">
        <v>122.27</v>
      </c>
      <c r="K609" s="3070">
        <v>90.43</v>
      </c>
      <c r="L609" s="3070">
        <v>0</v>
      </c>
      <c r="M609" s="3070">
        <v>0</v>
      </c>
      <c r="N609" s="3070">
        <v>15494.44</v>
      </c>
      <c r="O609" s="3070">
        <v>1894505</v>
      </c>
      <c r="P609" s="3070">
        <v>12560.28</v>
      </c>
      <c r="Q609" s="3070">
        <v>1535746</v>
      </c>
      <c r="R609" s="3070" t="s">
        <v>3227</v>
      </c>
      <c r="S609" s="3070" t="s">
        <v>8215</v>
      </c>
      <c r="T609" s="3070" t="s">
        <v>3246</v>
      </c>
      <c r="U609" s="3070" t="s">
        <v>3539</v>
      </c>
      <c r="V609" s="3070" t="s">
        <v>3230</v>
      </c>
      <c r="Y609" s="3070">
        <v>535746</v>
      </c>
      <c r="Z609" s="3070">
        <v>535746</v>
      </c>
      <c r="AA609" s="3070">
        <v>535746</v>
      </c>
      <c r="AB609" s="3070">
        <v>0</v>
      </c>
      <c r="AC609" s="3070">
        <v>1000000</v>
      </c>
      <c r="AD609" s="3070">
        <v>1000000</v>
      </c>
      <c r="AE609" s="3070">
        <v>0</v>
      </c>
      <c r="AI609" s="3070" t="s">
        <v>3227</v>
      </c>
      <c r="AJ609" s="3070">
        <v>0</v>
      </c>
      <c r="AK609" s="3070">
        <v>0</v>
      </c>
      <c r="AL609" s="3070">
        <v>0</v>
      </c>
      <c r="AM609" s="3070">
        <v>12560.28</v>
      </c>
      <c r="AN609" s="3070">
        <v>1535746</v>
      </c>
      <c r="AP609" s="3070">
        <v>1535746</v>
      </c>
      <c r="AQ609" s="3072">
        <v>45138</v>
      </c>
      <c r="AT609" s="3073">
        <v>45678</v>
      </c>
      <c r="AV609" s="3074">
        <v>5.22E+17</v>
      </c>
      <c r="AW609" s="3070" t="s">
        <v>8216</v>
      </c>
      <c r="AX609" s="3070" t="s">
        <v>8217</v>
      </c>
      <c r="AY609" s="3070" t="s">
        <v>3393</v>
      </c>
      <c r="BC609" s="3070" t="s">
        <v>3251</v>
      </c>
      <c r="BD609" s="3070" t="s">
        <v>3075</v>
      </c>
      <c r="BI609" s="3070" t="s">
        <v>3235</v>
      </c>
      <c r="BJ609" s="3070" t="s">
        <v>8218</v>
      </c>
      <c r="BL609" s="3070" t="s">
        <v>8219</v>
      </c>
      <c r="BM609" s="3075">
        <v>44378</v>
      </c>
      <c r="BN609" s="3070">
        <v>304</v>
      </c>
      <c r="BO609" s="3070" t="s">
        <v>3253</v>
      </c>
      <c r="BR609" s="3070">
        <v>127</v>
      </c>
      <c r="BS609" s="3070" t="s">
        <v>3238</v>
      </c>
      <c r="BZ609" s="3073">
        <v>44142.625694444447</v>
      </c>
      <c r="CA609" s="3070">
        <v>7</v>
      </c>
      <c r="CD609" s="3070" t="s">
        <v>3239</v>
      </c>
      <c r="CF609" s="3070" t="s">
        <v>3091</v>
      </c>
      <c r="CH609" s="3070" t="s">
        <v>3240</v>
      </c>
      <c r="CI609" s="3070">
        <v>0</v>
      </c>
      <c r="CK609" s="3070" t="s">
        <v>3393</v>
      </c>
      <c r="CL609" s="3070" t="s">
        <v>3393</v>
      </c>
      <c r="CM609" s="3070">
        <v>1408941.28</v>
      </c>
      <c r="CV609" s="3070" t="s">
        <v>3246</v>
      </c>
      <c r="CW609" s="3070" t="s">
        <v>8220</v>
      </c>
      <c r="CX609" s="3070" t="s">
        <v>3267</v>
      </c>
      <c r="CZ609" s="3070">
        <v>213894.57</v>
      </c>
      <c r="DA609" s="3070">
        <v>159426.93</v>
      </c>
      <c r="DB609" s="3070">
        <v>0</v>
      </c>
      <c r="DC609" s="3070">
        <v>0</v>
      </c>
      <c r="DD609" s="3070">
        <v>3290547602</v>
      </c>
      <c r="DE609" s="3070">
        <v>2764253109</v>
      </c>
      <c r="DF609" s="3070">
        <v>1464966739</v>
      </c>
      <c r="DG609" s="3070">
        <v>14938370</v>
      </c>
      <c r="DH609" s="3070">
        <v>1284348000</v>
      </c>
      <c r="DI609" s="3070">
        <v>1278128000</v>
      </c>
      <c r="DJ609" s="3070">
        <v>6220000</v>
      </c>
      <c r="DK609" s="3070">
        <v>0</v>
      </c>
      <c r="DL609" s="3070">
        <v>0</v>
      </c>
      <c r="DM609" s="3070">
        <v>25491817.620000001</v>
      </c>
      <c r="DN609" s="3070">
        <v>2764253109</v>
      </c>
      <c r="DP609" s="3070">
        <v>2764253109</v>
      </c>
    </row>
    <row r="610" spans="1:120">
      <c r="A610" s="3070">
        <v>609</v>
      </c>
      <c r="B610" s="3070" t="s">
        <v>3224</v>
      </c>
      <c r="C610" s="3070">
        <v>7</v>
      </c>
      <c r="E610" s="3070">
        <v>1401</v>
      </c>
      <c r="F610" s="3070" t="s">
        <v>8221</v>
      </c>
      <c r="G610" s="3070" t="s">
        <v>8222</v>
      </c>
      <c r="H610" s="3070">
        <v>1480703</v>
      </c>
      <c r="I610" s="3070">
        <v>1480703</v>
      </c>
      <c r="J610" s="3070">
        <v>122.27</v>
      </c>
      <c r="K610" s="3070">
        <v>90.43</v>
      </c>
      <c r="L610" s="3070">
        <v>0</v>
      </c>
      <c r="M610" s="3070">
        <v>0</v>
      </c>
      <c r="N610" s="3070">
        <v>15494.44</v>
      </c>
      <c r="O610" s="3070">
        <v>1894505</v>
      </c>
      <c r="P610" s="3070">
        <v>12110.11</v>
      </c>
      <c r="Q610" s="3070">
        <v>1480703</v>
      </c>
      <c r="R610" s="3070" t="s">
        <v>3227</v>
      </c>
      <c r="S610" s="3070" t="s">
        <v>8223</v>
      </c>
      <c r="T610" s="3070" t="s">
        <v>3991</v>
      </c>
      <c r="V610" s="3070" t="s">
        <v>3230</v>
      </c>
      <c r="Y610" s="3070">
        <v>444211</v>
      </c>
      <c r="Z610" s="3070">
        <v>444211</v>
      </c>
      <c r="AA610" s="3070">
        <v>1480703</v>
      </c>
      <c r="AB610" s="3070">
        <v>0</v>
      </c>
      <c r="AC610" s="3070">
        <v>0</v>
      </c>
      <c r="AD610" s="3070">
        <v>0</v>
      </c>
      <c r="AE610" s="3070">
        <v>0</v>
      </c>
      <c r="AI610" s="3070" t="s">
        <v>3227</v>
      </c>
      <c r="AJ610" s="3070">
        <v>0</v>
      </c>
      <c r="AK610" s="3070">
        <v>0</v>
      </c>
      <c r="AL610" s="3070">
        <v>0</v>
      </c>
      <c r="AM610" s="3070">
        <v>12110.11</v>
      </c>
      <c r="AN610" s="3070">
        <v>1480703</v>
      </c>
      <c r="AP610" s="3070">
        <v>1480703</v>
      </c>
      <c r="AQ610" s="3072">
        <v>45138</v>
      </c>
      <c r="AT610" s="3073">
        <v>45678</v>
      </c>
      <c r="AV610" s="3074">
        <v>3.21E+17</v>
      </c>
      <c r="AW610" s="3070" t="s">
        <v>8224</v>
      </c>
      <c r="AX610" s="3070" t="s">
        <v>8225</v>
      </c>
      <c r="AY610" s="3070" t="s">
        <v>3981</v>
      </c>
      <c r="BC610" s="3070" t="s">
        <v>4145</v>
      </c>
      <c r="BD610" s="3070" t="s">
        <v>3075</v>
      </c>
      <c r="BI610" s="3070" t="s">
        <v>3235</v>
      </c>
      <c r="BL610" s="3070" t="s">
        <v>8226</v>
      </c>
      <c r="BM610" s="3075">
        <v>44378</v>
      </c>
      <c r="BN610" s="3070">
        <v>401</v>
      </c>
      <c r="BR610" s="3070">
        <v>22</v>
      </c>
      <c r="BS610" s="3070" t="s">
        <v>3238</v>
      </c>
      <c r="BZ610" s="3073">
        <v>44212.429861111108</v>
      </c>
      <c r="CA610" s="3070">
        <v>7</v>
      </c>
      <c r="CD610" s="3070" t="s">
        <v>3239</v>
      </c>
      <c r="CF610" s="3070" t="s">
        <v>3091</v>
      </c>
      <c r="CH610" s="3070" t="s">
        <v>3240</v>
      </c>
      <c r="CI610" s="3070">
        <v>0</v>
      </c>
      <c r="CK610" s="3070" t="s">
        <v>3981</v>
      </c>
      <c r="CL610" s="3070" t="s">
        <v>3986</v>
      </c>
      <c r="CM610" s="3070">
        <v>1358443.12</v>
      </c>
      <c r="CV610" s="3070" t="s">
        <v>3494</v>
      </c>
      <c r="CW610" s="3070" t="s">
        <v>8227</v>
      </c>
      <c r="CZ610" s="3070">
        <v>213894.57</v>
      </c>
      <c r="DA610" s="3070">
        <v>159426.93</v>
      </c>
      <c r="DB610" s="3070">
        <v>0</v>
      </c>
      <c r="DC610" s="3070">
        <v>0</v>
      </c>
      <c r="DD610" s="3070">
        <v>3290547602</v>
      </c>
      <c r="DE610" s="3070">
        <v>2764253109</v>
      </c>
      <c r="DF610" s="3070">
        <v>1464966739</v>
      </c>
      <c r="DG610" s="3070">
        <v>14938370</v>
      </c>
      <c r="DH610" s="3070">
        <v>1284348000</v>
      </c>
      <c r="DI610" s="3070">
        <v>1278128000</v>
      </c>
      <c r="DJ610" s="3070">
        <v>6220000</v>
      </c>
      <c r="DK610" s="3070">
        <v>0</v>
      </c>
      <c r="DL610" s="3070">
        <v>0</v>
      </c>
      <c r="DM610" s="3070">
        <v>25491817.620000001</v>
      </c>
      <c r="DN610" s="3070">
        <v>2764253109</v>
      </c>
      <c r="DP610" s="3070">
        <v>2764253109</v>
      </c>
    </row>
    <row r="611" spans="1:120">
      <c r="A611" s="3070">
        <v>610</v>
      </c>
      <c r="B611" s="3070" t="s">
        <v>3224</v>
      </c>
      <c r="C611" s="3070">
        <v>7</v>
      </c>
      <c r="E611" s="3070">
        <v>1402</v>
      </c>
      <c r="F611" s="3070" t="s">
        <v>8228</v>
      </c>
      <c r="G611" s="3070" t="s">
        <v>8229</v>
      </c>
      <c r="H611" s="3070">
        <v>1276175</v>
      </c>
      <c r="I611" s="3070">
        <v>1276175</v>
      </c>
      <c r="J611" s="3070">
        <v>101.99</v>
      </c>
      <c r="K611" s="3070">
        <v>75.430000000000007</v>
      </c>
      <c r="L611" s="3070">
        <v>0</v>
      </c>
      <c r="M611" s="3070">
        <v>0</v>
      </c>
      <c r="N611" s="3070">
        <v>15444.44</v>
      </c>
      <c r="O611" s="3070">
        <v>1575178</v>
      </c>
      <c r="P611" s="3070">
        <v>12512.75</v>
      </c>
      <c r="Q611" s="3070">
        <v>1276175</v>
      </c>
      <c r="R611" s="3070" t="s">
        <v>3227</v>
      </c>
      <c r="S611" s="3070" t="s">
        <v>8230</v>
      </c>
      <c r="T611" s="3070" t="s">
        <v>3246</v>
      </c>
      <c r="U611" s="3070" t="s">
        <v>3247</v>
      </c>
      <c r="V611" s="3070" t="s">
        <v>3230</v>
      </c>
      <c r="Y611" s="3070">
        <v>576175</v>
      </c>
      <c r="Z611" s="3070">
        <v>127618</v>
      </c>
      <c r="AA611" s="3070">
        <v>576175</v>
      </c>
      <c r="AB611" s="3070">
        <v>0</v>
      </c>
      <c r="AC611" s="3070">
        <v>700000</v>
      </c>
      <c r="AD611" s="3070">
        <v>700000</v>
      </c>
      <c r="AE611" s="3070">
        <v>0</v>
      </c>
      <c r="AI611" s="3070" t="s">
        <v>3227</v>
      </c>
      <c r="AJ611" s="3070">
        <v>0</v>
      </c>
      <c r="AK611" s="3070">
        <v>0</v>
      </c>
      <c r="AL611" s="3070">
        <v>0</v>
      </c>
      <c r="AM611" s="3070">
        <v>12512.75</v>
      </c>
      <c r="AN611" s="3070">
        <v>1276175</v>
      </c>
      <c r="AP611" s="3070">
        <v>1276175</v>
      </c>
      <c r="AQ611" s="3072">
        <v>45138</v>
      </c>
      <c r="AT611" s="3073">
        <v>45678</v>
      </c>
      <c r="AV611" s="3070" t="s">
        <v>8231</v>
      </c>
      <c r="AW611" s="3070" t="s">
        <v>8232</v>
      </c>
      <c r="AX611" s="3070" t="s">
        <v>8233</v>
      </c>
      <c r="AY611" s="3070" t="s">
        <v>5921</v>
      </c>
      <c r="BC611" s="3070" t="s">
        <v>3284</v>
      </c>
      <c r="BD611" s="3070" t="s">
        <v>3077</v>
      </c>
      <c r="BI611" s="3070" t="s">
        <v>3235</v>
      </c>
      <c r="BL611" s="3070" t="s">
        <v>8234</v>
      </c>
      <c r="BM611" s="3075">
        <v>44378</v>
      </c>
      <c r="BN611" s="3070">
        <v>402</v>
      </c>
      <c r="BO611" s="3070" t="s">
        <v>3253</v>
      </c>
      <c r="BR611" s="3070">
        <v>954</v>
      </c>
      <c r="BS611" s="3070" t="s">
        <v>3238</v>
      </c>
      <c r="BZ611" s="3073">
        <v>44142.959027777775</v>
      </c>
      <c r="CA611" s="3070">
        <v>7</v>
      </c>
      <c r="CD611" s="3070" t="s">
        <v>3239</v>
      </c>
      <c r="CF611" s="3070" t="s">
        <v>3091</v>
      </c>
      <c r="CH611" s="3070" t="s">
        <v>3240</v>
      </c>
      <c r="CI611" s="3070">
        <v>0</v>
      </c>
      <c r="CK611" s="3070" t="s">
        <v>5921</v>
      </c>
      <c r="CL611" s="3070" t="s">
        <v>5921</v>
      </c>
      <c r="CM611" s="3070">
        <v>1170802.75</v>
      </c>
      <c r="CV611" s="3070" t="s">
        <v>3246</v>
      </c>
      <c r="CW611" s="3070" t="s">
        <v>8235</v>
      </c>
      <c r="CX611" s="3070" t="s">
        <v>3242</v>
      </c>
      <c r="CZ611" s="3070">
        <v>213894.57</v>
      </c>
      <c r="DA611" s="3070">
        <v>159426.93</v>
      </c>
      <c r="DB611" s="3070">
        <v>0</v>
      </c>
      <c r="DC611" s="3070">
        <v>0</v>
      </c>
      <c r="DD611" s="3070">
        <v>3290547602</v>
      </c>
      <c r="DE611" s="3070">
        <v>2764253109</v>
      </c>
      <c r="DF611" s="3070">
        <v>1464966739</v>
      </c>
      <c r="DG611" s="3070">
        <v>14938370</v>
      </c>
      <c r="DH611" s="3070">
        <v>1284348000</v>
      </c>
      <c r="DI611" s="3070">
        <v>1278128000</v>
      </c>
      <c r="DJ611" s="3070">
        <v>6220000</v>
      </c>
      <c r="DK611" s="3070">
        <v>0</v>
      </c>
      <c r="DL611" s="3070">
        <v>0</v>
      </c>
      <c r="DM611" s="3070">
        <v>25491817.620000001</v>
      </c>
      <c r="DN611" s="3070">
        <v>2764253109</v>
      </c>
      <c r="DP611" s="3070">
        <v>2764253109</v>
      </c>
    </row>
    <row r="612" spans="1:120">
      <c r="A612" s="3070">
        <v>611</v>
      </c>
      <c r="B612" s="3070" t="s">
        <v>3224</v>
      </c>
      <c r="C612" s="3070">
        <v>7</v>
      </c>
      <c r="E612" s="3070">
        <v>1403</v>
      </c>
      <c r="F612" s="3070" t="s">
        <v>8236</v>
      </c>
      <c r="G612" s="3070" t="s">
        <v>8237</v>
      </c>
      <c r="H612" s="3070">
        <v>1275425</v>
      </c>
      <c r="I612" s="3070">
        <v>1275425</v>
      </c>
      <c r="J612" s="3070">
        <v>101.93</v>
      </c>
      <c r="K612" s="3070">
        <v>75.39</v>
      </c>
      <c r="L612" s="3070">
        <v>0</v>
      </c>
      <c r="M612" s="3070">
        <v>0</v>
      </c>
      <c r="N612" s="3070">
        <v>15444.44</v>
      </c>
      <c r="O612" s="3070">
        <v>1574252</v>
      </c>
      <c r="P612" s="3070">
        <v>12512.75</v>
      </c>
      <c r="Q612" s="3070">
        <v>1275425</v>
      </c>
      <c r="R612" s="3070" t="s">
        <v>3227</v>
      </c>
      <c r="S612" s="3070" t="s">
        <v>8238</v>
      </c>
      <c r="T612" s="3070" t="s">
        <v>3246</v>
      </c>
      <c r="U612" s="3070" t="s">
        <v>3247</v>
      </c>
      <c r="V612" s="3070" t="s">
        <v>3230</v>
      </c>
      <c r="Y612" s="3070">
        <v>515425</v>
      </c>
      <c r="Z612" s="3070">
        <v>515425</v>
      </c>
      <c r="AA612" s="3070">
        <v>515425</v>
      </c>
      <c r="AB612" s="3070">
        <v>0</v>
      </c>
      <c r="AC612" s="3070">
        <v>760000</v>
      </c>
      <c r="AD612" s="3070">
        <v>760000</v>
      </c>
      <c r="AE612" s="3070">
        <v>0</v>
      </c>
      <c r="AI612" s="3070" t="s">
        <v>3227</v>
      </c>
      <c r="AJ612" s="3070">
        <v>0</v>
      </c>
      <c r="AK612" s="3070">
        <v>0</v>
      </c>
      <c r="AL612" s="3070">
        <v>0</v>
      </c>
      <c r="AM612" s="3070">
        <v>12512.75</v>
      </c>
      <c r="AN612" s="3070">
        <v>1275425</v>
      </c>
      <c r="AP612" s="3070">
        <v>1275425</v>
      </c>
      <c r="AQ612" s="3072">
        <v>45138</v>
      </c>
      <c r="AT612" s="3073">
        <v>45678</v>
      </c>
      <c r="AV612" s="3070" t="s">
        <v>8239</v>
      </c>
      <c r="AW612" s="3070" t="s">
        <v>8240</v>
      </c>
      <c r="AX612" s="3070" t="s">
        <v>8241</v>
      </c>
      <c r="AY612" s="3070" t="s">
        <v>3607</v>
      </c>
      <c r="BC612" s="3070" t="s">
        <v>3284</v>
      </c>
      <c r="BD612" s="3070" t="s">
        <v>3077</v>
      </c>
      <c r="BI612" s="3070" t="s">
        <v>3235</v>
      </c>
      <c r="BJ612" s="3070" t="s">
        <v>3296</v>
      </c>
      <c r="BL612" s="3070" t="s">
        <v>8242</v>
      </c>
      <c r="BM612" s="3075">
        <v>44378</v>
      </c>
      <c r="BN612" s="3070">
        <v>403</v>
      </c>
      <c r="BO612" s="3070" t="s">
        <v>3253</v>
      </c>
      <c r="BR612" s="3070">
        <v>577</v>
      </c>
      <c r="BS612" s="3070" t="s">
        <v>3238</v>
      </c>
      <c r="BZ612" s="3073">
        <v>44142.65</v>
      </c>
      <c r="CA612" s="3070">
        <v>7</v>
      </c>
      <c r="CD612" s="3070" t="s">
        <v>3239</v>
      </c>
      <c r="CF612" s="3070" t="s">
        <v>3091</v>
      </c>
      <c r="CH612" s="3070" t="s">
        <v>3240</v>
      </c>
      <c r="CI612" s="3070">
        <v>0</v>
      </c>
      <c r="CK612" s="3070" t="s">
        <v>3607</v>
      </c>
      <c r="CL612" s="3070" t="s">
        <v>3607</v>
      </c>
      <c r="CM612" s="3070">
        <v>1170114.68</v>
      </c>
      <c r="CV612" s="3070" t="s">
        <v>3246</v>
      </c>
      <c r="CW612" s="3070" t="s">
        <v>8243</v>
      </c>
      <c r="CZ612" s="3070">
        <v>213894.57</v>
      </c>
      <c r="DA612" s="3070">
        <v>159426.93</v>
      </c>
      <c r="DB612" s="3070">
        <v>0</v>
      </c>
      <c r="DC612" s="3070">
        <v>0</v>
      </c>
      <c r="DD612" s="3070">
        <v>3290547602</v>
      </c>
      <c r="DE612" s="3070">
        <v>2764253109</v>
      </c>
      <c r="DF612" s="3070">
        <v>1464966739</v>
      </c>
      <c r="DG612" s="3070">
        <v>14938370</v>
      </c>
      <c r="DH612" s="3070">
        <v>1284348000</v>
      </c>
      <c r="DI612" s="3070">
        <v>1278128000</v>
      </c>
      <c r="DJ612" s="3070">
        <v>6220000</v>
      </c>
      <c r="DK612" s="3070">
        <v>0</v>
      </c>
      <c r="DL612" s="3070">
        <v>0</v>
      </c>
      <c r="DM612" s="3070">
        <v>25491817.620000001</v>
      </c>
      <c r="DN612" s="3070">
        <v>2764253109</v>
      </c>
      <c r="DP612" s="3070">
        <v>2764253109</v>
      </c>
    </row>
    <row r="613" spans="1:120">
      <c r="A613" s="3070">
        <v>612</v>
      </c>
      <c r="B613" s="3070" t="s">
        <v>3224</v>
      </c>
      <c r="C613" s="3070">
        <v>7</v>
      </c>
      <c r="E613" s="3070">
        <v>1404</v>
      </c>
      <c r="F613" s="3070" t="s">
        <v>8244</v>
      </c>
      <c r="G613" s="3070" t="s">
        <v>8245</v>
      </c>
      <c r="H613" s="3070">
        <v>1524123</v>
      </c>
      <c r="I613" s="3070">
        <v>1524123</v>
      </c>
      <c r="J613" s="3070">
        <v>122.27</v>
      </c>
      <c r="K613" s="3070">
        <v>90.43</v>
      </c>
      <c r="L613" s="3070">
        <v>0</v>
      </c>
      <c r="M613" s="3070">
        <v>0</v>
      </c>
      <c r="N613" s="3070">
        <v>15394.44</v>
      </c>
      <c r="O613" s="3070">
        <v>1882278</v>
      </c>
      <c r="P613" s="3070">
        <v>12465.22</v>
      </c>
      <c r="Q613" s="3070">
        <v>1524123</v>
      </c>
      <c r="R613" s="3070" t="s">
        <v>3227</v>
      </c>
      <c r="S613" s="3070" t="s">
        <v>8246</v>
      </c>
      <c r="T613" s="3070" t="s">
        <v>3258</v>
      </c>
      <c r="U613" s="3070" t="s">
        <v>3259</v>
      </c>
      <c r="V613" s="3070" t="s">
        <v>3230</v>
      </c>
      <c r="Y613" s="3070">
        <v>464123</v>
      </c>
      <c r="Z613" s="3070">
        <v>464123</v>
      </c>
      <c r="AA613" s="3070">
        <v>464123</v>
      </c>
      <c r="AB613" s="3070">
        <v>0</v>
      </c>
      <c r="AC613" s="3070">
        <v>1060000</v>
      </c>
      <c r="AD613" s="3070">
        <v>1060000</v>
      </c>
      <c r="AE613" s="3070">
        <v>0</v>
      </c>
      <c r="AI613" s="3070" t="s">
        <v>3227</v>
      </c>
      <c r="AJ613" s="3070">
        <v>0</v>
      </c>
      <c r="AK613" s="3070">
        <v>0</v>
      </c>
      <c r="AL613" s="3070">
        <v>0</v>
      </c>
      <c r="AM613" s="3070">
        <v>12465.22</v>
      </c>
      <c r="AN613" s="3070">
        <v>1524123</v>
      </c>
      <c r="AP613" s="3070">
        <v>1524123</v>
      </c>
      <c r="AQ613" s="3072">
        <v>45138</v>
      </c>
      <c r="AT613" s="3073">
        <v>45678</v>
      </c>
      <c r="AV613" s="3074">
        <v>3.73E+17</v>
      </c>
      <c r="AW613" s="3070" t="s">
        <v>8247</v>
      </c>
      <c r="AX613" s="3070" t="s">
        <v>8248</v>
      </c>
      <c r="AY613" s="3070" t="s">
        <v>3429</v>
      </c>
      <c r="BC613" s="3070" t="s">
        <v>3263</v>
      </c>
      <c r="BD613" s="3070" t="s">
        <v>3075</v>
      </c>
      <c r="BI613" s="3070" t="s">
        <v>3235</v>
      </c>
      <c r="BL613" s="3070" t="s">
        <v>8249</v>
      </c>
      <c r="BM613" s="3075">
        <v>44378</v>
      </c>
      <c r="BN613" s="3070">
        <v>404</v>
      </c>
      <c r="BO613" s="3070" t="s">
        <v>3253</v>
      </c>
      <c r="BP613" s="3070" t="s">
        <v>3253</v>
      </c>
      <c r="BR613" s="3070">
        <v>944</v>
      </c>
      <c r="BS613" s="3070" t="s">
        <v>3238</v>
      </c>
      <c r="BZ613" s="3073">
        <v>44142.992361111108</v>
      </c>
      <c r="CA613" s="3070">
        <v>7</v>
      </c>
      <c r="CD613" s="3070" t="s">
        <v>3239</v>
      </c>
      <c r="CF613" s="3070" t="s">
        <v>3091</v>
      </c>
      <c r="CH613" s="3070" t="s">
        <v>3240</v>
      </c>
      <c r="CI613" s="3070">
        <v>0</v>
      </c>
      <c r="CJ613" s="3070" t="s">
        <v>3259</v>
      </c>
      <c r="CK613" s="3070" t="s">
        <v>3429</v>
      </c>
      <c r="CL613" s="3070" t="s">
        <v>3429</v>
      </c>
      <c r="CM613" s="3070">
        <v>1398277.98</v>
      </c>
      <c r="CV613" s="3070" t="s">
        <v>3258</v>
      </c>
      <c r="CW613" s="3070" t="s">
        <v>8250</v>
      </c>
      <c r="CX613" s="3070" t="s">
        <v>3267</v>
      </c>
      <c r="CZ613" s="3070">
        <v>213894.57</v>
      </c>
      <c r="DA613" s="3070">
        <v>159426.93</v>
      </c>
      <c r="DB613" s="3070">
        <v>0</v>
      </c>
      <c r="DC613" s="3070">
        <v>0</v>
      </c>
      <c r="DD613" s="3070">
        <v>3290547602</v>
      </c>
      <c r="DE613" s="3070">
        <v>2764253109</v>
      </c>
      <c r="DF613" s="3070">
        <v>1464966739</v>
      </c>
      <c r="DG613" s="3070">
        <v>14938370</v>
      </c>
      <c r="DH613" s="3070">
        <v>1284348000</v>
      </c>
      <c r="DI613" s="3070">
        <v>1278128000</v>
      </c>
      <c r="DJ613" s="3070">
        <v>6220000</v>
      </c>
      <c r="DK613" s="3070">
        <v>0</v>
      </c>
      <c r="DL613" s="3070">
        <v>0</v>
      </c>
      <c r="DM613" s="3070">
        <v>25491817.620000001</v>
      </c>
      <c r="DN613" s="3070">
        <v>2764253109</v>
      </c>
      <c r="DP613" s="3070">
        <v>2764253109</v>
      </c>
    </row>
    <row r="614" spans="1:120">
      <c r="A614" s="3070">
        <v>613</v>
      </c>
      <c r="B614" s="3070" t="s">
        <v>3224</v>
      </c>
      <c r="C614" s="3070">
        <v>7</v>
      </c>
      <c r="E614" s="3070">
        <v>1501</v>
      </c>
      <c r="F614" s="3070" t="s">
        <v>8251</v>
      </c>
      <c r="G614" s="3070" t="s">
        <v>8252</v>
      </c>
      <c r="H614" s="3070">
        <v>1541557</v>
      </c>
      <c r="I614" s="3070">
        <v>1541557</v>
      </c>
      <c r="J614" s="3070">
        <v>122.27</v>
      </c>
      <c r="K614" s="3070">
        <v>90.43</v>
      </c>
      <c r="L614" s="3070">
        <v>0</v>
      </c>
      <c r="M614" s="3070">
        <v>0</v>
      </c>
      <c r="N614" s="3070">
        <v>15544.44</v>
      </c>
      <c r="O614" s="3070">
        <v>1900619</v>
      </c>
      <c r="P614" s="3070">
        <v>12607.81</v>
      </c>
      <c r="Q614" s="3070">
        <v>1541557</v>
      </c>
      <c r="R614" s="3070" t="s">
        <v>3227</v>
      </c>
      <c r="S614" s="3070" t="s">
        <v>8253</v>
      </c>
      <c r="T614" s="3070" t="s">
        <v>3246</v>
      </c>
      <c r="U614" s="3070" t="s">
        <v>3259</v>
      </c>
      <c r="V614" s="3070" t="s">
        <v>3230</v>
      </c>
      <c r="Y614" s="3070">
        <v>641557</v>
      </c>
      <c r="Z614" s="3070">
        <v>641557</v>
      </c>
      <c r="AA614" s="3070">
        <v>641557</v>
      </c>
      <c r="AB614" s="3070">
        <v>0</v>
      </c>
      <c r="AC614" s="3070">
        <v>900000</v>
      </c>
      <c r="AD614" s="3070">
        <v>900000</v>
      </c>
      <c r="AE614" s="3070">
        <v>0</v>
      </c>
      <c r="AI614" s="3070" t="s">
        <v>3227</v>
      </c>
      <c r="AJ614" s="3070">
        <v>0</v>
      </c>
      <c r="AK614" s="3070">
        <v>0</v>
      </c>
      <c r="AL614" s="3070">
        <v>0</v>
      </c>
      <c r="AM614" s="3070">
        <v>12607.81</v>
      </c>
      <c r="AN614" s="3070">
        <v>1541557</v>
      </c>
      <c r="AP614" s="3070">
        <v>1541557</v>
      </c>
      <c r="AQ614" s="3072">
        <v>45138</v>
      </c>
      <c r="AT614" s="3073">
        <v>45678</v>
      </c>
      <c r="AV614" s="3070" t="s">
        <v>8254</v>
      </c>
      <c r="AW614" s="3070" t="s">
        <v>8255</v>
      </c>
      <c r="AX614" s="3070" t="s">
        <v>8256</v>
      </c>
      <c r="AY614" s="3070" t="s">
        <v>3337</v>
      </c>
      <c r="BC614" s="3070" t="s">
        <v>3284</v>
      </c>
      <c r="BD614" s="3070" t="s">
        <v>3075</v>
      </c>
      <c r="BI614" s="3070" t="s">
        <v>3235</v>
      </c>
      <c r="BL614" s="3070" t="s">
        <v>8257</v>
      </c>
      <c r="BM614" s="3075">
        <v>44378</v>
      </c>
      <c r="BN614" s="3070">
        <v>501</v>
      </c>
      <c r="BO614" s="3070" t="s">
        <v>3253</v>
      </c>
      <c r="BR614" s="3070">
        <v>305</v>
      </c>
      <c r="BS614" s="3070" t="s">
        <v>3238</v>
      </c>
      <c r="BZ614" s="3073">
        <v>44142.663194444445</v>
      </c>
      <c r="CA614" s="3070">
        <v>7</v>
      </c>
      <c r="CD614" s="3070" t="s">
        <v>3239</v>
      </c>
      <c r="CF614" s="3070" t="s">
        <v>3091</v>
      </c>
      <c r="CH614" s="3070" t="s">
        <v>3240</v>
      </c>
      <c r="CI614" s="3070">
        <v>0</v>
      </c>
      <c r="CK614" s="3070" t="s">
        <v>3337</v>
      </c>
      <c r="CL614" s="3070" t="s">
        <v>3337</v>
      </c>
      <c r="CM614" s="3070">
        <v>1414272.48</v>
      </c>
      <c r="CV614" s="3070" t="s">
        <v>3246</v>
      </c>
      <c r="CW614" s="3070" t="s">
        <v>8258</v>
      </c>
      <c r="CX614" s="3070" t="s">
        <v>8259</v>
      </c>
      <c r="CZ614" s="3070">
        <v>213894.57</v>
      </c>
      <c r="DA614" s="3070">
        <v>159426.93</v>
      </c>
      <c r="DB614" s="3070">
        <v>0</v>
      </c>
      <c r="DC614" s="3070">
        <v>0</v>
      </c>
      <c r="DD614" s="3070">
        <v>3290547602</v>
      </c>
      <c r="DE614" s="3070">
        <v>2764253109</v>
      </c>
      <c r="DF614" s="3070">
        <v>1464966739</v>
      </c>
      <c r="DG614" s="3070">
        <v>14938370</v>
      </c>
      <c r="DH614" s="3070">
        <v>1284348000</v>
      </c>
      <c r="DI614" s="3070">
        <v>1278128000</v>
      </c>
      <c r="DJ614" s="3070">
        <v>6220000</v>
      </c>
      <c r="DK614" s="3070">
        <v>0</v>
      </c>
      <c r="DL614" s="3070">
        <v>0</v>
      </c>
      <c r="DM614" s="3070">
        <v>25491817.620000001</v>
      </c>
      <c r="DN614" s="3070">
        <v>2764253109</v>
      </c>
      <c r="DP614" s="3070">
        <v>2764253109</v>
      </c>
    </row>
    <row r="615" spans="1:120">
      <c r="A615" s="3070">
        <v>614</v>
      </c>
      <c r="B615" s="3070" t="s">
        <v>3224</v>
      </c>
      <c r="C615" s="3070">
        <v>7</v>
      </c>
      <c r="E615" s="3070">
        <v>1502</v>
      </c>
      <c r="F615" s="3070" t="s">
        <v>8260</v>
      </c>
      <c r="G615" s="3070" t="s">
        <v>8261</v>
      </c>
      <c r="H615" s="3070">
        <v>1281023</v>
      </c>
      <c r="I615" s="3070">
        <v>1281023</v>
      </c>
      <c r="J615" s="3070">
        <v>101.99</v>
      </c>
      <c r="K615" s="3070">
        <v>75.430000000000007</v>
      </c>
      <c r="L615" s="3070">
        <v>0</v>
      </c>
      <c r="M615" s="3070">
        <v>0</v>
      </c>
      <c r="N615" s="3070">
        <v>15494.44</v>
      </c>
      <c r="O615" s="3070">
        <v>1580278</v>
      </c>
      <c r="P615" s="3070">
        <v>12560.28</v>
      </c>
      <c r="Q615" s="3070">
        <v>1281023</v>
      </c>
      <c r="R615" s="3070" t="s">
        <v>3227</v>
      </c>
      <c r="S615" s="3070" t="s">
        <v>8262</v>
      </c>
      <c r="T615" s="3070" t="s">
        <v>3246</v>
      </c>
      <c r="U615" s="3070" t="s">
        <v>3279</v>
      </c>
      <c r="V615" s="3070" t="s">
        <v>3230</v>
      </c>
      <c r="Y615" s="3070">
        <v>421023</v>
      </c>
      <c r="Z615" s="3070">
        <v>421023</v>
      </c>
      <c r="AA615" s="3070">
        <v>421023</v>
      </c>
      <c r="AB615" s="3070">
        <v>0</v>
      </c>
      <c r="AC615" s="3070">
        <v>860000</v>
      </c>
      <c r="AD615" s="3070">
        <v>860000</v>
      </c>
      <c r="AE615" s="3070">
        <v>0</v>
      </c>
      <c r="AI615" s="3070" t="s">
        <v>3227</v>
      </c>
      <c r="AJ615" s="3070">
        <v>0</v>
      </c>
      <c r="AK615" s="3070">
        <v>0</v>
      </c>
      <c r="AL615" s="3070">
        <v>0</v>
      </c>
      <c r="AM615" s="3070">
        <v>12560.28</v>
      </c>
      <c r="AN615" s="3070">
        <v>1281023</v>
      </c>
      <c r="AP615" s="3070">
        <v>1281023</v>
      </c>
      <c r="AQ615" s="3072">
        <v>45138</v>
      </c>
      <c r="AT615" s="3073">
        <v>45678</v>
      </c>
      <c r="AV615" s="3070" t="s">
        <v>8263</v>
      </c>
      <c r="AW615" s="3070" t="s">
        <v>8264</v>
      </c>
      <c r="AX615" s="3070" t="s">
        <v>8265</v>
      </c>
      <c r="AY615" s="3070" t="s">
        <v>5921</v>
      </c>
      <c r="BC615" s="3070" t="s">
        <v>3284</v>
      </c>
      <c r="BD615" s="3070" t="s">
        <v>3077</v>
      </c>
      <c r="BI615" s="3070" t="s">
        <v>3235</v>
      </c>
      <c r="BJ615" s="3070" t="s">
        <v>3338</v>
      </c>
      <c r="BL615" s="3070" t="s">
        <v>8266</v>
      </c>
      <c r="BM615" s="3075">
        <v>44378</v>
      </c>
      <c r="BN615" s="3070">
        <v>502</v>
      </c>
      <c r="BO615" s="3070" t="s">
        <v>3253</v>
      </c>
      <c r="BR615" s="3070">
        <v>111</v>
      </c>
      <c r="BS615" s="3070" t="s">
        <v>3238</v>
      </c>
      <c r="BZ615" s="3073">
        <v>44145.585416666669</v>
      </c>
      <c r="CA615" s="3070">
        <v>7</v>
      </c>
      <c r="CD615" s="3070" t="s">
        <v>3239</v>
      </c>
      <c r="CF615" s="3070" t="s">
        <v>3091</v>
      </c>
      <c r="CH615" s="3070" t="s">
        <v>3240</v>
      </c>
      <c r="CI615" s="3070">
        <v>0</v>
      </c>
      <c r="CK615" s="3070" t="s">
        <v>5921</v>
      </c>
      <c r="CL615" s="3070" t="s">
        <v>5921</v>
      </c>
      <c r="CM615" s="3070">
        <v>1175250.46</v>
      </c>
      <c r="CV615" s="3070" t="s">
        <v>3246</v>
      </c>
      <c r="CW615" s="3070" t="s">
        <v>8267</v>
      </c>
      <c r="CZ615" s="3070">
        <v>213894.57</v>
      </c>
      <c r="DA615" s="3070">
        <v>159426.93</v>
      </c>
      <c r="DB615" s="3070">
        <v>0</v>
      </c>
      <c r="DC615" s="3070">
        <v>0</v>
      </c>
      <c r="DD615" s="3070">
        <v>3290547602</v>
      </c>
      <c r="DE615" s="3070">
        <v>2764253109</v>
      </c>
      <c r="DF615" s="3070">
        <v>1464966739</v>
      </c>
      <c r="DG615" s="3070">
        <v>14938370</v>
      </c>
      <c r="DH615" s="3070">
        <v>1284348000</v>
      </c>
      <c r="DI615" s="3070">
        <v>1278128000</v>
      </c>
      <c r="DJ615" s="3070">
        <v>6220000</v>
      </c>
      <c r="DK615" s="3070">
        <v>0</v>
      </c>
      <c r="DL615" s="3070">
        <v>0</v>
      </c>
      <c r="DM615" s="3070">
        <v>25491817.620000001</v>
      </c>
      <c r="DN615" s="3070">
        <v>2764253109</v>
      </c>
      <c r="DP615" s="3070">
        <v>2764253109</v>
      </c>
    </row>
    <row r="616" spans="1:120">
      <c r="A616" s="3070">
        <v>615</v>
      </c>
      <c r="B616" s="3070" t="s">
        <v>3224</v>
      </c>
      <c r="C616" s="3070">
        <v>7</v>
      </c>
      <c r="E616" s="3070">
        <v>1503</v>
      </c>
      <c r="F616" s="3070" t="s">
        <v>8268</v>
      </c>
      <c r="G616" s="3070" t="s">
        <v>8269</v>
      </c>
      <c r="H616" s="3070">
        <v>1280269</v>
      </c>
      <c r="I616" s="3070">
        <v>1280269</v>
      </c>
      <c r="J616" s="3070">
        <v>101.93</v>
      </c>
      <c r="K616" s="3070">
        <v>75.39</v>
      </c>
      <c r="L616" s="3070">
        <v>0</v>
      </c>
      <c r="M616" s="3070">
        <v>0</v>
      </c>
      <c r="N616" s="3070">
        <v>15494.44</v>
      </c>
      <c r="O616" s="3070">
        <v>1579348</v>
      </c>
      <c r="P616" s="3070">
        <v>12560.28</v>
      </c>
      <c r="Q616" s="3070">
        <v>1280269</v>
      </c>
      <c r="R616" s="3070" t="s">
        <v>3227</v>
      </c>
      <c r="S616" s="3070" t="s">
        <v>8270</v>
      </c>
      <c r="T616" s="3070" t="s">
        <v>3246</v>
      </c>
      <c r="U616" s="3070" t="s">
        <v>3259</v>
      </c>
      <c r="V616" s="3070" t="s">
        <v>3230</v>
      </c>
      <c r="Y616" s="3070">
        <v>400269</v>
      </c>
      <c r="Z616" s="3070">
        <v>400269</v>
      </c>
      <c r="AA616" s="3070">
        <v>400269</v>
      </c>
      <c r="AB616" s="3070">
        <v>0</v>
      </c>
      <c r="AC616" s="3070">
        <v>880000</v>
      </c>
      <c r="AD616" s="3070">
        <v>880000</v>
      </c>
      <c r="AE616" s="3070">
        <v>0</v>
      </c>
      <c r="AI616" s="3070" t="s">
        <v>3227</v>
      </c>
      <c r="AJ616" s="3070">
        <v>0</v>
      </c>
      <c r="AK616" s="3070">
        <v>0</v>
      </c>
      <c r="AL616" s="3070">
        <v>0</v>
      </c>
      <c r="AM616" s="3070">
        <v>12560.28</v>
      </c>
      <c r="AN616" s="3070">
        <v>1280269</v>
      </c>
      <c r="AP616" s="3070">
        <v>1280269</v>
      </c>
      <c r="AQ616" s="3072">
        <v>45138</v>
      </c>
      <c r="AT616" s="3073">
        <v>45678</v>
      </c>
      <c r="AV616" s="3070" t="s">
        <v>8271</v>
      </c>
      <c r="AW616" s="3070" t="s">
        <v>8272</v>
      </c>
      <c r="AX616" s="3070" t="s">
        <v>8273</v>
      </c>
      <c r="AY616" s="3070" t="s">
        <v>5921</v>
      </c>
      <c r="BC616" s="3070" t="s">
        <v>3284</v>
      </c>
      <c r="BD616" s="3070" t="s">
        <v>3077</v>
      </c>
      <c r="BI616" s="3070" t="s">
        <v>3235</v>
      </c>
      <c r="BJ616" s="3070" t="s">
        <v>3338</v>
      </c>
      <c r="BL616" s="3070" t="s">
        <v>8274</v>
      </c>
      <c r="BM616" s="3075">
        <v>44378</v>
      </c>
      <c r="BN616" s="3070">
        <v>503</v>
      </c>
      <c r="BO616" s="3070" t="s">
        <v>3253</v>
      </c>
      <c r="BR616" s="3070">
        <v>135</v>
      </c>
      <c r="BS616" s="3070" t="s">
        <v>3238</v>
      </c>
      <c r="BZ616" s="3073">
        <v>44142.626388888886</v>
      </c>
      <c r="CA616" s="3070">
        <v>7</v>
      </c>
      <c r="CD616" s="3070" t="s">
        <v>3239</v>
      </c>
      <c r="CF616" s="3070" t="s">
        <v>3091</v>
      </c>
      <c r="CH616" s="3070" t="s">
        <v>3240</v>
      </c>
      <c r="CI616" s="3070">
        <v>0</v>
      </c>
      <c r="CK616" s="3070" t="s">
        <v>5921</v>
      </c>
      <c r="CL616" s="3070" t="s">
        <v>5921</v>
      </c>
      <c r="CM616" s="3070">
        <v>1174558.72</v>
      </c>
      <c r="CV616" s="3070" t="s">
        <v>3246</v>
      </c>
      <c r="CW616" s="3070" t="s">
        <v>8275</v>
      </c>
      <c r="CZ616" s="3070">
        <v>213894.57</v>
      </c>
      <c r="DA616" s="3070">
        <v>159426.93</v>
      </c>
      <c r="DB616" s="3070">
        <v>0</v>
      </c>
      <c r="DC616" s="3070">
        <v>0</v>
      </c>
      <c r="DD616" s="3070">
        <v>3290547602</v>
      </c>
      <c r="DE616" s="3070">
        <v>2764253109</v>
      </c>
      <c r="DF616" s="3070">
        <v>1464966739</v>
      </c>
      <c r="DG616" s="3070">
        <v>14938370</v>
      </c>
      <c r="DH616" s="3070">
        <v>1284348000</v>
      </c>
      <c r="DI616" s="3070">
        <v>1278128000</v>
      </c>
      <c r="DJ616" s="3070">
        <v>6220000</v>
      </c>
      <c r="DK616" s="3070">
        <v>0</v>
      </c>
      <c r="DL616" s="3070">
        <v>0</v>
      </c>
      <c r="DM616" s="3070">
        <v>25491817.620000001</v>
      </c>
      <c r="DN616" s="3070">
        <v>2764253109</v>
      </c>
      <c r="DP616" s="3070">
        <v>2764253109</v>
      </c>
    </row>
    <row r="617" spans="1:120">
      <c r="A617" s="3070">
        <v>616</v>
      </c>
      <c r="B617" s="3070" t="s">
        <v>3224</v>
      </c>
      <c r="C617" s="3070">
        <v>7</v>
      </c>
      <c r="E617" s="3070">
        <v>1504</v>
      </c>
      <c r="F617" s="3070" t="s">
        <v>8276</v>
      </c>
      <c r="G617" s="3070" t="s">
        <v>8277</v>
      </c>
      <c r="H617" s="3070">
        <v>1659553</v>
      </c>
      <c r="I617" s="3070">
        <v>1659553</v>
      </c>
      <c r="J617" s="3070">
        <v>122.27</v>
      </c>
      <c r="K617" s="3070">
        <v>90.43</v>
      </c>
      <c r="L617" s="3070">
        <v>0</v>
      </c>
      <c r="M617" s="3070">
        <v>0</v>
      </c>
      <c r="N617" s="3070">
        <v>15444.44</v>
      </c>
      <c r="O617" s="3070">
        <v>1888392</v>
      </c>
      <c r="P617" s="3070">
        <v>13572.86</v>
      </c>
      <c r="Q617" s="3070">
        <v>1659553</v>
      </c>
      <c r="R617" s="3070" t="s">
        <v>3227</v>
      </c>
      <c r="S617" s="3070" t="s">
        <v>8278</v>
      </c>
      <c r="T617" s="3070" t="s">
        <v>3246</v>
      </c>
      <c r="U617" s="3070" t="s">
        <v>3259</v>
      </c>
      <c r="V617" s="3070" t="s">
        <v>3230</v>
      </c>
      <c r="Y617" s="3070">
        <v>499553</v>
      </c>
      <c r="Z617" s="3070">
        <v>499553</v>
      </c>
      <c r="AA617" s="3070">
        <v>499553</v>
      </c>
      <c r="AB617" s="3070">
        <v>0</v>
      </c>
      <c r="AC617" s="3070">
        <v>1160000</v>
      </c>
      <c r="AD617" s="3070">
        <v>1160000</v>
      </c>
      <c r="AE617" s="3070">
        <v>0</v>
      </c>
      <c r="AI617" s="3070" t="s">
        <v>3227</v>
      </c>
      <c r="AJ617" s="3070">
        <v>0</v>
      </c>
      <c r="AK617" s="3070">
        <v>0</v>
      </c>
      <c r="AL617" s="3070">
        <v>0</v>
      </c>
      <c r="AM617" s="3070">
        <v>13572.86</v>
      </c>
      <c r="AN617" s="3070">
        <v>1659553</v>
      </c>
      <c r="AP617" s="3070">
        <v>1659553</v>
      </c>
      <c r="AQ617" s="3072">
        <v>45138</v>
      </c>
      <c r="AT617" s="3073">
        <v>45678</v>
      </c>
      <c r="AV617" s="3070" t="s">
        <v>8279</v>
      </c>
      <c r="AW617" s="3070" t="s">
        <v>8280</v>
      </c>
      <c r="AX617" s="3070" t="s">
        <v>8281</v>
      </c>
      <c r="AY617" s="3070" t="s">
        <v>4265</v>
      </c>
      <c r="BC617" s="3070" t="s">
        <v>7237</v>
      </c>
      <c r="BD617" s="3070" t="s">
        <v>3075</v>
      </c>
      <c r="BI617" s="3070" t="s">
        <v>3235</v>
      </c>
      <c r="BL617" s="3070" t="s">
        <v>8282</v>
      </c>
      <c r="BM617" s="3075">
        <v>44378</v>
      </c>
      <c r="BN617" s="3070">
        <v>504</v>
      </c>
      <c r="BO617" s="3070" t="s">
        <v>3253</v>
      </c>
      <c r="BR617" s="3070">
        <v>0</v>
      </c>
      <c r="BS617" s="3070" t="s">
        <v>3238</v>
      </c>
      <c r="BV617" s="3070" t="s">
        <v>8283</v>
      </c>
      <c r="BZ617" s="3073">
        <v>44248.75</v>
      </c>
      <c r="CA617" s="3070">
        <v>7</v>
      </c>
      <c r="CD617" s="3070" t="s">
        <v>3239</v>
      </c>
      <c r="CF617" s="3070" t="s">
        <v>3091</v>
      </c>
      <c r="CH617" s="3070" t="s">
        <v>3240</v>
      </c>
      <c r="CI617" s="3070">
        <v>0</v>
      </c>
      <c r="CK617" s="3070" t="s">
        <v>5164</v>
      </c>
      <c r="CL617" s="3070" t="s">
        <v>4265</v>
      </c>
      <c r="CM617" s="3070">
        <v>1522525.69</v>
      </c>
      <c r="CV617" s="3070" t="s">
        <v>3246</v>
      </c>
      <c r="CW617" s="3070" t="s">
        <v>8284</v>
      </c>
      <c r="CX617" s="3070" t="s">
        <v>3267</v>
      </c>
      <c r="CZ617" s="3070">
        <v>213894.57</v>
      </c>
      <c r="DA617" s="3070">
        <v>159426.93</v>
      </c>
      <c r="DB617" s="3070">
        <v>0</v>
      </c>
      <c r="DC617" s="3070">
        <v>0</v>
      </c>
      <c r="DD617" s="3070">
        <v>3290547602</v>
      </c>
      <c r="DE617" s="3070">
        <v>2764253109</v>
      </c>
      <c r="DF617" s="3070">
        <v>1464966739</v>
      </c>
      <c r="DG617" s="3070">
        <v>14938370</v>
      </c>
      <c r="DH617" s="3070">
        <v>1284348000</v>
      </c>
      <c r="DI617" s="3070">
        <v>1278128000</v>
      </c>
      <c r="DJ617" s="3070">
        <v>6220000</v>
      </c>
      <c r="DK617" s="3070">
        <v>0</v>
      </c>
      <c r="DL617" s="3070">
        <v>0</v>
      </c>
      <c r="DM617" s="3070">
        <v>25491817.620000001</v>
      </c>
      <c r="DN617" s="3070">
        <v>2764253109</v>
      </c>
      <c r="DP617" s="3070">
        <v>2764253109</v>
      </c>
    </row>
    <row r="618" spans="1:120">
      <c r="A618" s="3070">
        <v>617</v>
      </c>
      <c r="B618" s="3070" t="s">
        <v>3224</v>
      </c>
      <c r="C618" s="3070">
        <v>7</v>
      </c>
      <c r="E618" s="3070">
        <v>1601</v>
      </c>
      <c r="F618" s="3070" t="s">
        <v>8285</v>
      </c>
      <c r="G618" s="3070" t="s">
        <v>8286</v>
      </c>
      <c r="H618" s="3070">
        <v>1541557</v>
      </c>
      <c r="I618" s="3070">
        <v>1541557</v>
      </c>
      <c r="J618" s="3070">
        <v>122.27</v>
      </c>
      <c r="K618" s="3070">
        <v>90.43</v>
      </c>
      <c r="L618" s="3070">
        <v>0</v>
      </c>
      <c r="M618" s="3070">
        <v>0</v>
      </c>
      <c r="N618" s="3070">
        <v>15544.44</v>
      </c>
      <c r="O618" s="3070">
        <v>1900619</v>
      </c>
      <c r="P618" s="3070">
        <v>12607.81</v>
      </c>
      <c r="Q618" s="3070">
        <v>1541557</v>
      </c>
      <c r="R618" s="3070" t="s">
        <v>3227</v>
      </c>
      <c r="S618" s="3070" t="s">
        <v>8287</v>
      </c>
      <c r="T618" s="3070" t="s">
        <v>3246</v>
      </c>
      <c r="U618" s="3070" t="s">
        <v>3539</v>
      </c>
      <c r="V618" s="3070" t="s">
        <v>3230</v>
      </c>
      <c r="Y618" s="3070">
        <v>471557</v>
      </c>
      <c r="Z618" s="3070">
        <v>471557</v>
      </c>
      <c r="AA618" s="3070">
        <v>471557</v>
      </c>
      <c r="AB618" s="3070">
        <v>0</v>
      </c>
      <c r="AC618" s="3070">
        <v>1070000</v>
      </c>
      <c r="AD618" s="3070">
        <v>1070000</v>
      </c>
      <c r="AE618" s="3070">
        <v>0</v>
      </c>
      <c r="AI618" s="3070" t="s">
        <v>3227</v>
      </c>
      <c r="AJ618" s="3070">
        <v>0</v>
      </c>
      <c r="AK618" s="3070">
        <v>0</v>
      </c>
      <c r="AL618" s="3070">
        <v>0</v>
      </c>
      <c r="AM618" s="3070">
        <v>12607.81</v>
      </c>
      <c r="AN618" s="3070">
        <v>1541557</v>
      </c>
      <c r="AP618" s="3070">
        <v>1541557</v>
      </c>
      <c r="AQ618" s="3072">
        <v>45138</v>
      </c>
      <c r="AT618" s="3073">
        <v>45678</v>
      </c>
      <c r="AV618" s="3074">
        <v>3.21E+17</v>
      </c>
      <c r="AW618" s="3070" t="s">
        <v>8288</v>
      </c>
      <c r="AX618" s="3070" t="s">
        <v>8289</v>
      </c>
      <c r="AY618" s="3070" t="s">
        <v>3722</v>
      </c>
      <c r="BC618" s="3070" t="s">
        <v>3284</v>
      </c>
      <c r="BD618" s="3070" t="s">
        <v>3075</v>
      </c>
      <c r="BI618" s="3070" t="s">
        <v>3295</v>
      </c>
      <c r="BJ618" s="3070" t="s">
        <v>3598</v>
      </c>
      <c r="BL618" s="3070" t="s">
        <v>8290</v>
      </c>
      <c r="BM618" s="3075">
        <v>44378</v>
      </c>
      <c r="BN618" s="3070">
        <v>601</v>
      </c>
      <c r="BO618" s="3070" t="s">
        <v>3253</v>
      </c>
      <c r="BR618" s="3070">
        <v>274</v>
      </c>
      <c r="BS618" s="3070" t="s">
        <v>3238</v>
      </c>
      <c r="BZ618" s="3073">
        <v>44142.963194444441</v>
      </c>
      <c r="CA618" s="3070">
        <v>7</v>
      </c>
      <c r="CD618" s="3070" t="s">
        <v>3239</v>
      </c>
      <c r="CF618" s="3070" t="s">
        <v>3091</v>
      </c>
      <c r="CH618" s="3070" t="s">
        <v>3240</v>
      </c>
      <c r="CI618" s="3070">
        <v>0</v>
      </c>
      <c r="CK618" s="3070" t="s">
        <v>3722</v>
      </c>
      <c r="CL618" s="3070" t="s">
        <v>3722</v>
      </c>
      <c r="CM618" s="3070">
        <v>1414272.48</v>
      </c>
      <c r="CV618" s="3070" t="s">
        <v>3246</v>
      </c>
      <c r="CW618" s="3070" t="s">
        <v>8291</v>
      </c>
      <c r="CZ618" s="3070">
        <v>213894.57</v>
      </c>
      <c r="DA618" s="3070">
        <v>159426.93</v>
      </c>
      <c r="DB618" s="3070">
        <v>0</v>
      </c>
      <c r="DC618" s="3070">
        <v>0</v>
      </c>
      <c r="DD618" s="3070">
        <v>3290547602</v>
      </c>
      <c r="DE618" s="3070">
        <v>2764253109</v>
      </c>
      <c r="DF618" s="3070">
        <v>1464966739</v>
      </c>
      <c r="DG618" s="3070">
        <v>14938370</v>
      </c>
      <c r="DH618" s="3070">
        <v>1284348000</v>
      </c>
      <c r="DI618" s="3070">
        <v>1278128000</v>
      </c>
      <c r="DJ618" s="3070">
        <v>6220000</v>
      </c>
      <c r="DK618" s="3070">
        <v>0</v>
      </c>
      <c r="DL618" s="3070">
        <v>0</v>
      </c>
      <c r="DM618" s="3070">
        <v>25491817.620000001</v>
      </c>
      <c r="DN618" s="3070">
        <v>2764253109</v>
      </c>
      <c r="DP618" s="3070">
        <v>2764253109</v>
      </c>
    </row>
    <row r="619" spans="1:120">
      <c r="A619" s="3070">
        <v>618</v>
      </c>
      <c r="B619" s="3070" t="s">
        <v>3224</v>
      </c>
      <c r="C619" s="3070">
        <v>7</v>
      </c>
      <c r="E619" s="3070">
        <v>1602</v>
      </c>
      <c r="F619" s="3070" t="s">
        <v>8292</v>
      </c>
      <c r="G619" s="3070" t="s">
        <v>8293</v>
      </c>
      <c r="H619" s="3070">
        <v>1281023</v>
      </c>
      <c r="I619" s="3070">
        <v>1281023</v>
      </c>
      <c r="J619" s="3070">
        <v>101.99</v>
      </c>
      <c r="K619" s="3070">
        <v>75.430000000000007</v>
      </c>
      <c r="L619" s="3070">
        <v>0</v>
      </c>
      <c r="M619" s="3070">
        <v>0</v>
      </c>
      <c r="N619" s="3070">
        <v>15494.44</v>
      </c>
      <c r="O619" s="3070">
        <v>1580278</v>
      </c>
      <c r="P619" s="3070">
        <v>12560.28</v>
      </c>
      <c r="Q619" s="3070">
        <v>1281023</v>
      </c>
      <c r="R619" s="3070" t="s">
        <v>3227</v>
      </c>
      <c r="S619" s="3070" t="s">
        <v>8294</v>
      </c>
      <c r="T619" s="3070" t="s">
        <v>3246</v>
      </c>
      <c r="U619" s="3070" t="s">
        <v>3371</v>
      </c>
      <c r="V619" s="3070" t="s">
        <v>3230</v>
      </c>
      <c r="Y619" s="3070">
        <v>781023</v>
      </c>
      <c r="Z619" s="3070">
        <v>781023</v>
      </c>
      <c r="AA619" s="3070">
        <v>781023</v>
      </c>
      <c r="AB619" s="3070">
        <v>0</v>
      </c>
      <c r="AC619" s="3070">
        <v>500000</v>
      </c>
      <c r="AD619" s="3070">
        <v>500000</v>
      </c>
      <c r="AE619" s="3070">
        <v>0</v>
      </c>
      <c r="AI619" s="3070" t="s">
        <v>3227</v>
      </c>
      <c r="AJ619" s="3070">
        <v>0</v>
      </c>
      <c r="AK619" s="3070">
        <v>0</v>
      </c>
      <c r="AL619" s="3070">
        <v>0</v>
      </c>
      <c r="AM619" s="3070">
        <v>12560.28</v>
      </c>
      <c r="AN619" s="3070">
        <v>1281023</v>
      </c>
      <c r="AP619" s="3070">
        <v>1281023</v>
      </c>
      <c r="AQ619" s="3072">
        <v>45138</v>
      </c>
      <c r="AT619" s="3073">
        <v>45678</v>
      </c>
      <c r="AV619" s="3070" t="s">
        <v>8295</v>
      </c>
      <c r="AW619" s="3070" t="s">
        <v>8296</v>
      </c>
      <c r="AX619" s="3070" t="s">
        <v>8297</v>
      </c>
      <c r="AY619" s="3070" t="s">
        <v>3419</v>
      </c>
      <c r="BC619" s="3070" t="s">
        <v>3284</v>
      </c>
      <c r="BD619" s="3070" t="s">
        <v>3077</v>
      </c>
      <c r="BI619" s="3070" t="s">
        <v>3235</v>
      </c>
      <c r="BJ619" s="3070" t="s">
        <v>3236</v>
      </c>
      <c r="BL619" s="3070" t="s">
        <v>8298</v>
      </c>
      <c r="BM619" s="3075">
        <v>44378</v>
      </c>
      <c r="BN619" s="3070">
        <v>602</v>
      </c>
      <c r="BO619" s="3070" t="s">
        <v>3253</v>
      </c>
      <c r="BR619" s="3070">
        <v>273</v>
      </c>
      <c r="BS619" s="3070" t="s">
        <v>3238</v>
      </c>
      <c r="BZ619" s="3073">
        <v>44142.62222222222</v>
      </c>
      <c r="CA619" s="3070">
        <v>7</v>
      </c>
      <c r="CD619" s="3070" t="s">
        <v>3239</v>
      </c>
      <c r="CF619" s="3070" t="s">
        <v>3091</v>
      </c>
      <c r="CH619" s="3070" t="s">
        <v>3240</v>
      </c>
      <c r="CI619" s="3070">
        <v>0</v>
      </c>
      <c r="CK619" s="3070" t="s">
        <v>3419</v>
      </c>
      <c r="CL619" s="3070" t="s">
        <v>3419</v>
      </c>
      <c r="CM619" s="3070">
        <v>1175250.46</v>
      </c>
      <c r="CV619" s="3070" t="s">
        <v>3246</v>
      </c>
      <c r="CW619" s="3070" t="s">
        <v>8299</v>
      </c>
      <c r="CX619" s="3070" t="s">
        <v>3510</v>
      </c>
      <c r="CZ619" s="3070">
        <v>213894.57</v>
      </c>
      <c r="DA619" s="3070">
        <v>159426.93</v>
      </c>
      <c r="DB619" s="3070">
        <v>0</v>
      </c>
      <c r="DC619" s="3070">
        <v>0</v>
      </c>
      <c r="DD619" s="3070">
        <v>3290547602</v>
      </c>
      <c r="DE619" s="3070">
        <v>2764253109</v>
      </c>
      <c r="DF619" s="3070">
        <v>1464966739</v>
      </c>
      <c r="DG619" s="3070">
        <v>14938370</v>
      </c>
      <c r="DH619" s="3070">
        <v>1284348000</v>
      </c>
      <c r="DI619" s="3070">
        <v>1278128000</v>
      </c>
      <c r="DJ619" s="3070">
        <v>6220000</v>
      </c>
      <c r="DK619" s="3070">
        <v>0</v>
      </c>
      <c r="DL619" s="3070">
        <v>0</v>
      </c>
      <c r="DM619" s="3070">
        <v>25491817.620000001</v>
      </c>
      <c r="DN619" s="3070">
        <v>2764253109</v>
      </c>
      <c r="DP619" s="3070">
        <v>2764253109</v>
      </c>
    </row>
    <row r="620" spans="1:120">
      <c r="A620" s="3070">
        <v>619</v>
      </c>
      <c r="B620" s="3070" t="s">
        <v>3224</v>
      </c>
      <c r="C620" s="3070">
        <v>7</v>
      </c>
      <c r="E620" s="3070">
        <v>1603</v>
      </c>
      <c r="F620" s="3070" t="s">
        <v>8300</v>
      </c>
      <c r="G620" s="3070" t="s">
        <v>8301</v>
      </c>
      <c r="H620" s="3070">
        <v>1280269</v>
      </c>
      <c r="I620" s="3070">
        <v>1280269</v>
      </c>
      <c r="J620" s="3070">
        <v>101.93</v>
      </c>
      <c r="K620" s="3070">
        <v>75.39</v>
      </c>
      <c r="L620" s="3070">
        <v>0</v>
      </c>
      <c r="M620" s="3070">
        <v>0</v>
      </c>
      <c r="N620" s="3070">
        <v>15494.44</v>
      </c>
      <c r="O620" s="3070">
        <v>1579348</v>
      </c>
      <c r="P620" s="3070">
        <v>12560.28</v>
      </c>
      <c r="Q620" s="3070">
        <v>1280269</v>
      </c>
      <c r="R620" s="3070" t="s">
        <v>3227</v>
      </c>
      <c r="S620" s="3070" t="s">
        <v>8302</v>
      </c>
      <c r="T620" s="3070" t="s">
        <v>3246</v>
      </c>
      <c r="U620" s="3070" t="s">
        <v>3279</v>
      </c>
      <c r="V620" s="3070" t="s">
        <v>3230</v>
      </c>
      <c r="Y620" s="3070">
        <v>650269</v>
      </c>
      <c r="Z620" s="3070">
        <v>650269</v>
      </c>
      <c r="AA620" s="3070">
        <v>650269</v>
      </c>
      <c r="AB620" s="3070">
        <v>0</v>
      </c>
      <c r="AC620" s="3070">
        <v>630000</v>
      </c>
      <c r="AD620" s="3070">
        <v>630000</v>
      </c>
      <c r="AE620" s="3070">
        <v>0</v>
      </c>
      <c r="AI620" s="3070" t="s">
        <v>3227</v>
      </c>
      <c r="AJ620" s="3070">
        <v>0</v>
      </c>
      <c r="AK620" s="3070">
        <v>0</v>
      </c>
      <c r="AL620" s="3070">
        <v>0</v>
      </c>
      <c r="AM620" s="3070">
        <v>12560.28</v>
      </c>
      <c r="AN620" s="3070">
        <v>1280269</v>
      </c>
      <c r="AP620" s="3070">
        <v>1280269</v>
      </c>
      <c r="AQ620" s="3072">
        <v>45138</v>
      </c>
      <c r="AT620" s="3073">
        <v>45678</v>
      </c>
      <c r="AV620" s="3074">
        <v>3.21E+17</v>
      </c>
      <c r="AW620" s="3070" t="s">
        <v>8303</v>
      </c>
      <c r="AX620" s="3070" t="s">
        <v>8304</v>
      </c>
      <c r="AY620" s="3070" t="s">
        <v>3318</v>
      </c>
      <c r="BC620" s="3070" t="s">
        <v>3284</v>
      </c>
      <c r="BD620" s="3070" t="s">
        <v>3077</v>
      </c>
      <c r="BI620" s="3070" t="s">
        <v>3295</v>
      </c>
      <c r="BL620" s="3070" t="s">
        <v>8305</v>
      </c>
      <c r="BM620" s="3075">
        <v>44378</v>
      </c>
      <c r="BN620" s="3070">
        <v>603</v>
      </c>
      <c r="BO620" s="3070" t="s">
        <v>3253</v>
      </c>
      <c r="BR620" s="3070">
        <v>861</v>
      </c>
      <c r="BS620" s="3070" t="s">
        <v>3238</v>
      </c>
      <c r="BZ620" s="3073">
        <v>44142.625694444447</v>
      </c>
      <c r="CA620" s="3070">
        <v>7</v>
      </c>
      <c r="CD620" s="3070" t="s">
        <v>3239</v>
      </c>
      <c r="CF620" s="3070" t="s">
        <v>3091</v>
      </c>
      <c r="CH620" s="3070" t="s">
        <v>3240</v>
      </c>
      <c r="CI620" s="3070">
        <v>0</v>
      </c>
      <c r="CK620" s="3070" t="s">
        <v>3318</v>
      </c>
      <c r="CL620" s="3070" t="s">
        <v>3318</v>
      </c>
      <c r="CM620" s="3070">
        <v>1174558.71</v>
      </c>
      <c r="CV620" s="3070" t="s">
        <v>3246</v>
      </c>
      <c r="CW620" s="3070" t="s">
        <v>8306</v>
      </c>
      <c r="CZ620" s="3070">
        <v>213894.57</v>
      </c>
      <c r="DA620" s="3070">
        <v>159426.93</v>
      </c>
      <c r="DB620" s="3070">
        <v>0</v>
      </c>
      <c r="DC620" s="3070">
        <v>0</v>
      </c>
      <c r="DD620" s="3070">
        <v>3290547602</v>
      </c>
      <c r="DE620" s="3070">
        <v>2764253109</v>
      </c>
      <c r="DF620" s="3070">
        <v>1464966739</v>
      </c>
      <c r="DG620" s="3070">
        <v>14938370</v>
      </c>
      <c r="DH620" s="3070">
        <v>1284348000</v>
      </c>
      <c r="DI620" s="3070">
        <v>1278128000</v>
      </c>
      <c r="DJ620" s="3070">
        <v>6220000</v>
      </c>
      <c r="DK620" s="3070">
        <v>0</v>
      </c>
      <c r="DL620" s="3070">
        <v>0</v>
      </c>
      <c r="DM620" s="3070">
        <v>25491817.620000001</v>
      </c>
      <c r="DN620" s="3070">
        <v>2764253109</v>
      </c>
      <c r="DP620" s="3070">
        <v>2764253109</v>
      </c>
    </row>
    <row r="621" spans="1:120">
      <c r="A621" s="3070">
        <v>620</v>
      </c>
      <c r="B621" s="3070" t="s">
        <v>3224</v>
      </c>
      <c r="C621" s="3070">
        <v>7</v>
      </c>
      <c r="E621" s="3070">
        <v>1604</v>
      </c>
      <c r="F621" s="3070" t="s">
        <v>8307</v>
      </c>
      <c r="G621" s="3070" t="s">
        <v>8308</v>
      </c>
      <c r="H621" s="3070">
        <v>1475580</v>
      </c>
      <c r="I621" s="3070">
        <v>1475580</v>
      </c>
      <c r="J621" s="3070">
        <v>122.27</v>
      </c>
      <c r="K621" s="3070">
        <v>90.43</v>
      </c>
      <c r="L621" s="3070">
        <v>0</v>
      </c>
      <c r="M621" s="3070">
        <v>0</v>
      </c>
      <c r="N621" s="3070">
        <v>15444.44</v>
      </c>
      <c r="O621" s="3070">
        <v>1888392</v>
      </c>
      <c r="P621" s="3070">
        <v>12068.21</v>
      </c>
      <c r="Q621" s="3070">
        <v>1475580</v>
      </c>
      <c r="R621" s="3070" t="s">
        <v>3227</v>
      </c>
      <c r="S621" s="3070" t="s">
        <v>3353</v>
      </c>
      <c r="T621" s="3070" t="s">
        <v>3991</v>
      </c>
      <c r="V621" s="3070" t="s">
        <v>3230</v>
      </c>
      <c r="Y621" s="3070">
        <v>442674</v>
      </c>
      <c r="Z621" s="3070">
        <v>442674</v>
      </c>
      <c r="AA621" s="3070">
        <v>1475580</v>
      </c>
      <c r="AB621" s="3070">
        <v>0</v>
      </c>
      <c r="AC621" s="3070">
        <v>0</v>
      </c>
      <c r="AD621" s="3070">
        <v>0</v>
      </c>
      <c r="AE621" s="3070">
        <v>0</v>
      </c>
      <c r="AI621" s="3070" t="s">
        <v>3227</v>
      </c>
      <c r="AJ621" s="3070">
        <v>0</v>
      </c>
      <c r="AK621" s="3070">
        <v>0</v>
      </c>
      <c r="AL621" s="3070">
        <v>0</v>
      </c>
      <c r="AM621" s="3070">
        <v>12068.21</v>
      </c>
      <c r="AN621" s="3070">
        <v>1475580</v>
      </c>
      <c r="AP621" s="3070">
        <v>1475580</v>
      </c>
      <c r="AQ621" s="3072">
        <v>45138</v>
      </c>
      <c r="AT621" s="3073">
        <v>45678</v>
      </c>
      <c r="AV621" s="3074">
        <v>3.21E+17</v>
      </c>
      <c r="AW621" s="3070" t="s">
        <v>8309</v>
      </c>
      <c r="AX621" s="3070" t="s">
        <v>8310</v>
      </c>
      <c r="AY621" s="3070" t="s">
        <v>3892</v>
      </c>
      <c r="BA621" s="3070" t="s">
        <v>3892</v>
      </c>
      <c r="BC621" s="3070" t="s">
        <v>4145</v>
      </c>
      <c r="BD621" s="3070" t="s">
        <v>3075</v>
      </c>
      <c r="BI621" s="3070" t="s">
        <v>4630</v>
      </c>
      <c r="BL621" s="3070" t="s">
        <v>8311</v>
      </c>
      <c r="BM621" s="3075">
        <v>44378</v>
      </c>
      <c r="BN621" s="3070">
        <v>604</v>
      </c>
      <c r="BR621" s="3070">
        <v>21</v>
      </c>
      <c r="BS621" s="3070" t="s">
        <v>3238</v>
      </c>
      <c r="BU621" s="3070" t="s">
        <v>3892</v>
      </c>
      <c r="BZ621" s="3073">
        <v>44206.75</v>
      </c>
      <c r="CA621" s="3070">
        <v>7</v>
      </c>
      <c r="CD621" s="3070" t="s">
        <v>3239</v>
      </c>
      <c r="CF621" s="3070" t="s">
        <v>3091</v>
      </c>
      <c r="CH621" s="3070" t="s">
        <v>3240</v>
      </c>
      <c r="CI621" s="3070">
        <v>0</v>
      </c>
      <c r="CK621" s="3070" t="s">
        <v>3892</v>
      </c>
      <c r="CL621" s="3070" t="s">
        <v>4056</v>
      </c>
      <c r="CM621" s="3070">
        <v>1353743.12</v>
      </c>
      <c r="CV621" s="3070" t="s">
        <v>3494</v>
      </c>
      <c r="CW621" s="3070" t="s">
        <v>8312</v>
      </c>
      <c r="CZ621" s="3070">
        <v>213894.57</v>
      </c>
      <c r="DA621" s="3070">
        <v>159426.93</v>
      </c>
      <c r="DB621" s="3070">
        <v>0</v>
      </c>
      <c r="DC621" s="3070">
        <v>0</v>
      </c>
      <c r="DD621" s="3070">
        <v>3290547602</v>
      </c>
      <c r="DE621" s="3070">
        <v>2764253109</v>
      </c>
      <c r="DF621" s="3070">
        <v>1464966739</v>
      </c>
      <c r="DG621" s="3070">
        <v>14938370</v>
      </c>
      <c r="DH621" s="3070">
        <v>1284348000</v>
      </c>
      <c r="DI621" s="3070">
        <v>1278128000</v>
      </c>
      <c r="DJ621" s="3070">
        <v>6220000</v>
      </c>
      <c r="DK621" s="3070">
        <v>0</v>
      </c>
      <c r="DL621" s="3070">
        <v>0</v>
      </c>
      <c r="DM621" s="3070">
        <v>25491817.620000001</v>
      </c>
      <c r="DN621" s="3070">
        <v>2764253109</v>
      </c>
      <c r="DP621" s="3070">
        <v>2764253109</v>
      </c>
    </row>
    <row r="622" spans="1:120">
      <c r="A622" s="3070">
        <v>621</v>
      </c>
      <c r="B622" s="3070" t="s">
        <v>3224</v>
      </c>
      <c r="C622" s="3070">
        <v>7</v>
      </c>
      <c r="E622" s="3070">
        <v>1701</v>
      </c>
      <c r="F622" s="3070" t="s">
        <v>8313</v>
      </c>
      <c r="G622" s="3070" t="s">
        <v>8314</v>
      </c>
      <c r="H622" s="3070">
        <v>1597492</v>
      </c>
      <c r="I622" s="3070">
        <v>1597492</v>
      </c>
      <c r="J622" s="3070">
        <v>122.27</v>
      </c>
      <c r="K622" s="3070">
        <v>90.43</v>
      </c>
      <c r="L622" s="3070">
        <v>0</v>
      </c>
      <c r="M622" s="3070">
        <v>0</v>
      </c>
      <c r="N622" s="3070">
        <v>15444.44</v>
      </c>
      <c r="O622" s="3070">
        <v>1888392</v>
      </c>
      <c r="P622" s="3070">
        <v>13065.28</v>
      </c>
      <c r="Q622" s="3070">
        <v>1597492</v>
      </c>
      <c r="R622" s="3070" t="s">
        <v>3227</v>
      </c>
      <c r="S622" s="3070" t="s">
        <v>8315</v>
      </c>
      <c r="T622" s="3070" t="s">
        <v>3494</v>
      </c>
      <c r="V622" s="3070" t="s">
        <v>3230</v>
      </c>
      <c r="Y622" s="3070">
        <v>159749</v>
      </c>
      <c r="Z622" s="3070">
        <v>159749</v>
      </c>
      <c r="AA622" s="3070">
        <v>1597492</v>
      </c>
      <c r="AB622" s="3070">
        <v>0</v>
      </c>
      <c r="AC622" s="3070">
        <v>0</v>
      </c>
      <c r="AD622" s="3070">
        <v>0</v>
      </c>
      <c r="AE622" s="3070">
        <v>0</v>
      </c>
      <c r="AI622" s="3070" t="s">
        <v>3227</v>
      </c>
      <c r="AJ622" s="3070">
        <v>0</v>
      </c>
      <c r="AK622" s="3070">
        <v>0</v>
      </c>
      <c r="AL622" s="3070">
        <v>0</v>
      </c>
      <c r="AM622" s="3070">
        <v>13065.28</v>
      </c>
      <c r="AN622" s="3070">
        <v>1597492</v>
      </c>
      <c r="AP622" s="3070">
        <v>1597492</v>
      </c>
      <c r="AQ622" s="3072">
        <v>45138</v>
      </c>
      <c r="AT622" s="3073">
        <v>45678</v>
      </c>
      <c r="AV622" s="3070" t="s">
        <v>8316</v>
      </c>
      <c r="AW622" s="3070" t="s">
        <v>8317</v>
      </c>
      <c r="AX622" s="3070" t="s">
        <v>8318</v>
      </c>
      <c r="AY622" s="3070" t="s">
        <v>3607</v>
      </c>
      <c r="BA622" s="3070" t="s">
        <v>3607</v>
      </c>
      <c r="BC622" s="3070" t="s">
        <v>7497</v>
      </c>
      <c r="BD622" s="3070" t="s">
        <v>3075</v>
      </c>
      <c r="BI622" s="3070" t="s">
        <v>3235</v>
      </c>
      <c r="BL622" s="3070" t="s">
        <v>8319</v>
      </c>
      <c r="BM622" s="3075">
        <v>44378</v>
      </c>
      <c r="BN622" s="3070">
        <v>701</v>
      </c>
      <c r="BR622" s="3070">
        <v>16</v>
      </c>
      <c r="BS622" s="3070" t="s">
        <v>3238</v>
      </c>
      <c r="BU622" s="3070" t="s">
        <v>3607</v>
      </c>
      <c r="BV622" s="3070" t="s">
        <v>8320</v>
      </c>
      <c r="BZ622" s="3073">
        <v>44175.73541666667</v>
      </c>
      <c r="CA622" s="3070">
        <v>7</v>
      </c>
      <c r="CD622" s="3070" t="s">
        <v>3239</v>
      </c>
      <c r="CF622" s="3070" t="s">
        <v>3091</v>
      </c>
      <c r="CH622" s="3070" t="s">
        <v>3240</v>
      </c>
      <c r="CI622" s="3070">
        <v>0</v>
      </c>
      <c r="CK622" s="3070" t="s">
        <v>3607</v>
      </c>
      <c r="CL622" s="3070" t="s">
        <v>3607</v>
      </c>
      <c r="CM622" s="3070">
        <v>1465588.99</v>
      </c>
      <c r="CV622" s="3070" t="s">
        <v>3494</v>
      </c>
      <c r="CW622" s="3070" t="s">
        <v>8321</v>
      </c>
      <c r="CX622" s="3070" t="s">
        <v>3311</v>
      </c>
      <c r="CZ622" s="3070">
        <v>213894.57</v>
      </c>
      <c r="DA622" s="3070">
        <v>159426.93</v>
      </c>
      <c r="DB622" s="3070">
        <v>0</v>
      </c>
      <c r="DC622" s="3070">
        <v>0</v>
      </c>
      <c r="DD622" s="3070">
        <v>3290547602</v>
      </c>
      <c r="DE622" s="3070">
        <v>2764253109</v>
      </c>
      <c r="DF622" s="3070">
        <v>1464966739</v>
      </c>
      <c r="DG622" s="3070">
        <v>14938370</v>
      </c>
      <c r="DH622" s="3070">
        <v>1284348000</v>
      </c>
      <c r="DI622" s="3070">
        <v>1278128000</v>
      </c>
      <c r="DJ622" s="3070">
        <v>6220000</v>
      </c>
      <c r="DK622" s="3070">
        <v>0</v>
      </c>
      <c r="DL622" s="3070">
        <v>0</v>
      </c>
      <c r="DM622" s="3070">
        <v>25491817.620000001</v>
      </c>
      <c r="DN622" s="3070">
        <v>2764253109</v>
      </c>
      <c r="DP622" s="3070">
        <v>2764253109</v>
      </c>
    </row>
    <row r="623" spans="1:120">
      <c r="A623" s="3070">
        <v>622</v>
      </c>
      <c r="B623" s="3070" t="s">
        <v>3224</v>
      </c>
      <c r="C623" s="3070">
        <v>7</v>
      </c>
      <c r="E623" s="3070">
        <v>1702</v>
      </c>
      <c r="F623" s="3070" t="s">
        <v>8322</v>
      </c>
      <c r="G623" s="3070" t="s">
        <v>8323</v>
      </c>
      <c r="H623" s="3070">
        <v>1271328</v>
      </c>
      <c r="I623" s="3070">
        <v>1271328</v>
      </c>
      <c r="J623" s="3070">
        <v>101.99</v>
      </c>
      <c r="K623" s="3070">
        <v>75.430000000000007</v>
      </c>
      <c r="L623" s="3070">
        <v>0</v>
      </c>
      <c r="M623" s="3070">
        <v>0</v>
      </c>
      <c r="N623" s="3070">
        <v>15394.44</v>
      </c>
      <c r="O623" s="3070">
        <v>1570079</v>
      </c>
      <c r="P623" s="3070">
        <v>12465.22</v>
      </c>
      <c r="Q623" s="3070">
        <v>1271328</v>
      </c>
      <c r="R623" s="3070" t="s">
        <v>3227</v>
      </c>
      <c r="S623" s="3070" t="s">
        <v>8324</v>
      </c>
      <c r="T623" s="3070" t="s">
        <v>3258</v>
      </c>
      <c r="U623" s="3070" t="s">
        <v>3259</v>
      </c>
      <c r="V623" s="3070" t="s">
        <v>3230</v>
      </c>
      <c r="Y623" s="3070">
        <v>571328</v>
      </c>
      <c r="Z623" s="3070">
        <v>571328</v>
      </c>
      <c r="AA623" s="3070">
        <v>571328</v>
      </c>
      <c r="AB623" s="3070">
        <v>0</v>
      </c>
      <c r="AC623" s="3070">
        <v>700000</v>
      </c>
      <c r="AD623" s="3070">
        <v>700000</v>
      </c>
      <c r="AE623" s="3070">
        <v>0</v>
      </c>
      <c r="AI623" s="3070" t="s">
        <v>3227</v>
      </c>
      <c r="AJ623" s="3070">
        <v>0</v>
      </c>
      <c r="AK623" s="3070">
        <v>0</v>
      </c>
      <c r="AL623" s="3070">
        <v>0</v>
      </c>
      <c r="AM623" s="3070">
        <v>12465.22</v>
      </c>
      <c r="AN623" s="3070">
        <v>1271328</v>
      </c>
      <c r="AP623" s="3070">
        <v>1271328</v>
      </c>
      <c r="AQ623" s="3072">
        <v>45138</v>
      </c>
      <c r="AT623" s="3073">
        <v>45678</v>
      </c>
      <c r="AV623" s="3070" t="s">
        <v>8325</v>
      </c>
      <c r="AW623" s="3070" t="s">
        <v>8326</v>
      </c>
      <c r="AX623" s="3070" t="s">
        <v>8327</v>
      </c>
      <c r="AY623" s="3070" t="s">
        <v>3681</v>
      </c>
      <c r="BC623" s="3070" t="s">
        <v>3263</v>
      </c>
      <c r="BD623" s="3070" t="s">
        <v>3077</v>
      </c>
      <c r="BI623" s="3070" t="s">
        <v>3235</v>
      </c>
      <c r="BJ623" s="3070" t="s">
        <v>3338</v>
      </c>
      <c r="BL623" s="3070" t="s">
        <v>8328</v>
      </c>
      <c r="BM623" s="3075">
        <v>44378</v>
      </c>
      <c r="BN623" s="3070">
        <v>702</v>
      </c>
      <c r="BO623" s="3070" t="s">
        <v>3253</v>
      </c>
      <c r="BP623" s="3070" t="s">
        <v>3253</v>
      </c>
      <c r="BR623" s="3070">
        <v>173</v>
      </c>
      <c r="BS623" s="3070" t="s">
        <v>3238</v>
      </c>
      <c r="BZ623" s="3073">
        <v>44142.960416666669</v>
      </c>
      <c r="CA623" s="3070">
        <v>7</v>
      </c>
      <c r="CD623" s="3070" t="s">
        <v>3239</v>
      </c>
      <c r="CF623" s="3070" t="s">
        <v>3091</v>
      </c>
      <c r="CH623" s="3070" t="s">
        <v>3240</v>
      </c>
      <c r="CI623" s="3070">
        <v>0</v>
      </c>
      <c r="CJ623" s="3070" t="s">
        <v>3259</v>
      </c>
      <c r="CK623" s="3070" t="s">
        <v>3681</v>
      </c>
      <c r="CL623" s="3070" t="s">
        <v>3681</v>
      </c>
      <c r="CM623" s="3070">
        <v>1166355.96</v>
      </c>
      <c r="CV623" s="3070" t="s">
        <v>3258</v>
      </c>
      <c r="CW623" s="3070" t="s">
        <v>8329</v>
      </c>
      <c r="CZ623" s="3070">
        <v>213894.57</v>
      </c>
      <c r="DA623" s="3070">
        <v>159426.93</v>
      </c>
      <c r="DB623" s="3070">
        <v>0</v>
      </c>
      <c r="DC623" s="3070">
        <v>0</v>
      </c>
      <c r="DD623" s="3070">
        <v>3290547602</v>
      </c>
      <c r="DE623" s="3070">
        <v>2764253109</v>
      </c>
      <c r="DF623" s="3070">
        <v>1464966739</v>
      </c>
      <c r="DG623" s="3070">
        <v>14938370</v>
      </c>
      <c r="DH623" s="3070">
        <v>1284348000</v>
      </c>
      <c r="DI623" s="3070">
        <v>1278128000</v>
      </c>
      <c r="DJ623" s="3070">
        <v>6220000</v>
      </c>
      <c r="DK623" s="3070">
        <v>0</v>
      </c>
      <c r="DL623" s="3070">
        <v>0</v>
      </c>
      <c r="DM623" s="3070">
        <v>25491817.620000001</v>
      </c>
      <c r="DN623" s="3070">
        <v>2764253109</v>
      </c>
      <c r="DP623" s="3070">
        <v>2764253109</v>
      </c>
    </row>
    <row r="624" spans="1:120">
      <c r="A624" s="3070">
        <v>623</v>
      </c>
      <c r="B624" s="3070" t="s">
        <v>3224</v>
      </c>
      <c r="C624" s="3070">
        <v>7</v>
      </c>
      <c r="E624" s="3070">
        <v>1703</v>
      </c>
      <c r="F624" s="3070" t="s">
        <v>8330</v>
      </c>
      <c r="G624" s="3070" t="s">
        <v>8331</v>
      </c>
      <c r="H624" s="3070">
        <v>1270580</v>
      </c>
      <c r="I624" s="3070">
        <v>1270580</v>
      </c>
      <c r="J624" s="3070">
        <v>101.93</v>
      </c>
      <c r="K624" s="3070">
        <v>75.39</v>
      </c>
      <c r="L624" s="3070">
        <v>0</v>
      </c>
      <c r="M624" s="3070">
        <v>0</v>
      </c>
      <c r="N624" s="3070">
        <v>15394.44</v>
      </c>
      <c r="O624" s="3070">
        <v>1569155</v>
      </c>
      <c r="P624" s="3070">
        <v>12465.22</v>
      </c>
      <c r="Q624" s="3070">
        <v>1270580</v>
      </c>
      <c r="R624" s="3070" t="s">
        <v>3227</v>
      </c>
      <c r="S624" s="3070" t="s">
        <v>8332</v>
      </c>
      <c r="T624" s="3070" t="s">
        <v>3302</v>
      </c>
      <c r="V624" s="3070" t="s">
        <v>3230</v>
      </c>
      <c r="Y624" s="3070">
        <v>127058</v>
      </c>
      <c r="Z624" s="3070">
        <v>127058</v>
      </c>
      <c r="AA624" s="3070">
        <v>1270580</v>
      </c>
      <c r="AB624" s="3070">
        <v>0</v>
      </c>
      <c r="AC624" s="3070">
        <v>0</v>
      </c>
      <c r="AD624" s="3070">
        <v>0</v>
      </c>
      <c r="AE624" s="3070">
        <v>0</v>
      </c>
      <c r="AI624" s="3070" t="s">
        <v>3227</v>
      </c>
      <c r="AJ624" s="3070">
        <v>0</v>
      </c>
      <c r="AK624" s="3070">
        <v>0</v>
      </c>
      <c r="AL624" s="3070">
        <v>0</v>
      </c>
      <c r="AM624" s="3070">
        <v>12465.22</v>
      </c>
      <c r="AN624" s="3070">
        <v>1270580</v>
      </c>
      <c r="AP624" s="3070">
        <v>1270580</v>
      </c>
      <c r="AQ624" s="3072">
        <v>45138</v>
      </c>
      <c r="AT624" s="3073">
        <v>45678</v>
      </c>
      <c r="AV624" s="3074">
        <v>3.21E+17</v>
      </c>
      <c r="AW624" s="3070" t="s">
        <v>8333</v>
      </c>
      <c r="AX624" s="3070" t="s">
        <v>8334</v>
      </c>
      <c r="AY624" s="3070" t="s">
        <v>3411</v>
      </c>
      <c r="BC624" s="3070" t="s">
        <v>3307</v>
      </c>
      <c r="BD624" s="3070" t="s">
        <v>3077</v>
      </c>
      <c r="BI624" s="3070" t="s">
        <v>3295</v>
      </c>
      <c r="BJ624" s="3070" t="s">
        <v>3296</v>
      </c>
      <c r="BL624" s="3070" t="s">
        <v>8335</v>
      </c>
      <c r="BM624" s="3075">
        <v>44378</v>
      </c>
      <c r="BN624" s="3070">
        <v>703</v>
      </c>
      <c r="BR624" s="3070">
        <v>402</v>
      </c>
      <c r="BS624" s="3070" t="s">
        <v>3238</v>
      </c>
      <c r="BZ624" s="3073">
        <v>44142.642361111109</v>
      </c>
      <c r="CA624" s="3070">
        <v>7</v>
      </c>
      <c r="CD624" s="3070" t="s">
        <v>3239</v>
      </c>
      <c r="CF624" s="3070" t="s">
        <v>3091</v>
      </c>
      <c r="CH624" s="3070" t="s">
        <v>3240</v>
      </c>
      <c r="CI624" s="3070">
        <v>0</v>
      </c>
      <c r="CK624" s="3070" t="s">
        <v>3411</v>
      </c>
      <c r="CL624" s="3070" t="s">
        <v>3411</v>
      </c>
      <c r="CM624" s="3070">
        <v>1165669.72</v>
      </c>
      <c r="CV624" s="3070" t="s">
        <v>3309</v>
      </c>
      <c r="CW624" s="3070" t="s">
        <v>8336</v>
      </c>
      <c r="CZ624" s="3070">
        <v>213894.57</v>
      </c>
      <c r="DA624" s="3070">
        <v>159426.93</v>
      </c>
      <c r="DB624" s="3070">
        <v>0</v>
      </c>
      <c r="DC624" s="3070">
        <v>0</v>
      </c>
      <c r="DD624" s="3070">
        <v>3290547602</v>
      </c>
      <c r="DE624" s="3070">
        <v>2764253109</v>
      </c>
      <c r="DF624" s="3070">
        <v>1464966739</v>
      </c>
      <c r="DG624" s="3070">
        <v>14938370</v>
      </c>
      <c r="DH624" s="3070">
        <v>1284348000</v>
      </c>
      <c r="DI624" s="3070">
        <v>1278128000</v>
      </c>
      <c r="DJ624" s="3070">
        <v>6220000</v>
      </c>
      <c r="DK624" s="3070">
        <v>0</v>
      </c>
      <c r="DL624" s="3070">
        <v>0</v>
      </c>
      <c r="DM624" s="3070">
        <v>25491817.620000001</v>
      </c>
      <c r="DN624" s="3070">
        <v>2764253109</v>
      </c>
      <c r="DP624" s="3070">
        <v>2764253109</v>
      </c>
    </row>
    <row r="625" spans="1:120">
      <c r="A625" s="3070">
        <v>624</v>
      </c>
      <c r="B625" s="3070" t="s">
        <v>3224</v>
      </c>
      <c r="C625" s="3070">
        <v>7</v>
      </c>
      <c r="E625" s="3070">
        <v>1704</v>
      </c>
      <c r="F625" s="3070" t="s">
        <v>8337</v>
      </c>
      <c r="G625" s="3070" t="s">
        <v>8338</v>
      </c>
      <c r="H625" s="3070">
        <v>1465333</v>
      </c>
      <c r="I625" s="3070">
        <v>1465333</v>
      </c>
      <c r="J625" s="3070">
        <v>122.27</v>
      </c>
      <c r="K625" s="3070">
        <v>90.43</v>
      </c>
      <c r="L625" s="3070">
        <v>0</v>
      </c>
      <c r="M625" s="3070">
        <v>0</v>
      </c>
      <c r="N625" s="3070">
        <v>15344.44</v>
      </c>
      <c r="O625" s="3070">
        <v>1876165</v>
      </c>
      <c r="P625" s="3070">
        <v>11984.4</v>
      </c>
      <c r="Q625" s="3070">
        <v>1465333</v>
      </c>
      <c r="R625" s="3070" t="s">
        <v>3227</v>
      </c>
      <c r="S625" s="3070" t="s">
        <v>3353</v>
      </c>
      <c r="T625" s="3070" t="s">
        <v>3991</v>
      </c>
      <c r="V625" s="3070" t="s">
        <v>3230</v>
      </c>
      <c r="Y625" s="3070">
        <v>439600</v>
      </c>
      <c r="Z625" s="3070">
        <v>439600</v>
      </c>
      <c r="AA625" s="3070">
        <v>1465333</v>
      </c>
      <c r="AB625" s="3070">
        <v>0</v>
      </c>
      <c r="AC625" s="3070">
        <v>0</v>
      </c>
      <c r="AD625" s="3070">
        <v>0</v>
      </c>
      <c r="AE625" s="3070">
        <v>0</v>
      </c>
      <c r="AI625" s="3070" t="s">
        <v>3227</v>
      </c>
      <c r="AJ625" s="3070">
        <v>0</v>
      </c>
      <c r="AK625" s="3070">
        <v>0</v>
      </c>
      <c r="AL625" s="3070">
        <v>0</v>
      </c>
      <c r="AM625" s="3070">
        <v>11984.4</v>
      </c>
      <c r="AN625" s="3070">
        <v>1465333</v>
      </c>
      <c r="AP625" s="3070">
        <v>1465333</v>
      </c>
      <c r="AQ625" s="3072">
        <v>45138</v>
      </c>
      <c r="AT625" s="3073">
        <v>45678</v>
      </c>
      <c r="AV625" s="3074">
        <v>3.21E+17</v>
      </c>
      <c r="AW625" s="3070" t="s">
        <v>8339</v>
      </c>
      <c r="AX625" s="3070" t="s">
        <v>8340</v>
      </c>
      <c r="AY625" s="3070" t="s">
        <v>3587</v>
      </c>
      <c r="BA625" s="3070" t="s">
        <v>3587</v>
      </c>
      <c r="BC625" s="3070" t="s">
        <v>4145</v>
      </c>
      <c r="BD625" s="3070" t="s">
        <v>3075</v>
      </c>
      <c r="BI625" s="3070" t="s">
        <v>3235</v>
      </c>
      <c r="BL625" s="3070" t="s">
        <v>8341</v>
      </c>
      <c r="BM625" s="3075">
        <v>44378</v>
      </c>
      <c r="BN625" s="3070">
        <v>704</v>
      </c>
      <c r="BR625" s="3070">
        <v>19</v>
      </c>
      <c r="BS625" s="3070" t="s">
        <v>3238</v>
      </c>
      <c r="BU625" s="3070" t="s">
        <v>3587</v>
      </c>
      <c r="BZ625" s="3073">
        <v>44206.709722222222</v>
      </c>
      <c r="CA625" s="3070">
        <v>7</v>
      </c>
      <c r="CD625" s="3070" t="s">
        <v>3239</v>
      </c>
      <c r="CF625" s="3070" t="s">
        <v>3091</v>
      </c>
      <c r="CH625" s="3070" t="s">
        <v>3240</v>
      </c>
      <c r="CI625" s="3070">
        <v>0</v>
      </c>
      <c r="CK625" s="3070" t="s">
        <v>4462</v>
      </c>
      <c r="CL625" s="3070" t="s">
        <v>3590</v>
      </c>
      <c r="CM625" s="3070">
        <v>1344342.2</v>
      </c>
      <c r="CV625" s="3070" t="s">
        <v>3494</v>
      </c>
      <c r="CW625" s="3070" t="s">
        <v>8342</v>
      </c>
      <c r="CX625" s="3070" t="s">
        <v>3350</v>
      </c>
      <c r="CZ625" s="3070">
        <v>213894.57</v>
      </c>
      <c r="DA625" s="3070">
        <v>159426.93</v>
      </c>
      <c r="DB625" s="3070">
        <v>0</v>
      </c>
      <c r="DC625" s="3070">
        <v>0</v>
      </c>
      <c r="DD625" s="3070">
        <v>3290547602</v>
      </c>
      <c r="DE625" s="3070">
        <v>2764253109</v>
      </c>
      <c r="DF625" s="3070">
        <v>1464966739</v>
      </c>
      <c r="DG625" s="3070">
        <v>14938370</v>
      </c>
      <c r="DH625" s="3070">
        <v>1284348000</v>
      </c>
      <c r="DI625" s="3070">
        <v>1278128000</v>
      </c>
      <c r="DJ625" s="3070">
        <v>6220000</v>
      </c>
      <c r="DK625" s="3070">
        <v>0</v>
      </c>
      <c r="DL625" s="3070">
        <v>0</v>
      </c>
      <c r="DM625" s="3070">
        <v>25491817.620000001</v>
      </c>
      <c r="DN625" s="3070">
        <v>2764253109</v>
      </c>
      <c r="DP625" s="3070">
        <v>2764253109</v>
      </c>
    </row>
    <row r="626" spans="1:120">
      <c r="A626" s="3070">
        <v>625</v>
      </c>
      <c r="B626" s="3070" t="s">
        <v>3224</v>
      </c>
      <c r="C626" s="3070">
        <v>7</v>
      </c>
      <c r="E626" s="3070">
        <v>1801</v>
      </c>
      <c r="F626" s="3070" t="s">
        <v>8343</v>
      </c>
      <c r="G626" s="3070" t="s">
        <v>8344</v>
      </c>
      <c r="H626" s="3070">
        <v>1637544</v>
      </c>
      <c r="I626" s="3070">
        <v>1637544</v>
      </c>
      <c r="J626" s="3070">
        <v>122.27</v>
      </c>
      <c r="K626" s="3070">
        <v>90.43</v>
      </c>
      <c r="L626" s="3070">
        <v>0</v>
      </c>
      <c r="M626" s="3070">
        <v>0</v>
      </c>
      <c r="N626" s="3070">
        <v>15244.44</v>
      </c>
      <c r="O626" s="3070">
        <v>1863938</v>
      </c>
      <c r="P626" s="3070">
        <v>13392.85</v>
      </c>
      <c r="Q626" s="3070">
        <v>1637544</v>
      </c>
      <c r="R626" s="3070" t="s">
        <v>3227</v>
      </c>
      <c r="S626" s="3070" t="s">
        <v>8345</v>
      </c>
      <c r="T626" s="3070" t="s">
        <v>4061</v>
      </c>
      <c r="V626" s="3070" t="s">
        <v>3230</v>
      </c>
      <c r="Y626" s="3070">
        <v>163754</v>
      </c>
      <c r="Z626" s="3070">
        <v>163754</v>
      </c>
      <c r="AA626" s="3070">
        <v>1637544</v>
      </c>
      <c r="AB626" s="3070">
        <v>0</v>
      </c>
      <c r="AC626" s="3070">
        <v>0</v>
      </c>
      <c r="AD626" s="3070">
        <v>0</v>
      </c>
      <c r="AE626" s="3070">
        <v>0</v>
      </c>
      <c r="AI626" s="3070" t="s">
        <v>3227</v>
      </c>
      <c r="AJ626" s="3070">
        <v>0</v>
      </c>
      <c r="AK626" s="3070">
        <v>0</v>
      </c>
      <c r="AL626" s="3070">
        <v>0</v>
      </c>
      <c r="AM626" s="3070">
        <v>13392.85</v>
      </c>
      <c r="AN626" s="3070">
        <v>1637544</v>
      </c>
      <c r="AP626" s="3070">
        <v>1637544</v>
      </c>
      <c r="AQ626" s="3072">
        <v>45138</v>
      </c>
      <c r="AT626" s="3073">
        <v>45678</v>
      </c>
      <c r="AV626" s="3070" t="s">
        <v>8346</v>
      </c>
      <c r="AW626" s="3070" t="s">
        <v>8347</v>
      </c>
      <c r="AX626" s="3070" t="s">
        <v>8348</v>
      </c>
      <c r="AY626" s="3070" t="s">
        <v>4100</v>
      </c>
      <c r="BC626" s="3070" t="s">
        <v>8349</v>
      </c>
      <c r="BD626" s="3070" t="s">
        <v>3075</v>
      </c>
      <c r="BI626" s="3070" t="s">
        <v>3235</v>
      </c>
      <c r="BL626" s="3070" t="s">
        <v>8350</v>
      </c>
      <c r="BM626" s="3075">
        <v>44378</v>
      </c>
      <c r="BN626" s="3070">
        <v>801</v>
      </c>
      <c r="BR626" s="3070">
        <v>0</v>
      </c>
      <c r="BS626" s="3070" t="s">
        <v>3238</v>
      </c>
      <c r="BV626" s="3070" t="s">
        <v>8351</v>
      </c>
      <c r="BZ626" s="3073">
        <v>44254.643750000003</v>
      </c>
      <c r="CA626" s="3070">
        <v>7</v>
      </c>
      <c r="CD626" s="3070" t="s">
        <v>3239</v>
      </c>
      <c r="CF626" s="3070" t="s">
        <v>3091</v>
      </c>
      <c r="CH626" s="3070" t="s">
        <v>3240</v>
      </c>
      <c r="CI626" s="3070">
        <v>0</v>
      </c>
      <c r="CK626" s="3070" t="s">
        <v>3883</v>
      </c>
      <c r="CL626" s="3070" t="s">
        <v>4100</v>
      </c>
      <c r="CM626" s="3070">
        <v>1502333.94</v>
      </c>
      <c r="CV626" s="3070" t="s">
        <v>3494</v>
      </c>
      <c r="CW626" s="3070" t="s">
        <v>8352</v>
      </c>
      <c r="CX626" s="3070" t="s">
        <v>3510</v>
      </c>
      <c r="CZ626" s="3070">
        <v>213894.57</v>
      </c>
      <c r="DA626" s="3070">
        <v>159426.93</v>
      </c>
      <c r="DB626" s="3070">
        <v>0</v>
      </c>
      <c r="DC626" s="3070">
        <v>0</v>
      </c>
      <c r="DD626" s="3070">
        <v>3290547602</v>
      </c>
      <c r="DE626" s="3070">
        <v>2764253109</v>
      </c>
      <c r="DF626" s="3070">
        <v>1464966739</v>
      </c>
      <c r="DG626" s="3070">
        <v>14938370</v>
      </c>
      <c r="DH626" s="3070">
        <v>1284348000</v>
      </c>
      <c r="DI626" s="3070">
        <v>1278128000</v>
      </c>
      <c r="DJ626" s="3070">
        <v>6220000</v>
      </c>
      <c r="DK626" s="3070">
        <v>0</v>
      </c>
      <c r="DL626" s="3070">
        <v>0</v>
      </c>
      <c r="DM626" s="3070">
        <v>25491817.620000001</v>
      </c>
      <c r="DN626" s="3070">
        <v>2764253109</v>
      </c>
      <c r="DP626" s="3070">
        <v>2764253109</v>
      </c>
    </row>
    <row r="627" spans="1:120">
      <c r="A627" s="3070">
        <v>626</v>
      </c>
      <c r="B627" s="3070" t="s">
        <v>3224</v>
      </c>
      <c r="C627" s="3070">
        <v>7</v>
      </c>
      <c r="E627" s="3070">
        <v>1802</v>
      </c>
      <c r="F627" s="3070" t="s">
        <v>8353</v>
      </c>
      <c r="G627" s="3070" t="s">
        <v>8354</v>
      </c>
      <c r="H627" s="3070">
        <v>1260646</v>
      </c>
      <c r="I627" s="3070">
        <v>1260646</v>
      </c>
      <c r="J627" s="3070">
        <v>101.99</v>
      </c>
      <c r="K627" s="3070">
        <v>75.430000000000007</v>
      </c>
      <c r="L627" s="3070">
        <v>0</v>
      </c>
      <c r="M627" s="3070">
        <v>0</v>
      </c>
      <c r="N627" s="3070">
        <v>15194.44</v>
      </c>
      <c r="O627" s="3070">
        <v>1549681</v>
      </c>
      <c r="P627" s="3070">
        <v>12360.49</v>
      </c>
      <c r="Q627" s="3070">
        <v>1260646</v>
      </c>
      <c r="R627" s="3070" t="s">
        <v>3227</v>
      </c>
      <c r="S627" s="3070" t="s">
        <v>8355</v>
      </c>
      <c r="T627" s="3070" t="s">
        <v>3246</v>
      </c>
      <c r="U627" s="3070" t="s">
        <v>3259</v>
      </c>
      <c r="V627" s="3070" t="s">
        <v>3230</v>
      </c>
      <c r="Y627" s="3070">
        <v>510646</v>
      </c>
      <c r="Z627" s="3070">
        <v>510646</v>
      </c>
      <c r="AA627" s="3070">
        <v>510646</v>
      </c>
      <c r="AB627" s="3070">
        <v>0</v>
      </c>
      <c r="AC627" s="3070">
        <v>750000</v>
      </c>
      <c r="AD627" s="3070">
        <v>750000</v>
      </c>
      <c r="AE627" s="3070">
        <v>0</v>
      </c>
      <c r="AI627" s="3070" t="s">
        <v>3227</v>
      </c>
      <c r="AJ627" s="3070">
        <v>0</v>
      </c>
      <c r="AK627" s="3070">
        <v>0</v>
      </c>
      <c r="AL627" s="3070">
        <v>0</v>
      </c>
      <c r="AM627" s="3070">
        <v>12360.49</v>
      </c>
      <c r="AN627" s="3070">
        <v>1260646</v>
      </c>
      <c r="AP627" s="3070">
        <v>1260646</v>
      </c>
      <c r="AQ627" s="3072">
        <v>45138</v>
      </c>
      <c r="AT627" s="3073">
        <v>45678</v>
      </c>
      <c r="AV627" s="3070" t="s">
        <v>8356</v>
      </c>
      <c r="AW627" s="3070" t="s">
        <v>8357</v>
      </c>
      <c r="AX627" s="3070" t="s">
        <v>8358</v>
      </c>
      <c r="AY627" s="3070" t="s">
        <v>4019</v>
      </c>
      <c r="BA627" s="3070" t="s">
        <v>4022</v>
      </c>
      <c r="BC627" s="3070" t="s">
        <v>4209</v>
      </c>
      <c r="BD627" s="3070" t="s">
        <v>3077</v>
      </c>
      <c r="BI627" s="3070" t="s">
        <v>3235</v>
      </c>
      <c r="BL627" s="3070" t="s">
        <v>8359</v>
      </c>
      <c r="BM627" s="3075">
        <v>44378</v>
      </c>
      <c r="BN627" s="3070">
        <v>802</v>
      </c>
      <c r="BO627" s="3070" t="s">
        <v>3253</v>
      </c>
      <c r="BR627" s="3070">
        <v>26</v>
      </c>
      <c r="BS627" s="3070" t="s">
        <v>3238</v>
      </c>
      <c r="BU627" s="3070" t="s">
        <v>4022</v>
      </c>
      <c r="BZ627" s="3073">
        <v>44208.731249999997</v>
      </c>
      <c r="CA627" s="3070">
        <v>7</v>
      </c>
      <c r="CD627" s="3070" t="s">
        <v>3239</v>
      </c>
      <c r="CF627" s="3070" t="s">
        <v>3091</v>
      </c>
      <c r="CH627" s="3070" t="s">
        <v>3240</v>
      </c>
      <c r="CI627" s="3070">
        <v>0</v>
      </c>
      <c r="CK627" s="3070" t="s">
        <v>4019</v>
      </c>
      <c r="CL627" s="3070" t="s">
        <v>4022</v>
      </c>
      <c r="CM627" s="3070">
        <v>1156555.96</v>
      </c>
      <c r="CV627" s="3070" t="s">
        <v>3246</v>
      </c>
      <c r="CW627" s="3070" t="s">
        <v>8360</v>
      </c>
      <c r="CZ627" s="3070">
        <v>213894.57</v>
      </c>
      <c r="DA627" s="3070">
        <v>159426.93</v>
      </c>
      <c r="DB627" s="3070">
        <v>0</v>
      </c>
      <c r="DC627" s="3070">
        <v>0</v>
      </c>
      <c r="DD627" s="3070">
        <v>3290547602</v>
      </c>
      <c r="DE627" s="3070">
        <v>2764253109</v>
      </c>
      <c r="DF627" s="3070">
        <v>1464966739</v>
      </c>
      <c r="DG627" s="3070">
        <v>14938370</v>
      </c>
      <c r="DH627" s="3070">
        <v>1284348000</v>
      </c>
      <c r="DI627" s="3070">
        <v>1278128000</v>
      </c>
      <c r="DJ627" s="3070">
        <v>6220000</v>
      </c>
      <c r="DK627" s="3070">
        <v>0</v>
      </c>
      <c r="DL627" s="3070">
        <v>0</v>
      </c>
      <c r="DM627" s="3070">
        <v>25491817.620000001</v>
      </c>
      <c r="DN627" s="3070">
        <v>2764253109</v>
      </c>
      <c r="DP627" s="3070">
        <v>2764253109</v>
      </c>
    </row>
    <row r="628" spans="1:120">
      <c r="A628" s="3070">
        <v>627</v>
      </c>
      <c r="B628" s="3070" t="s">
        <v>3224</v>
      </c>
      <c r="C628" s="3070">
        <v>7</v>
      </c>
      <c r="E628" s="3070">
        <v>1803</v>
      </c>
      <c r="F628" s="3070" t="s">
        <v>8361</v>
      </c>
      <c r="G628" s="3070" t="s">
        <v>8362</v>
      </c>
      <c r="H628" s="3070">
        <v>1246276</v>
      </c>
      <c r="I628" s="3070">
        <v>1246276</v>
      </c>
      <c r="J628" s="3070">
        <v>101.93</v>
      </c>
      <c r="K628" s="3070">
        <v>75.39</v>
      </c>
      <c r="L628" s="3070">
        <v>0</v>
      </c>
      <c r="M628" s="3070">
        <v>0</v>
      </c>
      <c r="N628" s="3070">
        <v>15194.44</v>
      </c>
      <c r="O628" s="3070">
        <v>1548769</v>
      </c>
      <c r="P628" s="3070">
        <v>12226.78</v>
      </c>
      <c r="Q628" s="3070">
        <v>1246276</v>
      </c>
      <c r="R628" s="3070" t="s">
        <v>3227</v>
      </c>
      <c r="S628" s="3070" t="s">
        <v>8363</v>
      </c>
      <c r="T628" s="3070" t="s">
        <v>3991</v>
      </c>
      <c r="V628" s="3070" t="s">
        <v>3230</v>
      </c>
      <c r="Y628" s="3070">
        <v>373883</v>
      </c>
      <c r="Z628" s="3070">
        <v>373883</v>
      </c>
      <c r="AA628" s="3070">
        <v>1246276</v>
      </c>
      <c r="AB628" s="3070">
        <v>0</v>
      </c>
      <c r="AC628" s="3070">
        <v>0</v>
      </c>
      <c r="AD628" s="3070">
        <v>0</v>
      </c>
      <c r="AE628" s="3070">
        <v>0</v>
      </c>
      <c r="AI628" s="3070" t="s">
        <v>3227</v>
      </c>
      <c r="AJ628" s="3070">
        <v>0</v>
      </c>
      <c r="AK628" s="3070">
        <v>0</v>
      </c>
      <c r="AL628" s="3070">
        <v>0</v>
      </c>
      <c r="AM628" s="3070">
        <v>12226.78</v>
      </c>
      <c r="AN628" s="3070">
        <v>1246276</v>
      </c>
      <c r="AP628" s="3070">
        <v>1246276</v>
      </c>
      <c r="AQ628" s="3072">
        <v>45138</v>
      </c>
      <c r="AT628" s="3073">
        <v>45678</v>
      </c>
      <c r="AV628" s="3070" t="s">
        <v>8364</v>
      </c>
      <c r="AW628" s="3070" t="s">
        <v>8365</v>
      </c>
      <c r="AX628" s="3070" t="s">
        <v>8366</v>
      </c>
      <c r="AY628" s="3070" t="s">
        <v>4100</v>
      </c>
      <c r="BA628" s="3070" t="s">
        <v>4100</v>
      </c>
      <c r="BC628" s="3070" t="s">
        <v>8367</v>
      </c>
      <c r="BD628" s="3070" t="s">
        <v>3077</v>
      </c>
      <c r="BI628" s="3070" t="s">
        <v>3235</v>
      </c>
      <c r="BL628" s="3070" t="s">
        <v>8368</v>
      </c>
      <c r="BM628" s="3075">
        <v>44378</v>
      </c>
      <c r="BN628" s="3070">
        <v>803</v>
      </c>
      <c r="BR628" s="3070">
        <v>20</v>
      </c>
      <c r="BS628" s="3070" t="s">
        <v>3238</v>
      </c>
      <c r="BU628" s="3070" t="s">
        <v>4100</v>
      </c>
      <c r="BZ628" s="3073">
        <v>44212.802083333336</v>
      </c>
      <c r="CA628" s="3070">
        <v>7</v>
      </c>
      <c r="CD628" s="3070" t="s">
        <v>3239</v>
      </c>
      <c r="CF628" s="3070" t="s">
        <v>3091</v>
      </c>
      <c r="CH628" s="3070" t="s">
        <v>3240</v>
      </c>
      <c r="CI628" s="3070">
        <v>0</v>
      </c>
      <c r="CK628" s="3070" t="s">
        <v>4100</v>
      </c>
      <c r="CL628" s="3070" t="s">
        <v>4545</v>
      </c>
      <c r="CM628" s="3070">
        <v>1143372.48</v>
      </c>
      <c r="CV628" s="3070" t="s">
        <v>3494</v>
      </c>
      <c r="CW628" s="3070" t="s">
        <v>8369</v>
      </c>
      <c r="CZ628" s="3070">
        <v>213894.57</v>
      </c>
      <c r="DA628" s="3070">
        <v>159426.93</v>
      </c>
      <c r="DB628" s="3070">
        <v>0</v>
      </c>
      <c r="DC628" s="3070">
        <v>0</v>
      </c>
      <c r="DD628" s="3070">
        <v>3290547602</v>
      </c>
      <c r="DE628" s="3070">
        <v>2764253109</v>
      </c>
      <c r="DF628" s="3070">
        <v>1464966739</v>
      </c>
      <c r="DG628" s="3070">
        <v>14938370</v>
      </c>
      <c r="DH628" s="3070">
        <v>1284348000</v>
      </c>
      <c r="DI628" s="3070">
        <v>1278128000</v>
      </c>
      <c r="DJ628" s="3070">
        <v>6220000</v>
      </c>
      <c r="DK628" s="3070">
        <v>0</v>
      </c>
      <c r="DL628" s="3070">
        <v>0</v>
      </c>
      <c r="DM628" s="3070">
        <v>25491817.620000001</v>
      </c>
      <c r="DN628" s="3070">
        <v>2764253109</v>
      </c>
      <c r="DP628" s="3070">
        <v>2764253109</v>
      </c>
    </row>
    <row r="629" spans="1:120">
      <c r="A629" s="3070">
        <v>628</v>
      </c>
      <c r="B629" s="3070" t="s">
        <v>3224</v>
      </c>
      <c r="C629" s="3070">
        <v>7</v>
      </c>
      <c r="E629" s="3070">
        <v>1804</v>
      </c>
      <c r="F629" s="3070" t="s">
        <v>8370</v>
      </c>
      <c r="G629" s="3070" t="s">
        <v>8371</v>
      </c>
      <c r="H629" s="3070">
        <v>1439886</v>
      </c>
      <c r="I629" s="3070">
        <v>1439886</v>
      </c>
      <c r="J629" s="3070">
        <v>122.27</v>
      </c>
      <c r="K629" s="3070">
        <v>90.43</v>
      </c>
      <c r="L629" s="3070">
        <v>0</v>
      </c>
      <c r="M629" s="3070">
        <v>0</v>
      </c>
      <c r="N629" s="3070">
        <v>15144.44</v>
      </c>
      <c r="O629" s="3070">
        <v>1851711</v>
      </c>
      <c r="P629" s="3070">
        <v>11776.28</v>
      </c>
      <c r="Q629" s="3070">
        <v>1439886</v>
      </c>
      <c r="R629" s="3070" t="s">
        <v>3227</v>
      </c>
      <c r="S629" s="3070" t="s">
        <v>8372</v>
      </c>
      <c r="T629" s="3070" t="s">
        <v>8373</v>
      </c>
      <c r="U629" s="3070" t="s">
        <v>3259</v>
      </c>
      <c r="V629" s="3070" t="s">
        <v>3230</v>
      </c>
      <c r="Y629" s="3070">
        <v>809886</v>
      </c>
      <c r="Z629" s="3070">
        <v>809886</v>
      </c>
      <c r="AA629" s="3070">
        <v>809886</v>
      </c>
      <c r="AB629" s="3070">
        <v>0</v>
      </c>
      <c r="AC629" s="3070">
        <v>630000</v>
      </c>
      <c r="AD629" s="3070">
        <v>630000</v>
      </c>
      <c r="AE629" s="3070">
        <v>0</v>
      </c>
      <c r="AI629" s="3070" t="s">
        <v>3227</v>
      </c>
      <c r="AJ629" s="3070">
        <v>0</v>
      </c>
      <c r="AK629" s="3070">
        <v>0</v>
      </c>
      <c r="AL629" s="3070">
        <v>0</v>
      </c>
      <c r="AM629" s="3070">
        <v>11776.28</v>
      </c>
      <c r="AN629" s="3070">
        <v>1439886</v>
      </c>
      <c r="AP629" s="3070">
        <v>1439886</v>
      </c>
      <c r="AQ629" s="3072">
        <v>45138</v>
      </c>
      <c r="AT629" s="3073">
        <v>45678</v>
      </c>
      <c r="AV629" s="3074">
        <v>3.62E+17</v>
      </c>
      <c r="AW629" s="3070" t="s">
        <v>8374</v>
      </c>
      <c r="AX629" s="3070" t="s">
        <v>8375</v>
      </c>
      <c r="AY629" s="3070" t="s">
        <v>4100</v>
      </c>
      <c r="BC629" s="3070" t="s">
        <v>8376</v>
      </c>
      <c r="BD629" s="3070" t="s">
        <v>3075</v>
      </c>
      <c r="BI629" s="3070" t="s">
        <v>3235</v>
      </c>
      <c r="BL629" s="3070" t="s">
        <v>8377</v>
      </c>
      <c r="BM629" s="3075">
        <v>44378</v>
      </c>
      <c r="BN629" s="3070">
        <v>804</v>
      </c>
      <c r="BO629" s="3070" t="s">
        <v>3253</v>
      </c>
      <c r="BP629" s="3070" t="s">
        <v>3253</v>
      </c>
      <c r="BR629" s="3070">
        <v>0</v>
      </c>
      <c r="BS629" s="3070" t="s">
        <v>3238</v>
      </c>
      <c r="BV629" s="3070" t="s">
        <v>8378</v>
      </c>
      <c r="BW629" s="3070" t="s">
        <v>8379</v>
      </c>
      <c r="BX629" s="3070" t="s">
        <v>8380</v>
      </c>
      <c r="BZ629" s="3073">
        <v>44271.390277777777</v>
      </c>
      <c r="CA629" s="3070">
        <v>7</v>
      </c>
      <c r="CD629" s="3070" t="s">
        <v>3239</v>
      </c>
      <c r="CF629" s="3070" t="s">
        <v>3091</v>
      </c>
      <c r="CH629" s="3070" t="s">
        <v>3240</v>
      </c>
      <c r="CI629" s="3070">
        <v>0</v>
      </c>
      <c r="CJ629" s="3070" t="s">
        <v>3259</v>
      </c>
      <c r="CK629" s="3070" t="s">
        <v>4100</v>
      </c>
      <c r="CL629" s="3070" t="s">
        <v>4100</v>
      </c>
      <c r="CM629" s="3070">
        <v>1320996.33</v>
      </c>
      <c r="CV629" s="3070" t="s">
        <v>3258</v>
      </c>
      <c r="CW629" s="3070" t="s">
        <v>8381</v>
      </c>
      <c r="CX629" s="3070" t="s">
        <v>3267</v>
      </c>
      <c r="CZ629" s="3070">
        <v>213894.57</v>
      </c>
      <c r="DA629" s="3070">
        <v>159426.93</v>
      </c>
      <c r="DB629" s="3070">
        <v>0</v>
      </c>
      <c r="DC629" s="3070">
        <v>0</v>
      </c>
      <c r="DD629" s="3070">
        <v>3290547602</v>
      </c>
      <c r="DE629" s="3070">
        <v>2764253109</v>
      </c>
      <c r="DF629" s="3070">
        <v>1464966739</v>
      </c>
      <c r="DG629" s="3070">
        <v>14938370</v>
      </c>
      <c r="DH629" s="3070">
        <v>1284348000</v>
      </c>
      <c r="DI629" s="3070">
        <v>1278128000</v>
      </c>
      <c r="DJ629" s="3070">
        <v>6220000</v>
      </c>
      <c r="DK629" s="3070">
        <v>0</v>
      </c>
      <c r="DL629" s="3070">
        <v>0</v>
      </c>
      <c r="DM629" s="3070">
        <v>25491817.620000001</v>
      </c>
      <c r="DN629" s="3070">
        <v>2764253109</v>
      </c>
      <c r="DP629" s="3070">
        <v>2764253109</v>
      </c>
    </row>
    <row r="630" spans="1:120">
      <c r="A630" s="3070">
        <v>629</v>
      </c>
      <c r="B630" s="3070" t="s">
        <v>3224</v>
      </c>
      <c r="C630" s="3070">
        <v>7</v>
      </c>
      <c r="E630" s="3070">
        <v>201</v>
      </c>
      <c r="F630" s="3070" t="s">
        <v>8382</v>
      </c>
      <c r="G630" s="3070" t="s">
        <v>8383</v>
      </c>
      <c r="H630" s="3070">
        <v>1621037</v>
      </c>
      <c r="I630" s="3070">
        <v>1621037</v>
      </c>
      <c r="J630" s="3070">
        <v>122.27</v>
      </c>
      <c r="K630" s="3070">
        <v>90.43</v>
      </c>
      <c r="L630" s="3070">
        <v>0</v>
      </c>
      <c r="M630" s="3070">
        <v>0</v>
      </c>
      <c r="N630" s="3070">
        <v>15094.44</v>
      </c>
      <c r="O630" s="3070">
        <v>1845597</v>
      </c>
      <c r="P630" s="3070">
        <v>13257.85</v>
      </c>
      <c r="Q630" s="3070">
        <v>1621037</v>
      </c>
      <c r="R630" s="3070" t="s">
        <v>3227</v>
      </c>
      <c r="S630" s="3070" t="s">
        <v>8384</v>
      </c>
      <c r="T630" s="3070" t="s">
        <v>3258</v>
      </c>
      <c r="U630" s="3070" t="s">
        <v>3259</v>
      </c>
      <c r="V630" s="3070" t="s">
        <v>3230</v>
      </c>
      <c r="Y630" s="3070">
        <v>491037</v>
      </c>
      <c r="Z630" s="3070">
        <v>491037</v>
      </c>
      <c r="AA630" s="3070">
        <v>491037</v>
      </c>
      <c r="AB630" s="3070">
        <v>0</v>
      </c>
      <c r="AC630" s="3070">
        <v>1130000</v>
      </c>
      <c r="AD630" s="3070">
        <v>1130000</v>
      </c>
      <c r="AE630" s="3070">
        <v>0</v>
      </c>
      <c r="AI630" s="3070" t="s">
        <v>3227</v>
      </c>
      <c r="AJ630" s="3070">
        <v>0</v>
      </c>
      <c r="AK630" s="3070">
        <v>0</v>
      </c>
      <c r="AL630" s="3070">
        <v>0</v>
      </c>
      <c r="AM630" s="3070">
        <v>13257.85</v>
      </c>
      <c r="AN630" s="3070">
        <v>1621037</v>
      </c>
      <c r="AP630" s="3070">
        <v>1621037</v>
      </c>
      <c r="AQ630" s="3072">
        <v>45138</v>
      </c>
      <c r="AT630" s="3073">
        <v>45678</v>
      </c>
      <c r="AV630" s="3070" t="s">
        <v>8385</v>
      </c>
      <c r="AW630" s="3070" t="s">
        <v>8386</v>
      </c>
      <c r="AX630" s="3070" t="s">
        <v>8387</v>
      </c>
      <c r="AY630" s="3070" t="s">
        <v>7849</v>
      </c>
      <c r="BC630" s="3070" t="s">
        <v>8388</v>
      </c>
      <c r="BD630" s="3070" t="s">
        <v>3075</v>
      </c>
      <c r="BI630" s="3070" t="s">
        <v>3235</v>
      </c>
      <c r="BJ630" s="3070" t="s">
        <v>3296</v>
      </c>
      <c r="BL630" s="3070" t="s">
        <v>8389</v>
      </c>
      <c r="BM630" s="3075">
        <v>44379</v>
      </c>
      <c r="BN630" s="3070">
        <v>1</v>
      </c>
      <c r="BO630" s="3070" t="s">
        <v>3403</v>
      </c>
      <c r="BP630" s="3070" t="s">
        <v>3403</v>
      </c>
      <c r="BR630" s="3070">
        <v>0</v>
      </c>
      <c r="BS630" s="3070" t="s">
        <v>3238</v>
      </c>
      <c r="BV630" s="3070" t="s">
        <v>8390</v>
      </c>
      <c r="BZ630" s="3073">
        <v>44264.693749999999</v>
      </c>
      <c r="CA630" s="3070">
        <v>7</v>
      </c>
      <c r="CD630" s="3070" t="s">
        <v>3239</v>
      </c>
      <c r="CF630" s="3070" t="s">
        <v>3091</v>
      </c>
      <c r="CH630" s="3070" t="s">
        <v>3240</v>
      </c>
      <c r="CI630" s="3070">
        <v>0</v>
      </c>
      <c r="CJ630" s="3070" t="s">
        <v>3259</v>
      </c>
      <c r="CK630" s="3070" t="s">
        <v>6179</v>
      </c>
      <c r="CL630" s="3070" t="s">
        <v>7849</v>
      </c>
      <c r="CM630" s="3070">
        <v>1487189.91</v>
      </c>
      <c r="CV630" s="3070" t="s">
        <v>3258</v>
      </c>
      <c r="CW630" s="3070" t="s">
        <v>8391</v>
      </c>
      <c r="CZ630" s="3070">
        <v>213894.57</v>
      </c>
      <c r="DA630" s="3070">
        <v>159426.93</v>
      </c>
      <c r="DB630" s="3070">
        <v>0</v>
      </c>
      <c r="DC630" s="3070">
        <v>0</v>
      </c>
      <c r="DD630" s="3070">
        <v>3290547602</v>
      </c>
      <c r="DE630" s="3070">
        <v>2764253109</v>
      </c>
      <c r="DF630" s="3070">
        <v>1464966739</v>
      </c>
      <c r="DG630" s="3070">
        <v>14938370</v>
      </c>
      <c r="DH630" s="3070">
        <v>1284348000</v>
      </c>
      <c r="DI630" s="3070">
        <v>1278128000</v>
      </c>
      <c r="DJ630" s="3070">
        <v>6220000</v>
      </c>
      <c r="DK630" s="3070">
        <v>0</v>
      </c>
      <c r="DL630" s="3070">
        <v>0</v>
      </c>
      <c r="DM630" s="3070">
        <v>25491817.620000001</v>
      </c>
      <c r="DN630" s="3070">
        <v>2764253109</v>
      </c>
      <c r="DP630" s="3070">
        <v>2764253109</v>
      </c>
    </row>
    <row r="631" spans="1:120">
      <c r="A631" s="3070">
        <v>630</v>
      </c>
      <c r="B631" s="3070" t="s">
        <v>3224</v>
      </c>
      <c r="C631" s="3070">
        <v>7</v>
      </c>
      <c r="E631" s="3070">
        <v>202</v>
      </c>
      <c r="F631" s="3070" t="s">
        <v>8392</v>
      </c>
      <c r="G631" s="3070" t="s">
        <v>8393</v>
      </c>
      <c r="H631" s="3070">
        <v>1247627</v>
      </c>
      <c r="I631" s="3070">
        <v>1247627</v>
      </c>
      <c r="J631" s="3070">
        <v>102.02</v>
      </c>
      <c r="K631" s="3070">
        <v>75.45</v>
      </c>
      <c r="L631" s="3070">
        <v>0</v>
      </c>
      <c r="M631" s="3070">
        <v>0</v>
      </c>
      <c r="N631" s="3070">
        <v>15044.44</v>
      </c>
      <c r="O631" s="3070">
        <v>1534834</v>
      </c>
      <c r="P631" s="3070">
        <v>12229.24</v>
      </c>
      <c r="Q631" s="3070">
        <v>1247627</v>
      </c>
      <c r="R631" s="3070" t="s">
        <v>3227</v>
      </c>
      <c r="S631" s="3070" t="s">
        <v>8394</v>
      </c>
      <c r="T631" s="3070" t="s">
        <v>3246</v>
      </c>
      <c r="U631" s="3070" t="s">
        <v>3279</v>
      </c>
      <c r="V631" s="3070" t="s">
        <v>3230</v>
      </c>
      <c r="Y631" s="3070">
        <v>377627</v>
      </c>
      <c r="Z631" s="3070">
        <v>377627</v>
      </c>
      <c r="AA631" s="3070">
        <v>377627</v>
      </c>
      <c r="AB631" s="3070">
        <v>0</v>
      </c>
      <c r="AC631" s="3070">
        <v>870000</v>
      </c>
      <c r="AD631" s="3070">
        <v>870000</v>
      </c>
      <c r="AE631" s="3070">
        <v>0</v>
      </c>
      <c r="AI631" s="3070" t="s">
        <v>3227</v>
      </c>
      <c r="AJ631" s="3070">
        <v>0</v>
      </c>
      <c r="AK631" s="3070">
        <v>0</v>
      </c>
      <c r="AL631" s="3070">
        <v>0</v>
      </c>
      <c r="AM631" s="3070">
        <v>12229.24</v>
      </c>
      <c r="AN631" s="3070">
        <v>1247627</v>
      </c>
      <c r="AP631" s="3070">
        <v>1247627</v>
      </c>
      <c r="AQ631" s="3072">
        <v>45138</v>
      </c>
      <c r="AT631" s="3073">
        <v>45678</v>
      </c>
      <c r="AV631" s="3074">
        <v>3.4E+17</v>
      </c>
      <c r="AW631" s="3070" t="s">
        <v>8395</v>
      </c>
      <c r="AX631" s="3070" t="s">
        <v>8396</v>
      </c>
      <c r="AY631" s="3070" t="s">
        <v>4065</v>
      </c>
      <c r="BC631" s="3070" t="s">
        <v>4209</v>
      </c>
      <c r="BD631" s="3070" t="s">
        <v>3077</v>
      </c>
      <c r="BI631" s="3070" t="s">
        <v>4630</v>
      </c>
      <c r="BL631" s="3070" t="s">
        <v>8397</v>
      </c>
      <c r="BM631" s="3075">
        <v>44379</v>
      </c>
      <c r="BN631" s="3070">
        <v>2</v>
      </c>
      <c r="BO631" s="3070" t="s">
        <v>3253</v>
      </c>
      <c r="BR631" s="3070">
        <v>22</v>
      </c>
      <c r="BS631" s="3070" t="s">
        <v>3238</v>
      </c>
      <c r="BZ631" s="3073">
        <v>44201.614583333336</v>
      </c>
      <c r="CA631" s="3070">
        <v>7</v>
      </c>
      <c r="CD631" s="3070" t="s">
        <v>3239</v>
      </c>
      <c r="CF631" s="3070" t="s">
        <v>3091</v>
      </c>
      <c r="CH631" s="3070" t="s">
        <v>3240</v>
      </c>
      <c r="CI631" s="3070">
        <v>0</v>
      </c>
      <c r="CK631" s="3070" t="s">
        <v>4242</v>
      </c>
      <c r="CL631" s="3070" t="s">
        <v>4065</v>
      </c>
      <c r="CM631" s="3070">
        <v>1144611.93</v>
      </c>
      <c r="CV631" s="3070" t="s">
        <v>3246</v>
      </c>
      <c r="CW631" s="3070" t="s">
        <v>8398</v>
      </c>
      <c r="CZ631" s="3070">
        <v>213894.57</v>
      </c>
      <c r="DA631" s="3070">
        <v>159426.93</v>
      </c>
      <c r="DB631" s="3070">
        <v>0</v>
      </c>
      <c r="DC631" s="3070">
        <v>0</v>
      </c>
      <c r="DD631" s="3070">
        <v>3290547602</v>
      </c>
      <c r="DE631" s="3070">
        <v>2764253109</v>
      </c>
      <c r="DF631" s="3070">
        <v>1464966739</v>
      </c>
      <c r="DG631" s="3070">
        <v>14938370</v>
      </c>
      <c r="DH631" s="3070">
        <v>1284348000</v>
      </c>
      <c r="DI631" s="3070">
        <v>1278128000</v>
      </c>
      <c r="DJ631" s="3070">
        <v>6220000</v>
      </c>
      <c r="DK631" s="3070">
        <v>0</v>
      </c>
      <c r="DL631" s="3070">
        <v>0</v>
      </c>
      <c r="DM631" s="3070">
        <v>25491817.620000001</v>
      </c>
      <c r="DN631" s="3070">
        <v>2764253109</v>
      </c>
      <c r="DP631" s="3070">
        <v>2764253109</v>
      </c>
    </row>
    <row r="632" spans="1:120">
      <c r="A632" s="3070">
        <v>631</v>
      </c>
      <c r="B632" s="3070" t="s">
        <v>3224</v>
      </c>
      <c r="C632" s="3070">
        <v>7</v>
      </c>
      <c r="E632" s="3070">
        <v>203</v>
      </c>
      <c r="F632" s="3070" t="s">
        <v>8399</v>
      </c>
      <c r="G632" s="3070" t="s">
        <v>8400</v>
      </c>
      <c r="H632" s="3070">
        <v>499630</v>
      </c>
      <c r="I632" s="3070">
        <v>1193686</v>
      </c>
      <c r="J632" s="3070">
        <v>102.02</v>
      </c>
      <c r="K632" s="3070">
        <v>75.45</v>
      </c>
      <c r="L632" s="3070">
        <v>0</v>
      </c>
      <c r="M632" s="3070">
        <v>0</v>
      </c>
      <c r="N632" s="3070">
        <v>15044.44</v>
      </c>
      <c r="O632" s="3070">
        <v>1534834</v>
      </c>
      <c r="P632" s="3070">
        <v>11700.51</v>
      </c>
      <c r="Q632" s="3070">
        <v>1193686</v>
      </c>
      <c r="R632" s="3070" t="s">
        <v>3227</v>
      </c>
      <c r="S632" s="3070" t="s">
        <v>3353</v>
      </c>
      <c r="T632" s="3070" t="s">
        <v>3991</v>
      </c>
      <c r="V632" s="3070" t="s">
        <v>3230</v>
      </c>
      <c r="Y632" s="3070">
        <v>358106</v>
      </c>
      <c r="Z632" s="3070">
        <v>358106</v>
      </c>
      <c r="AA632" s="3070">
        <v>499630</v>
      </c>
      <c r="AB632" s="3070">
        <v>694056</v>
      </c>
      <c r="AC632" s="3070">
        <v>0</v>
      </c>
      <c r="AD632" s="3070">
        <v>0</v>
      </c>
      <c r="AE632" s="3070">
        <v>0</v>
      </c>
      <c r="AI632" s="3070" t="s">
        <v>3227</v>
      </c>
      <c r="AJ632" s="3070">
        <v>0</v>
      </c>
      <c r="AK632" s="3070">
        <v>0</v>
      </c>
      <c r="AL632" s="3070">
        <v>0</v>
      </c>
      <c r="AM632" s="3070">
        <v>11700.51</v>
      </c>
      <c r="AN632" s="3070">
        <v>1193686</v>
      </c>
      <c r="AP632" s="3070">
        <v>1193686</v>
      </c>
      <c r="AQ632" s="3072">
        <v>45138</v>
      </c>
      <c r="AT632" s="3073">
        <v>45678</v>
      </c>
      <c r="AV632" s="3074">
        <v>3.21E+17</v>
      </c>
      <c r="AW632" s="3070" t="s">
        <v>8401</v>
      </c>
      <c r="AX632" s="3070" t="s">
        <v>8402</v>
      </c>
      <c r="AY632" s="3070" t="s">
        <v>4706</v>
      </c>
      <c r="BA632" s="3070" t="s">
        <v>4902</v>
      </c>
      <c r="BC632" s="3070" t="s">
        <v>8403</v>
      </c>
      <c r="BD632" s="3070" t="s">
        <v>3077</v>
      </c>
      <c r="BI632" s="3070" t="s">
        <v>3295</v>
      </c>
      <c r="BL632" s="3070" t="s">
        <v>8404</v>
      </c>
      <c r="BM632" s="3075">
        <v>44379</v>
      </c>
      <c r="BN632" s="3070">
        <v>3</v>
      </c>
      <c r="BR632" s="3070">
        <v>22</v>
      </c>
      <c r="BS632" s="3070" t="s">
        <v>3238</v>
      </c>
      <c r="BU632" s="3070" t="s">
        <v>4902</v>
      </c>
      <c r="BZ632" s="3073">
        <v>44217.63958333333</v>
      </c>
      <c r="CA632" s="3070">
        <v>7</v>
      </c>
      <c r="CD632" s="3070" t="s">
        <v>3239</v>
      </c>
      <c r="CF632" s="3070" t="s">
        <v>3091</v>
      </c>
      <c r="CH632" s="3070" t="s">
        <v>3240</v>
      </c>
      <c r="CI632" s="3070">
        <v>0</v>
      </c>
      <c r="CK632" s="3070" t="s">
        <v>8405</v>
      </c>
      <c r="CL632" s="3070" t="s">
        <v>4902</v>
      </c>
      <c r="CM632" s="3070">
        <v>1095124.77</v>
      </c>
      <c r="CV632" s="3070" t="s">
        <v>3494</v>
      </c>
      <c r="CW632" s="3070" t="s">
        <v>8406</v>
      </c>
      <c r="CZ632" s="3070">
        <v>213894.57</v>
      </c>
      <c r="DA632" s="3070">
        <v>159426.93</v>
      </c>
      <c r="DB632" s="3070">
        <v>0</v>
      </c>
      <c r="DC632" s="3070">
        <v>0</v>
      </c>
      <c r="DD632" s="3070">
        <v>3290547602</v>
      </c>
      <c r="DE632" s="3070">
        <v>2764253109</v>
      </c>
      <c r="DF632" s="3070">
        <v>1464966739</v>
      </c>
      <c r="DG632" s="3070">
        <v>14938370</v>
      </c>
      <c r="DH632" s="3070">
        <v>1284348000</v>
      </c>
      <c r="DI632" s="3070">
        <v>1278128000</v>
      </c>
      <c r="DJ632" s="3070">
        <v>6220000</v>
      </c>
      <c r="DK632" s="3070">
        <v>0</v>
      </c>
      <c r="DL632" s="3070">
        <v>0</v>
      </c>
      <c r="DM632" s="3070">
        <v>25491817.620000001</v>
      </c>
      <c r="DN632" s="3070">
        <v>2764253109</v>
      </c>
      <c r="DP632" s="3070">
        <v>2764253109</v>
      </c>
    </row>
    <row r="633" spans="1:120">
      <c r="A633" s="3070">
        <v>632</v>
      </c>
      <c r="B633" s="3070" t="s">
        <v>3224</v>
      </c>
      <c r="C633" s="3070">
        <v>7</v>
      </c>
      <c r="E633" s="3070">
        <v>204</v>
      </c>
      <c r="F633" s="3070" t="s">
        <v>8407</v>
      </c>
      <c r="G633" s="3070" t="s">
        <v>8408</v>
      </c>
      <c r="H633" s="3070">
        <v>1342528</v>
      </c>
      <c r="I633" s="3070">
        <v>1342528</v>
      </c>
      <c r="J633" s="3070">
        <v>122.27</v>
      </c>
      <c r="K633" s="3070">
        <v>90.43</v>
      </c>
      <c r="L633" s="3070">
        <v>0</v>
      </c>
      <c r="M633" s="3070">
        <v>0</v>
      </c>
      <c r="N633" s="3070">
        <v>14994.44</v>
      </c>
      <c r="O633" s="3070">
        <v>1833370</v>
      </c>
      <c r="P633" s="3070">
        <v>10980.03</v>
      </c>
      <c r="Q633" s="3070">
        <v>1342528</v>
      </c>
      <c r="R633" s="3070" t="s">
        <v>3227</v>
      </c>
      <c r="S633" s="3070" t="s">
        <v>8409</v>
      </c>
      <c r="T633" s="3070" t="s">
        <v>4158</v>
      </c>
      <c r="V633" s="3070" t="s">
        <v>3230</v>
      </c>
      <c r="Y633" s="3070">
        <v>671264</v>
      </c>
      <c r="Z633" s="3070">
        <v>671264</v>
      </c>
      <c r="AA633" s="3070">
        <v>1342528</v>
      </c>
      <c r="AB633" s="3070">
        <v>0</v>
      </c>
      <c r="AC633" s="3070">
        <v>0</v>
      </c>
      <c r="AD633" s="3070">
        <v>0</v>
      </c>
      <c r="AE633" s="3070">
        <v>0</v>
      </c>
      <c r="AI633" s="3070" t="s">
        <v>3227</v>
      </c>
      <c r="AJ633" s="3070">
        <v>0</v>
      </c>
      <c r="AK633" s="3070">
        <v>0</v>
      </c>
      <c r="AL633" s="3070">
        <v>0</v>
      </c>
      <c r="AM633" s="3070">
        <v>10980.03</v>
      </c>
      <c r="AN633" s="3070">
        <v>1342528</v>
      </c>
      <c r="AP633" s="3070">
        <v>1342528</v>
      </c>
      <c r="AQ633" s="3072">
        <v>45138</v>
      </c>
      <c r="AT633" s="3073">
        <v>45678</v>
      </c>
      <c r="AV633" s="3070" t="s">
        <v>8410</v>
      </c>
      <c r="AW633" s="3070" t="s">
        <v>8411</v>
      </c>
      <c r="AX633" s="3070" t="s">
        <v>8412</v>
      </c>
      <c r="AY633" s="3070" t="s">
        <v>4019</v>
      </c>
      <c r="BC633" s="3070" t="s">
        <v>8413</v>
      </c>
      <c r="BD633" s="3070" t="s">
        <v>3075</v>
      </c>
      <c r="BI633" s="3070" t="s">
        <v>3235</v>
      </c>
      <c r="BJ633" s="3070" t="s">
        <v>3236</v>
      </c>
      <c r="BL633" s="3070" t="s">
        <v>8414</v>
      </c>
      <c r="BM633" s="3075">
        <v>44379</v>
      </c>
      <c r="BN633" s="3070">
        <v>4</v>
      </c>
      <c r="BR633" s="3070">
        <v>0</v>
      </c>
      <c r="BS633" s="3070" t="s">
        <v>3238</v>
      </c>
      <c r="BV633" s="3070" t="s">
        <v>8415</v>
      </c>
      <c r="BW633" s="3070" t="s">
        <v>8416</v>
      </c>
      <c r="BX633" s="3070" t="s">
        <v>8417</v>
      </c>
      <c r="BZ633" s="3073">
        <v>44270.386111111111</v>
      </c>
      <c r="CA633" s="3070">
        <v>7</v>
      </c>
      <c r="CD633" s="3070" t="s">
        <v>3239</v>
      </c>
      <c r="CF633" s="3070" t="s">
        <v>3091</v>
      </c>
      <c r="CH633" s="3070" t="s">
        <v>3240</v>
      </c>
      <c r="CI633" s="3070">
        <v>0</v>
      </c>
      <c r="CK633" s="3070" t="s">
        <v>4138</v>
      </c>
      <c r="CL633" s="3070" t="s">
        <v>4019</v>
      </c>
      <c r="CM633" s="3070">
        <v>1231677.06</v>
      </c>
      <c r="CV633" s="3070" t="s">
        <v>3494</v>
      </c>
      <c r="CW633" s="3070" t="s">
        <v>8418</v>
      </c>
      <c r="CX633" s="3070" t="s">
        <v>3510</v>
      </c>
      <c r="CZ633" s="3070">
        <v>213894.57</v>
      </c>
      <c r="DA633" s="3070">
        <v>159426.93</v>
      </c>
      <c r="DB633" s="3070">
        <v>0</v>
      </c>
      <c r="DC633" s="3070">
        <v>0</v>
      </c>
      <c r="DD633" s="3070">
        <v>3290547602</v>
      </c>
      <c r="DE633" s="3070">
        <v>2764253109</v>
      </c>
      <c r="DF633" s="3070">
        <v>1464966739</v>
      </c>
      <c r="DG633" s="3070">
        <v>14938370</v>
      </c>
      <c r="DH633" s="3070">
        <v>1284348000</v>
      </c>
      <c r="DI633" s="3070">
        <v>1278128000</v>
      </c>
      <c r="DJ633" s="3070">
        <v>6220000</v>
      </c>
      <c r="DK633" s="3070">
        <v>0</v>
      </c>
      <c r="DL633" s="3070">
        <v>0</v>
      </c>
      <c r="DM633" s="3070">
        <v>25491817.620000001</v>
      </c>
      <c r="DN633" s="3070">
        <v>2764253109</v>
      </c>
      <c r="DP633" s="3070">
        <v>2764253109</v>
      </c>
    </row>
    <row r="634" spans="1:120">
      <c r="A634" s="3070">
        <v>633</v>
      </c>
      <c r="B634" s="3070" t="s">
        <v>3224</v>
      </c>
      <c r="C634" s="3070">
        <v>7</v>
      </c>
      <c r="E634" s="3070">
        <v>301</v>
      </c>
      <c r="F634" s="3070" t="s">
        <v>8419</v>
      </c>
      <c r="G634" s="3070" t="s">
        <v>8420</v>
      </c>
      <c r="H634" s="3070">
        <v>1612042</v>
      </c>
      <c r="I634" s="3070">
        <v>1612042</v>
      </c>
      <c r="J634" s="3070">
        <v>122.27</v>
      </c>
      <c r="K634" s="3070">
        <v>90.43</v>
      </c>
      <c r="L634" s="3070">
        <v>0</v>
      </c>
      <c r="M634" s="3070">
        <v>0</v>
      </c>
      <c r="N634" s="3070">
        <v>15194.44</v>
      </c>
      <c r="O634" s="3070">
        <v>1857824</v>
      </c>
      <c r="P634" s="3070">
        <v>13184.28</v>
      </c>
      <c r="Q634" s="3070">
        <v>1612042</v>
      </c>
      <c r="R634" s="3070" t="s">
        <v>3227</v>
      </c>
      <c r="S634" s="3070" t="s">
        <v>8421</v>
      </c>
      <c r="T634" s="3070" t="s">
        <v>4061</v>
      </c>
      <c r="V634" s="3070" t="s">
        <v>3230</v>
      </c>
      <c r="Y634" s="3070">
        <v>161204</v>
      </c>
      <c r="Z634" s="3070">
        <v>161204</v>
      </c>
      <c r="AA634" s="3070">
        <v>1612042</v>
      </c>
      <c r="AB634" s="3070">
        <v>0</v>
      </c>
      <c r="AC634" s="3070">
        <v>0</v>
      </c>
      <c r="AD634" s="3070">
        <v>0</v>
      </c>
      <c r="AE634" s="3070">
        <v>0</v>
      </c>
      <c r="AI634" s="3070" t="s">
        <v>3227</v>
      </c>
      <c r="AJ634" s="3070">
        <v>0</v>
      </c>
      <c r="AK634" s="3070">
        <v>0</v>
      </c>
      <c r="AL634" s="3070">
        <v>0</v>
      </c>
      <c r="AM634" s="3070">
        <v>13184.28</v>
      </c>
      <c r="AN634" s="3070">
        <v>1612042</v>
      </c>
      <c r="AP634" s="3070">
        <v>1612042</v>
      </c>
      <c r="AQ634" s="3072">
        <v>45138</v>
      </c>
      <c r="AT634" s="3073">
        <v>45678</v>
      </c>
      <c r="AV634" s="3070" t="s">
        <v>8422</v>
      </c>
      <c r="AW634" s="3070" t="s">
        <v>8423</v>
      </c>
      <c r="AX634" s="3070" t="s">
        <v>8424</v>
      </c>
      <c r="AY634" s="3070" t="s">
        <v>3883</v>
      </c>
      <c r="BC634" s="3070" t="s">
        <v>8425</v>
      </c>
      <c r="BD634" s="3070" t="s">
        <v>3075</v>
      </c>
      <c r="BI634" s="3070" t="s">
        <v>4630</v>
      </c>
      <c r="BJ634" s="3070" t="s">
        <v>3236</v>
      </c>
      <c r="BL634" s="3070" t="s">
        <v>8426</v>
      </c>
      <c r="BM634" s="3075">
        <v>44380</v>
      </c>
      <c r="BN634" s="3070">
        <v>1</v>
      </c>
      <c r="BR634" s="3070">
        <v>0</v>
      </c>
      <c r="BS634" s="3070" t="s">
        <v>3238</v>
      </c>
      <c r="BV634" s="3070" t="s">
        <v>8427</v>
      </c>
      <c r="BW634" s="3070" t="s">
        <v>8428</v>
      </c>
      <c r="BX634" s="3070" t="s">
        <v>8429</v>
      </c>
      <c r="BZ634" s="3073">
        <v>44257.8</v>
      </c>
      <c r="CA634" s="3070">
        <v>7</v>
      </c>
      <c r="CD634" s="3070" t="s">
        <v>3239</v>
      </c>
      <c r="CF634" s="3070" t="s">
        <v>3091</v>
      </c>
      <c r="CH634" s="3070" t="s">
        <v>3240</v>
      </c>
      <c r="CI634" s="3070">
        <v>0</v>
      </c>
      <c r="CK634" s="3070" t="s">
        <v>4265</v>
      </c>
      <c r="CL634" s="3070" t="s">
        <v>3883</v>
      </c>
      <c r="CM634" s="3070">
        <v>1478937.61</v>
      </c>
      <c r="CV634" s="3070" t="s">
        <v>3494</v>
      </c>
      <c r="CW634" s="3070" t="s">
        <v>8430</v>
      </c>
      <c r="CZ634" s="3070">
        <v>213894.57</v>
      </c>
      <c r="DA634" s="3070">
        <v>159426.93</v>
      </c>
      <c r="DB634" s="3070">
        <v>0</v>
      </c>
      <c r="DC634" s="3070">
        <v>0</v>
      </c>
      <c r="DD634" s="3070">
        <v>3290547602</v>
      </c>
      <c r="DE634" s="3070">
        <v>2764253109</v>
      </c>
      <c r="DF634" s="3070">
        <v>1464966739</v>
      </c>
      <c r="DG634" s="3070">
        <v>14938370</v>
      </c>
      <c r="DH634" s="3070">
        <v>1284348000</v>
      </c>
      <c r="DI634" s="3070">
        <v>1278128000</v>
      </c>
      <c r="DJ634" s="3070">
        <v>6220000</v>
      </c>
      <c r="DK634" s="3070">
        <v>0</v>
      </c>
      <c r="DL634" s="3070">
        <v>0</v>
      </c>
      <c r="DM634" s="3070">
        <v>25491817.620000001</v>
      </c>
      <c r="DN634" s="3070">
        <v>2764253109</v>
      </c>
      <c r="DP634" s="3070">
        <v>2764253109</v>
      </c>
    </row>
    <row r="635" spans="1:120">
      <c r="A635" s="3070">
        <v>634</v>
      </c>
      <c r="B635" s="3070" t="s">
        <v>3224</v>
      </c>
      <c r="C635" s="3070">
        <v>7</v>
      </c>
      <c r="E635" s="3070">
        <v>302</v>
      </c>
      <c r="F635" s="3070" t="s">
        <v>8431</v>
      </c>
      <c r="G635" s="3070" t="s">
        <v>8432</v>
      </c>
      <c r="H635" s="3070">
        <v>1247456</v>
      </c>
      <c r="I635" s="3070">
        <v>1247456</v>
      </c>
      <c r="J635" s="3070">
        <v>102.02</v>
      </c>
      <c r="K635" s="3070">
        <v>75.45</v>
      </c>
      <c r="L635" s="3070">
        <v>0</v>
      </c>
      <c r="M635" s="3070">
        <v>0</v>
      </c>
      <c r="N635" s="3070">
        <v>15144.44</v>
      </c>
      <c r="O635" s="3070">
        <v>1545036</v>
      </c>
      <c r="P635" s="3070">
        <v>12227.56</v>
      </c>
      <c r="Q635" s="3070">
        <v>1247456</v>
      </c>
      <c r="R635" s="3070" t="s">
        <v>3227</v>
      </c>
      <c r="S635" s="3070" t="s">
        <v>8433</v>
      </c>
      <c r="T635" s="3070" t="s">
        <v>3246</v>
      </c>
      <c r="U635" s="3070" t="s">
        <v>3259</v>
      </c>
      <c r="V635" s="3070" t="s">
        <v>3230</v>
      </c>
      <c r="Y635" s="3070">
        <v>507456</v>
      </c>
      <c r="Z635" s="3070">
        <v>507456</v>
      </c>
      <c r="AA635" s="3070">
        <v>507456</v>
      </c>
      <c r="AB635" s="3070">
        <v>0</v>
      </c>
      <c r="AC635" s="3070">
        <v>740000</v>
      </c>
      <c r="AD635" s="3070">
        <v>740000</v>
      </c>
      <c r="AE635" s="3070">
        <v>0</v>
      </c>
      <c r="AI635" s="3070" t="s">
        <v>3227</v>
      </c>
      <c r="AJ635" s="3070">
        <v>0</v>
      </c>
      <c r="AK635" s="3070">
        <v>0</v>
      </c>
      <c r="AL635" s="3070">
        <v>0</v>
      </c>
      <c r="AM635" s="3070">
        <v>12227.56</v>
      </c>
      <c r="AN635" s="3070">
        <v>1247456</v>
      </c>
      <c r="AP635" s="3070">
        <v>1247456</v>
      </c>
      <c r="AQ635" s="3072">
        <v>45138</v>
      </c>
      <c r="AT635" s="3073">
        <v>45678</v>
      </c>
      <c r="AV635" s="3070" t="s">
        <v>8434</v>
      </c>
      <c r="AW635" s="3070" t="s">
        <v>8435</v>
      </c>
      <c r="AX635" s="3070" t="s">
        <v>8436</v>
      </c>
      <c r="AY635" s="3070" t="s">
        <v>3497</v>
      </c>
      <c r="BC635" s="3070" t="s">
        <v>3284</v>
      </c>
      <c r="BD635" s="3070" t="s">
        <v>3077</v>
      </c>
      <c r="BI635" s="3070" t="s">
        <v>3235</v>
      </c>
      <c r="BJ635" s="3070" t="s">
        <v>3296</v>
      </c>
      <c r="BL635" s="3070" t="s">
        <v>8437</v>
      </c>
      <c r="BM635" s="3075">
        <v>44380</v>
      </c>
      <c r="BN635" s="3070">
        <v>2</v>
      </c>
      <c r="BO635" s="3070" t="s">
        <v>3253</v>
      </c>
      <c r="BR635" s="3070">
        <v>72</v>
      </c>
      <c r="BS635" s="3070" t="s">
        <v>3238</v>
      </c>
      <c r="BZ635" s="3073">
        <v>44142.646527777775</v>
      </c>
      <c r="CA635" s="3070">
        <v>7</v>
      </c>
      <c r="CD635" s="3070" t="s">
        <v>3239</v>
      </c>
      <c r="CF635" s="3070" t="s">
        <v>3091</v>
      </c>
      <c r="CH635" s="3070" t="s">
        <v>3240</v>
      </c>
      <c r="CI635" s="3070">
        <v>0</v>
      </c>
      <c r="CK635" s="3070" t="s">
        <v>3497</v>
      </c>
      <c r="CL635" s="3070" t="s">
        <v>3497</v>
      </c>
      <c r="CM635" s="3070">
        <v>1144455.05</v>
      </c>
      <c r="CV635" s="3070" t="s">
        <v>3246</v>
      </c>
      <c r="CW635" s="3070" t="s">
        <v>8438</v>
      </c>
      <c r="CX635" s="3070" t="s">
        <v>3242</v>
      </c>
      <c r="CZ635" s="3070">
        <v>213894.57</v>
      </c>
      <c r="DA635" s="3070">
        <v>159426.93</v>
      </c>
      <c r="DB635" s="3070">
        <v>0</v>
      </c>
      <c r="DC635" s="3070">
        <v>0</v>
      </c>
      <c r="DD635" s="3070">
        <v>3290547602</v>
      </c>
      <c r="DE635" s="3070">
        <v>2764253109</v>
      </c>
      <c r="DF635" s="3070">
        <v>1464966739</v>
      </c>
      <c r="DG635" s="3070">
        <v>14938370</v>
      </c>
      <c r="DH635" s="3070">
        <v>1284348000</v>
      </c>
      <c r="DI635" s="3070">
        <v>1278128000</v>
      </c>
      <c r="DJ635" s="3070">
        <v>6220000</v>
      </c>
      <c r="DK635" s="3070">
        <v>0</v>
      </c>
      <c r="DL635" s="3070">
        <v>0</v>
      </c>
      <c r="DM635" s="3070">
        <v>25491817.620000001</v>
      </c>
      <c r="DN635" s="3070">
        <v>2764253109</v>
      </c>
      <c r="DP635" s="3070">
        <v>2764253109</v>
      </c>
    </row>
    <row r="636" spans="1:120">
      <c r="A636" s="3070">
        <v>635</v>
      </c>
      <c r="B636" s="3070" t="s">
        <v>3224</v>
      </c>
      <c r="C636" s="3070">
        <v>7</v>
      </c>
      <c r="E636" s="3070">
        <v>303</v>
      </c>
      <c r="F636" s="3070" t="s">
        <v>8439</v>
      </c>
      <c r="G636" s="3070" t="s">
        <v>8440</v>
      </c>
      <c r="H636" s="3070">
        <v>1222507</v>
      </c>
      <c r="I636" s="3070">
        <v>1222507</v>
      </c>
      <c r="J636" s="3070">
        <v>102.02</v>
      </c>
      <c r="K636" s="3070">
        <v>75.45</v>
      </c>
      <c r="L636" s="3070">
        <v>0</v>
      </c>
      <c r="M636" s="3070">
        <v>0</v>
      </c>
      <c r="N636" s="3070">
        <v>15144.44</v>
      </c>
      <c r="O636" s="3070">
        <v>1545036</v>
      </c>
      <c r="P636" s="3070">
        <v>11983.01</v>
      </c>
      <c r="Q636" s="3070">
        <v>1222507</v>
      </c>
      <c r="R636" s="3070" t="s">
        <v>3227</v>
      </c>
      <c r="S636" s="3070" t="s">
        <v>8441</v>
      </c>
      <c r="T636" s="3070" t="s">
        <v>3246</v>
      </c>
      <c r="U636" s="3070" t="s">
        <v>3279</v>
      </c>
      <c r="V636" s="3070" t="s">
        <v>3230</v>
      </c>
      <c r="Y636" s="3070">
        <v>592507</v>
      </c>
      <c r="Z636" s="3070">
        <v>592507</v>
      </c>
      <c r="AA636" s="3070">
        <v>592507</v>
      </c>
      <c r="AB636" s="3070">
        <v>0</v>
      </c>
      <c r="AC636" s="3070">
        <v>630000</v>
      </c>
      <c r="AD636" s="3070">
        <v>630000</v>
      </c>
      <c r="AE636" s="3070">
        <v>0</v>
      </c>
      <c r="AI636" s="3070" t="s">
        <v>3227</v>
      </c>
      <c r="AJ636" s="3070">
        <v>0</v>
      </c>
      <c r="AK636" s="3070">
        <v>0</v>
      </c>
      <c r="AL636" s="3070">
        <v>0</v>
      </c>
      <c r="AM636" s="3070">
        <v>11983.01</v>
      </c>
      <c r="AN636" s="3070">
        <v>1222507</v>
      </c>
      <c r="AP636" s="3070">
        <v>1222507</v>
      </c>
      <c r="AQ636" s="3072">
        <v>45138</v>
      </c>
      <c r="AT636" s="3073">
        <v>45678</v>
      </c>
      <c r="AV636" s="3074">
        <v>3.41E+17</v>
      </c>
      <c r="AW636" s="3070" t="s">
        <v>8442</v>
      </c>
      <c r="AX636" s="3070" t="s">
        <v>8443</v>
      </c>
      <c r="AY636" s="3070" t="s">
        <v>3262</v>
      </c>
      <c r="BC636" s="3070" t="s">
        <v>3507</v>
      </c>
      <c r="BD636" s="3070" t="s">
        <v>3077</v>
      </c>
      <c r="BI636" s="3070" t="s">
        <v>3235</v>
      </c>
      <c r="BL636" s="3070" t="s">
        <v>8444</v>
      </c>
      <c r="BM636" s="3075">
        <v>44380</v>
      </c>
      <c r="BN636" s="3070">
        <v>3</v>
      </c>
      <c r="BO636" s="3070" t="s">
        <v>3253</v>
      </c>
      <c r="BR636" s="3070">
        <v>589</v>
      </c>
      <c r="BS636" s="3070" t="s">
        <v>3238</v>
      </c>
      <c r="BZ636" s="3073">
        <v>44142.651388888888</v>
      </c>
      <c r="CA636" s="3070">
        <v>7</v>
      </c>
      <c r="CD636" s="3070" t="s">
        <v>3239</v>
      </c>
      <c r="CF636" s="3070" t="s">
        <v>3091</v>
      </c>
      <c r="CH636" s="3070" t="s">
        <v>3240</v>
      </c>
      <c r="CI636" s="3070">
        <v>0</v>
      </c>
      <c r="CK636" s="3070" t="s">
        <v>3262</v>
      </c>
      <c r="CL636" s="3070" t="s">
        <v>3262</v>
      </c>
      <c r="CM636" s="3070">
        <v>1121566.06</v>
      </c>
      <c r="CV636" s="3070" t="s">
        <v>3246</v>
      </c>
      <c r="CW636" s="3070" t="s">
        <v>8445</v>
      </c>
      <c r="CX636" s="3070" t="s">
        <v>3510</v>
      </c>
      <c r="CZ636" s="3070">
        <v>213894.57</v>
      </c>
      <c r="DA636" s="3070">
        <v>159426.93</v>
      </c>
      <c r="DB636" s="3070">
        <v>0</v>
      </c>
      <c r="DC636" s="3070">
        <v>0</v>
      </c>
      <c r="DD636" s="3070">
        <v>3290547602</v>
      </c>
      <c r="DE636" s="3070">
        <v>2764253109</v>
      </c>
      <c r="DF636" s="3070">
        <v>1464966739</v>
      </c>
      <c r="DG636" s="3070">
        <v>14938370</v>
      </c>
      <c r="DH636" s="3070">
        <v>1284348000</v>
      </c>
      <c r="DI636" s="3070">
        <v>1278128000</v>
      </c>
      <c r="DJ636" s="3070">
        <v>6220000</v>
      </c>
      <c r="DK636" s="3070">
        <v>0</v>
      </c>
      <c r="DL636" s="3070">
        <v>0</v>
      </c>
      <c r="DM636" s="3070">
        <v>25491817.620000001</v>
      </c>
      <c r="DN636" s="3070">
        <v>2764253109</v>
      </c>
      <c r="DP636" s="3070">
        <v>2764253109</v>
      </c>
    </row>
    <row r="637" spans="1:120">
      <c r="A637" s="3070">
        <v>636</v>
      </c>
      <c r="B637" s="3070" t="s">
        <v>3224</v>
      </c>
      <c r="C637" s="3070">
        <v>7</v>
      </c>
      <c r="E637" s="3070">
        <v>304</v>
      </c>
      <c r="F637" s="3070" t="s">
        <v>8446</v>
      </c>
      <c r="G637" s="3070" t="s">
        <v>8447</v>
      </c>
      <c r="H637" s="3070">
        <v>1611037</v>
      </c>
      <c r="I637" s="3070">
        <v>1611037</v>
      </c>
      <c r="J637" s="3070">
        <v>122.27</v>
      </c>
      <c r="K637" s="3070">
        <v>90.43</v>
      </c>
      <c r="L637" s="3070">
        <v>0</v>
      </c>
      <c r="M637" s="3070">
        <v>0</v>
      </c>
      <c r="N637" s="3070">
        <v>15094.44</v>
      </c>
      <c r="O637" s="3070">
        <v>1845597</v>
      </c>
      <c r="P637" s="3070">
        <v>13176.06</v>
      </c>
      <c r="Q637" s="3070">
        <v>1611037</v>
      </c>
      <c r="R637" s="3070" t="s">
        <v>3227</v>
      </c>
      <c r="S637" s="3070" t="s">
        <v>8448</v>
      </c>
      <c r="T637" s="3070" t="s">
        <v>4061</v>
      </c>
      <c r="V637" s="3070" t="s">
        <v>3230</v>
      </c>
      <c r="Y637" s="3070">
        <v>161104</v>
      </c>
      <c r="Z637" s="3070">
        <v>161104</v>
      </c>
      <c r="AA637" s="3070">
        <v>1611037</v>
      </c>
      <c r="AB637" s="3070">
        <v>0</v>
      </c>
      <c r="AC637" s="3070">
        <v>0</v>
      </c>
      <c r="AD637" s="3070">
        <v>0</v>
      </c>
      <c r="AE637" s="3070">
        <v>0</v>
      </c>
      <c r="AI637" s="3070" t="s">
        <v>3227</v>
      </c>
      <c r="AJ637" s="3070">
        <v>0</v>
      </c>
      <c r="AK637" s="3070">
        <v>0</v>
      </c>
      <c r="AL637" s="3070">
        <v>0</v>
      </c>
      <c r="AM637" s="3070">
        <v>13176.06</v>
      </c>
      <c r="AN637" s="3070">
        <v>1611037</v>
      </c>
      <c r="AP637" s="3070">
        <v>1611037</v>
      </c>
      <c r="AQ637" s="3072">
        <v>45138</v>
      </c>
      <c r="AT637" s="3073">
        <v>45678</v>
      </c>
      <c r="AV637" s="3070" t="s">
        <v>8449</v>
      </c>
      <c r="AW637" s="3070" t="s">
        <v>8450</v>
      </c>
      <c r="AX637" s="3070" t="s">
        <v>8451</v>
      </c>
      <c r="AY637" s="3070" t="s">
        <v>4265</v>
      </c>
      <c r="BC637" s="3070" t="s">
        <v>8452</v>
      </c>
      <c r="BD637" s="3070" t="s">
        <v>3075</v>
      </c>
      <c r="BI637" s="3070" t="s">
        <v>3235</v>
      </c>
      <c r="BL637" s="3070" t="s">
        <v>8453</v>
      </c>
      <c r="BM637" s="3075">
        <v>44380</v>
      </c>
      <c r="BN637" s="3070">
        <v>4</v>
      </c>
      <c r="BR637" s="3070">
        <v>0</v>
      </c>
      <c r="BS637" s="3070" t="s">
        <v>3238</v>
      </c>
      <c r="BV637" s="3070" t="s">
        <v>8454</v>
      </c>
      <c r="BW637" s="3070" t="s">
        <v>8455</v>
      </c>
      <c r="BX637" s="3070" t="s">
        <v>8456</v>
      </c>
      <c r="BZ637" s="3073">
        <v>44256.709722222222</v>
      </c>
      <c r="CA637" s="3070">
        <v>7</v>
      </c>
      <c r="CD637" s="3070" t="s">
        <v>3239</v>
      </c>
      <c r="CF637" s="3070" t="s">
        <v>3091</v>
      </c>
      <c r="CH637" s="3070" t="s">
        <v>3240</v>
      </c>
      <c r="CI637" s="3070">
        <v>0</v>
      </c>
      <c r="CK637" s="3070" t="s">
        <v>4138</v>
      </c>
      <c r="CL637" s="3070" t="s">
        <v>4265</v>
      </c>
      <c r="CM637" s="3070">
        <v>1478015.6</v>
      </c>
      <c r="CV637" s="3070" t="s">
        <v>3494</v>
      </c>
      <c r="CW637" s="3070" t="s">
        <v>8457</v>
      </c>
      <c r="CX637" s="3070" t="s">
        <v>3267</v>
      </c>
      <c r="CZ637" s="3070">
        <v>213894.57</v>
      </c>
      <c r="DA637" s="3070">
        <v>159426.93</v>
      </c>
      <c r="DB637" s="3070">
        <v>0</v>
      </c>
      <c r="DC637" s="3070">
        <v>0</v>
      </c>
      <c r="DD637" s="3070">
        <v>3290547602</v>
      </c>
      <c r="DE637" s="3070">
        <v>2764253109</v>
      </c>
      <c r="DF637" s="3070">
        <v>1464966739</v>
      </c>
      <c r="DG637" s="3070">
        <v>14938370</v>
      </c>
      <c r="DH637" s="3070">
        <v>1284348000</v>
      </c>
      <c r="DI637" s="3070">
        <v>1278128000</v>
      </c>
      <c r="DJ637" s="3070">
        <v>6220000</v>
      </c>
      <c r="DK637" s="3070">
        <v>0</v>
      </c>
      <c r="DL637" s="3070">
        <v>0</v>
      </c>
      <c r="DM637" s="3070">
        <v>25491817.620000001</v>
      </c>
      <c r="DN637" s="3070">
        <v>2764253109</v>
      </c>
      <c r="DP637" s="3070">
        <v>2764253109</v>
      </c>
    </row>
    <row r="638" spans="1:120">
      <c r="A638" s="3070">
        <v>637</v>
      </c>
      <c r="B638" s="3070" t="s">
        <v>3224</v>
      </c>
      <c r="C638" s="3070">
        <v>7</v>
      </c>
      <c r="E638" s="3070">
        <v>401</v>
      </c>
      <c r="F638" s="3070" t="s">
        <v>8458</v>
      </c>
      <c r="G638" s="3070" t="s">
        <v>8459</v>
      </c>
      <c r="H638" s="3070">
        <v>1601037</v>
      </c>
      <c r="I638" s="3070">
        <v>1601037</v>
      </c>
      <c r="J638" s="3070">
        <v>122.27</v>
      </c>
      <c r="K638" s="3070">
        <v>90.43</v>
      </c>
      <c r="L638" s="3070">
        <v>0</v>
      </c>
      <c r="M638" s="3070">
        <v>0</v>
      </c>
      <c r="N638" s="3070">
        <v>15094.44</v>
      </c>
      <c r="O638" s="3070">
        <v>1845597</v>
      </c>
      <c r="P638" s="3070">
        <v>13094.27</v>
      </c>
      <c r="Q638" s="3070">
        <v>1601037</v>
      </c>
      <c r="R638" s="3070" t="s">
        <v>3227</v>
      </c>
      <c r="S638" s="3070" t="s">
        <v>8460</v>
      </c>
      <c r="T638" s="3070" t="s">
        <v>4061</v>
      </c>
      <c r="V638" s="3070" t="s">
        <v>3230</v>
      </c>
      <c r="Y638" s="3070">
        <v>160104</v>
      </c>
      <c r="Z638" s="3070">
        <v>160104</v>
      </c>
      <c r="AA638" s="3070">
        <v>1601037</v>
      </c>
      <c r="AB638" s="3070">
        <v>0</v>
      </c>
      <c r="AC638" s="3070">
        <v>0</v>
      </c>
      <c r="AD638" s="3070">
        <v>0</v>
      </c>
      <c r="AE638" s="3070">
        <v>0</v>
      </c>
      <c r="AI638" s="3070" t="s">
        <v>3227</v>
      </c>
      <c r="AJ638" s="3070">
        <v>0</v>
      </c>
      <c r="AK638" s="3070">
        <v>0</v>
      </c>
      <c r="AL638" s="3070">
        <v>0</v>
      </c>
      <c r="AM638" s="3070">
        <v>13094.27</v>
      </c>
      <c r="AN638" s="3070">
        <v>1601037</v>
      </c>
      <c r="AP638" s="3070">
        <v>1601037</v>
      </c>
      <c r="AQ638" s="3072">
        <v>45138</v>
      </c>
      <c r="AT638" s="3073">
        <v>45678</v>
      </c>
      <c r="AV638" s="3070" t="s">
        <v>8461</v>
      </c>
      <c r="AW638" s="3070" t="s">
        <v>8462</v>
      </c>
      <c r="AX638" s="3070" t="s">
        <v>8463</v>
      </c>
      <c r="AY638" s="3070" t="s">
        <v>4065</v>
      </c>
      <c r="BC638" s="3070" t="s">
        <v>7659</v>
      </c>
      <c r="BD638" s="3070" t="s">
        <v>3075</v>
      </c>
      <c r="BI638" s="3070" t="s">
        <v>3235</v>
      </c>
      <c r="BJ638" s="3070" t="s">
        <v>3296</v>
      </c>
      <c r="BL638" s="3070" t="s">
        <v>8464</v>
      </c>
      <c r="BM638" s="3075">
        <v>44381</v>
      </c>
      <c r="BN638" s="3070">
        <v>1</v>
      </c>
      <c r="BR638" s="3070">
        <v>0</v>
      </c>
      <c r="BS638" s="3070" t="s">
        <v>3238</v>
      </c>
      <c r="BV638" s="3070" t="s">
        <v>8465</v>
      </c>
      <c r="BW638" s="3070" t="s">
        <v>8466</v>
      </c>
      <c r="BX638" s="3070" t="s">
        <v>8467</v>
      </c>
      <c r="BZ638" s="3073">
        <v>44258.795138888891</v>
      </c>
      <c r="CA638" s="3070">
        <v>7</v>
      </c>
      <c r="CD638" s="3070" t="s">
        <v>3239</v>
      </c>
      <c r="CF638" s="3070" t="s">
        <v>3091</v>
      </c>
      <c r="CH638" s="3070" t="s">
        <v>3240</v>
      </c>
      <c r="CI638" s="3070">
        <v>0</v>
      </c>
      <c r="CK638" s="3070" t="s">
        <v>4068</v>
      </c>
      <c r="CL638" s="3070" t="s">
        <v>4065</v>
      </c>
      <c r="CM638" s="3070">
        <v>1468841.28</v>
      </c>
      <c r="CV638" s="3070" t="s">
        <v>3494</v>
      </c>
      <c r="CW638" s="3070" t="s">
        <v>8468</v>
      </c>
      <c r="CX638" s="3070" t="s">
        <v>3267</v>
      </c>
      <c r="CZ638" s="3070">
        <v>213894.57</v>
      </c>
      <c r="DA638" s="3070">
        <v>159426.93</v>
      </c>
      <c r="DB638" s="3070">
        <v>0</v>
      </c>
      <c r="DC638" s="3070">
        <v>0</v>
      </c>
      <c r="DD638" s="3070">
        <v>3290547602</v>
      </c>
      <c r="DE638" s="3070">
        <v>2764253109</v>
      </c>
      <c r="DF638" s="3070">
        <v>1464966739</v>
      </c>
      <c r="DG638" s="3070">
        <v>14938370</v>
      </c>
      <c r="DH638" s="3070">
        <v>1284348000</v>
      </c>
      <c r="DI638" s="3070">
        <v>1278128000</v>
      </c>
      <c r="DJ638" s="3070">
        <v>6220000</v>
      </c>
      <c r="DK638" s="3070">
        <v>0</v>
      </c>
      <c r="DL638" s="3070">
        <v>0</v>
      </c>
      <c r="DM638" s="3070">
        <v>25491817.620000001</v>
      </c>
      <c r="DN638" s="3070">
        <v>2764253109</v>
      </c>
      <c r="DP638" s="3070">
        <v>2764253109</v>
      </c>
    </row>
    <row r="639" spans="1:120">
      <c r="A639" s="3070">
        <v>638</v>
      </c>
      <c r="B639" s="3070" t="s">
        <v>3224</v>
      </c>
      <c r="C639" s="3070">
        <v>7</v>
      </c>
      <c r="E639" s="3070">
        <v>402</v>
      </c>
      <c r="F639" s="3070" t="s">
        <v>8469</v>
      </c>
      <c r="G639" s="3070" t="s">
        <v>8470</v>
      </c>
      <c r="H639" s="3070">
        <v>1237758</v>
      </c>
      <c r="I639" s="3070">
        <v>1237758</v>
      </c>
      <c r="J639" s="3070">
        <v>102.02</v>
      </c>
      <c r="K639" s="3070">
        <v>75.45</v>
      </c>
      <c r="L639" s="3070">
        <v>0</v>
      </c>
      <c r="M639" s="3070">
        <v>0</v>
      </c>
      <c r="N639" s="3070">
        <v>15044.44</v>
      </c>
      <c r="O639" s="3070">
        <v>1534834</v>
      </c>
      <c r="P639" s="3070">
        <v>12132.5</v>
      </c>
      <c r="Q639" s="3070">
        <v>1237758</v>
      </c>
      <c r="R639" s="3070" t="s">
        <v>3227</v>
      </c>
      <c r="S639" s="3070" t="s">
        <v>8471</v>
      </c>
      <c r="T639" s="3070" t="s">
        <v>3258</v>
      </c>
      <c r="U639" s="3070" t="s">
        <v>3259</v>
      </c>
      <c r="V639" s="3070" t="s">
        <v>3230</v>
      </c>
      <c r="Y639" s="3070">
        <v>457758</v>
      </c>
      <c r="Z639" s="3070">
        <v>457758</v>
      </c>
      <c r="AA639" s="3070">
        <v>457758</v>
      </c>
      <c r="AB639" s="3070">
        <v>0</v>
      </c>
      <c r="AC639" s="3070">
        <v>780000</v>
      </c>
      <c r="AD639" s="3070">
        <v>780000</v>
      </c>
      <c r="AE639" s="3070">
        <v>0</v>
      </c>
      <c r="AI639" s="3070" t="s">
        <v>3227</v>
      </c>
      <c r="AJ639" s="3070">
        <v>0</v>
      </c>
      <c r="AK639" s="3070">
        <v>0</v>
      </c>
      <c r="AL639" s="3070">
        <v>0</v>
      </c>
      <c r="AM639" s="3070">
        <v>12132.5</v>
      </c>
      <c r="AN639" s="3070">
        <v>1237758</v>
      </c>
      <c r="AP639" s="3070">
        <v>1237758</v>
      </c>
      <c r="AQ639" s="3072">
        <v>45138</v>
      </c>
      <c r="AT639" s="3073">
        <v>45678</v>
      </c>
      <c r="AV639" s="3070" t="s">
        <v>8472</v>
      </c>
      <c r="AW639" s="3070" t="s">
        <v>8473</v>
      </c>
      <c r="AX639" s="3070" t="s">
        <v>8474</v>
      </c>
      <c r="AY639" s="3070" t="s">
        <v>3346</v>
      </c>
      <c r="BC639" s="3070" t="s">
        <v>3263</v>
      </c>
      <c r="BD639" s="3070" t="s">
        <v>3077</v>
      </c>
      <c r="BI639" s="3070" t="s">
        <v>3235</v>
      </c>
      <c r="BJ639" s="3070" t="s">
        <v>3296</v>
      </c>
      <c r="BL639" s="3070" t="s">
        <v>8475</v>
      </c>
      <c r="BM639" s="3075">
        <v>44381</v>
      </c>
      <c r="BN639" s="3070">
        <v>2</v>
      </c>
      <c r="BO639" s="3070" t="s">
        <v>3253</v>
      </c>
      <c r="BP639" s="3070" t="s">
        <v>3253</v>
      </c>
      <c r="BR639" s="3070">
        <v>46</v>
      </c>
      <c r="BS639" s="3070" t="s">
        <v>3238</v>
      </c>
      <c r="BZ639" s="3073">
        <v>44142.634722222225</v>
      </c>
      <c r="CA639" s="3070">
        <v>7</v>
      </c>
      <c r="CD639" s="3070" t="s">
        <v>3239</v>
      </c>
      <c r="CF639" s="3070" t="s">
        <v>3091</v>
      </c>
      <c r="CH639" s="3070" t="s">
        <v>3240</v>
      </c>
      <c r="CI639" s="3070">
        <v>0</v>
      </c>
      <c r="CJ639" s="3070" t="s">
        <v>3259</v>
      </c>
      <c r="CK639" s="3070" t="s">
        <v>3346</v>
      </c>
      <c r="CL639" s="3070" t="s">
        <v>3346</v>
      </c>
      <c r="CM639" s="3070">
        <v>1135557.79</v>
      </c>
      <c r="CV639" s="3070" t="s">
        <v>3258</v>
      </c>
      <c r="CW639" s="3070" t="s">
        <v>8476</v>
      </c>
      <c r="CZ639" s="3070">
        <v>213894.57</v>
      </c>
      <c r="DA639" s="3070">
        <v>159426.93</v>
      </c>
      <c r="DB639" s="3070">
        <v>0</v>
      </c>
      <c r="DC639" s="3070">
        <v>0</v>
      </c>
      <c r="DD639" s="3070">
        <v>3290547602</v>
      </c>
      <c r="DE639" s="3070">
        <v>2764253109</v>
      </c>
      <c r="DF639" s="3070">
        <v>1464966739</v>
      </c>
      <c r="DG639" s="3070">
        <v>14938370</v>
      </c>
      <c r="DH639" s="3070">
        <v>1284348000</v>
      </c>
      <c r="DI639" s="3070">
        <v>1278128000</v>
      </c>
      <c r="DJ639" s="3070">
        <v>6220000</v>
      </c>
      <c r="DK639" s="3070">
        <v>0</v>
      </c>
      <c r="DL639" s="3070">
        <v>0</v>
      </c>
      <c r="DM639" s="3070">
        <v>25491817.620000001</v>
      </c>
      <c r="DN639" s="3070">
        <v>2764253109</v>
      </c>
      <c r="DP639" s="3070">
        <v>2764253109</v>
      </c>
    </row>
    <row r="640" spans="1:120">
      <c r="A640" s="3070">
        <v>639</v>
      </c>
      <c r="B640" s="3070" t="s">
        <v>3224</v>
      </c>
      <c r="C640" s="3070">
        <v>7</v>
      </c>
      <c r="E640" s="3070">
        <v>403</v>
      </c>
      <c r="F640" s="3070" t="s">
        <v>8477</v>
      </c>
      <c r="G640" s="3070" t="s">
        <v>8478</v>
      </c>
      <c r="H640" s="3070">
        <v>1290735</v>
      </c>
      <c r="I640" s="3070">
        <v>1290735</v>
      </c>
      <c r="J640" s="3070">
        <v>102.02</v>
      </c>
      <c r="K640" s="3070">
        <v>75.45</v>
      </c>
      <c r="L640" s="3070">
        <v>0</v>
      </c>
      <c r="M640" s="3070">
        <v>0</v>
      </c>
      <c r="N640" s="3070">
        <v>15044.44</v>
      </c>
      <c r="O640" s="3070">
        <v>1534834</v>
      </c>
      <c r="P640" s="3070">
        <v>12651.78</v>
      </c>
      <c r="Q640" s="3070">
        <v>1290735</v>
      </c>
      <c r="R640" s="3070" t="s">
        <v>3227</v>
      </c>
      <c r="S640" s="3070" t="s">
        <v>8479</v>
      </c>
      <c r="T640" s="3070" t="s">
        <v>3494</v>
      </c>
      <c r="V640" s="3070" t="s">
        <v>3230</v>
      </c>
      <c r="Y640" s="3070">
        <v>129074</v>
      </c>
      <c r="Z640" s="3070">
        <v>129074</v>
      </c>
      <c r="AA640" s="3070">
        <v>1290735</v>
      </c>
      <c r="AB640" s="3070">
        <v>0</v>
      </c>
      <c r="AC640" s="3070">
        <v>0</v>
      </c>
      <c r="AD640" s="3070">
        <v>0</v>
      </c>
      <c r="AE640" s="3070">
        <v>0</v>
      </c>
      <c r="AI640" s="3070" t="s">
        <v>3227</v>
      </c>
      <c r="AJ640" s="3070">
        <v>0</v>
      </c>
      <c r="AK640" s="3070">
        <v>0</v>
      </c>
      <c r="AL640" s="3070">
        <v>0</v>
      </c>
      <c r="AM640" s="3070">
        <v>12651.78</v>
      </c>
      <c r="AN640" s="3070">
        <v>1290735</v>
      </c>
      <c r="AP640" s="3070">
        <v>1290735</v>
      </c>
      <c r="AQ640" s="3072">
        <v>45138</v>
      </c>
      <c r="AT640" s="3073">
        <v>45678</v>
      </c>
      <c r="AV640" s="3070" t="s">
        <v>8480</v>
      </c>
      <c r="AW640" s="3070" t="s">
        <v>8481</v>
      </c>
      <c r="AX640" s="3070" t="s">
        <v>8482</v>
      </c>
      <c r="AY640" s="3070" t="s">
        <v>5154</v>
      </c>
      <c r="BA640" s="3070" t="s">
        <v>5154</v>
      </c>
      <c r="BC640" s="3070" t="s">
        <v>7497</v>
      </c>
      <c r="BD640" s="3070" t="s">
        <v>3077</v>
      </c>
      <c r="BI640" s="3070" t="s">
        <v>4630</v>
      </c>
      <c r="BL640" s="3070" t="s">
        <v>8483</v>
      </c>
      <c r="BM640" s="3075">
        <v>44381</v>
      </c>
      <c r="BN640" s="3070">
        <v>3</v>
      </c>
      <c r="BR640" s="3070">
        <v>16</v>
      </c>
      <c r="BS640" s="3070" t="s">
        <v>3238</v>
      </c>
      <c r="BU640" s="3070" t="s">
        <v>5154</v>
      </c>
      <c r="BZ640" s="3073">
        <v>44177.84097222222</v>
      </c>
      <c r="CA640" s="3070">
        <v>7</v>
      </c>
      <c r="CD640" s="3070" t="s">
        <v>3239</v>
      </c>
      <c r="CF640" s="3070" t="s">
        <v>3091</v>
      </c>
      <c r="CH640" s="3070" t="s">
        <v>3240</v>
      </c>
      <c r="CI640" s="3070">
        <v>0</v>
      </c>
      <c r="CK640" s="3070" t="s">
        <v>5154</v>
      </c>
      <c r="CL640" s="3070" t="s">
        <v>5154</v>
      </c>
      <c r="CM640" s="3070">
        <v>1184160.55</v>
      </c>
      <c r="CV640" s="3070" t="s">
        <v>3494</v>
      </c>
      <c r="CW640" s="3070" t="s">
        <v>8484</v>
      </c>
      <c r="CZ640" s="3070">
        <v>213894.57</v>
      </c>
      <c r="DA640" s="3070">
        <v>159426.93</v>
      </c>
      <c r="DB640" s="3070">
        <v>0</v>
      </c>
      <c r="DC640" s="3070">
        <v>0</v>
      </c>
      <c r="DD640" s="3070">
        <v>3290547602</v>
      </c>
      <c r="DE640" s="3070">
        <v>2764253109</v>
      </c>
      <c r="DF640" s="3070">
        <v>1464966739</v>
      </c>
      <c r="DG640" s="3070">
        <v>14938370</v>
      </c>
      <c r="DH640" s="3070">
        <v>1284348000</v>
      </c>
      <c r="DI640" s="3070">
        <v>1278128000</v>
      </c>
      <c r="DJ640" s="3070">
        <v>6220000</v>
      </c>
      <c r="DK640" s="3070">
        <v>0</v>
      </c>
      <c r="DL640" s="3070">
        <v>0</v>
      </c>
      <c r="DM640" s="3070">
        <v>25491817.620000001</v>
      </c>
      <c r="DN640" s="3070">
        <v>2764253109</v>
      </c>
      <c r="DP640" s="3070">
        <v>2764253109</v>
      </c>
    </row>
    <row r="641" spans="1:120">
      <c r="A641" s="3070">
        <v>640</v>
      </c>
      <c r="B641" s="3070" t="s">
        <v>3224</v>
      </c>
      <c r="C641" s="3070">
        <v>7</v>
      </c>
      <c r="E641" s="3070">
        <v>404</v>
      </c>
      <c r="F641" s="3070" t="s">
        <v>8485</v>
      </c>
      <c r="G641" s="3070" t="s">
        <v>8486</v>
      </c>
      <c r="H641" s="3070">
        <v>1610033</v>
      </c>
      <c r="I641" s="3070">
        <v>1610033</v>
      </c>
      <c r="J641" s="3070">
        <v>122.27</v>
      </c>
      <c r="K641" s="3070">
        <v>90.43</v>
      </c>
      <c r="L641" s="3070">
        <v>0</v>
      </c>
      <c r="M641" s="3070">
        <v>0</v>
      </c>
      <c r="N641" s="3070">
        <v>14994.44</v>
      </c>
      <c r="O641" s="3070">
        <v>1833370</v>
      </c>
      <c r="P641" s="3070">
        <v>13167.85</v>
      </c>
      <c r="Q641" s="3070">
        <v>1610033</v>
      </c>
      <c r="R641" s="3070" t="s">
        <v>3227</v>
      </c>
      <c r="S641" s="3070" t="s">
        <v>8487</v>
      </c>
      <c r="T641" s="3070" t="s">
        <v>4061</v>
      </c>
      <c r="V641" s="3070" t="s">
        <v>3230</v>
      </c>
      <c r="Y641" s="3070">
        <v>161003</v>
      </c>
      <c r="Z641" s="3070">
        <v>161003</v>
      </c>
      <c r="AA641" s="3070">
        <v>1610033</v>
      </c>
      <c r="AB641" s="3070">
        <v>0</v>
      </c>
      <c r="AC641" s="3070">
        <v>0</v>
      </c>
      <c r="AD641" s="3070">
        <v>0</v>
      </c>
      <c r="AE641" s="3070">
        <v>0</v>
      </c>
      <c r="AI641" s="3070" t="s">
        <v>3227</v>
      </c>
      <c r="AJ641" s="3070">
        <v>0</v>
      </c>
      <c r="AK641" s="3070">
        <v>0</v>
      </c>
      <c r="AL641" s="3070">
        <v>0</v>
      </c>
      <c r="AM641" s="3070">
        <v>13167.85</v>
      </c>
      <c r="AN641" s="3070">
        <v>1610033</v>
      </c>
      <c r="AP641" s="3070">
        <v>1610033</v>
      </c>
      <c r="AQ641" s="3072">
        <v>45138</v>
      </c>
      <c r="AT641" s="3073">
        <v>45678</v>
      </c>
      <c r="AV641" s="3070" t="s">
        <v>8488</v>
      </c>
      <c r="AW641" s="3070" t="s">
        <v>8489</v>
      </c>
      <c r="AX641" s="3070" t="s">
        <v>8490</v>
      </c>
      <c r="AY641" s="3070" t="s">
        <v>4265</v>
      </c>
      <c r="BC641" s="3070" t="s">
        <v>8349</v>
      </c>
      <c r="BD641" s="3070" t="s">
        <v>3075</v>
      </c>
      <c r="BI641" s="3070" t="s">
        <v>3235</v>
      </c>
      <c r="BJ641" s="3070" t="s">
        <v>8491</v>
      </c>
      <c r="BL641" s="3070" t="s">
        <v>8492</v>
      </c>
      <c r="BM641" s="3075">
        <v>44381</v>
      </c>
      <c r="BN641" s="3070">
        <v>4</v>
      </c>
      <c r="BR641" s="3070">
        <v>0</v>
      </c>
      <c r="BS641" s="3070" t="s">
        <v>3238</v>
      </c>
      <c r="BV641" s="3070" t="s">
        <v>8493</v>
      </c>
      <c r="BZ641" s="3073">
        <v>44267.65625</v>
      </c>
      <c r="CA641" s="3070">
        <v>7</v>
      </c>
      <c r="CD641" s="3070" t="s">
        <v>3239</v>
      </c>
      <c r="CF641" s="3070" t="s">
        <v>3091</v>
      </c>
      <c r="CH641" s="3070" t="s">
        <v>3240</v>
      </c>
      <c r="CI641" s="3070">
        <v>0</v>
      </c>
      <c r="CK641" s="3070" t="s">
        <v>3892</v>
      </c>
      <c r="CL641" s="3070" t="s">
        <v>4265</v>
      </c>
      <c r="CM641" s="3070">
        <v>1477094.5</v>
      </c>
      <c r="CV641" s="3070" t="s">
        <v>3494</v>
      </c>
      <c r="CW641" s="3070" t="s">
        <v>8494</v>
      </c>
      <c r="CX641" s="3070" t="s">
        <v>3267</v>
      </c>
      <c r="CZ641" s="3070">
        <v>213894.57</v>
      </c>
      <c r="DA641" s="3070">
        <v>159426.93</v>
      </c>
      <c r="DB641" s="3070">
        <v>0</v>
      </c>
      <c r="DC641" s="3070">
        <v>0</v>
      </c>
      <c r="DD641" s="3070">
        <v>3290547602</v>
      </c>
      <c r="DE641" s="3070">
        <v>2764253109</v>
      </c>
      <c r="DF641" s="3070">
        <v>1464966739</v>
      </c>
      <c r="DG641" s="3070">
        <v>14938370</v>
      </c>
      <c r="DH641" s="3070">
        <v>1284348000</v>
      </c>
      <c r="DI641" s="3070">
        <v>1278128000</v>
      </c>
      <c r="DJ641" s="3070">
        <v>6220000</v>
      </c>
      <c r="DK641" s="3070">
        <v>0</v>
      </c>
      <c r="DL641" s="3070">
        <v>0</v>
      </c>
      <c r="DM641" s="3070">
        <v>25491817.620000001</v>
      </c>
      <c r="DN641" s="3070">
        <v>2764253109</v>
      </c>
      <c r="DP641" s="3070">
        <v>2764253109</v>
      </c>
    </row>
    <row r="642" spans="1:120">
      <c r="A642" s="3070">
        <v>641</v>
      </c>
      <c r="B642" s="3070" t="s">
        <v>3224</v>
      </c>
      <c r="C642" s="3070">
        <v>7</v>
      </c>
      <c r="E642" s="3070">
        <v>501</v>
      </c>
      <c r="F642" s="3070" t="s">
        <v>8495</v>
      </c>
      <c r="G642" s="3070" t="s">
        <v>8496</v>
      </c>
      <c r="H642" s="3070">
        <v>1491621</v>
      </c>
      <c r="I642" s="3070">
        <v>1491621</v>
      </c>
      <c r="J642" s="3070">
        <v>122.27</v>
      </c>
      <c r="K642" s="3070">
        <v>90.43</v>
      </c>
      <c r="L642" s="3070">
        <v>0</v>
      </c>
      <c r="M642" s="3070">
        <v>0</v>
      </c>
      <c r="N642" s="3070">
        <v>15244.44</v>
      </c>
      <c r="O642" s="3070">
        <v>1863938</v>
      </c>
      <c r="P642" s="3070">
        <v>12199.4</v>
      </c>
      <c r="Q642" s="3070">
        <v>1491621</v>
      </c>
      <c r="R642" s="3070" t="s">
        <v>3227</v>
      </c>
      <c r="S642" s="3070" t="s">
        <v>8497</v>
      </c>
      <c r="T642" s="3070" t="s">
        <v>3229</v>
      </c>
      <c r="V642" s="3070" t="s">
        <v>3230</v>
      </c>
      <c r="Y642" s="3070">
        <v>447486</v>
      </c>
      <c r="Z642" s="3070">
        <v>447486</v>
      </c>
      <c r="AA642" s="3070">
        <v>1491621</v>
      </c>
      <c r="AB642" s="3070">
        <v>0</v>
      </c>
      <c r="AC642" s="3070">
        <v>0</v>
      </c>
      <c r="AD642" s="3070">
        <v>0</v>
      </c>
      <c r="AE642" s="3070">
        <v>0</v>
      </c>
      <c r="AI642" s="3070" t="s">
        <v>3227</v>
      </c>
      <c r="AJ642" s="3070">
        <v>0</v>
      </c>
      <c r="AK642" s="3070">
        <v>0</v>
      </c>
      <c r="AL642" s="3070">
        <v>0</v>
      </c>
      <c r="AM642" s="3070">
        <v>12199.4</v>
      </c>
      <c r="AN642" s="3070">
        <v>1491621</v>
      </c>
      <c r="AP642" s="3070">
        <v>1491621</v>
      </c>
      <c r="AQ642" s="3072">
        <v>45138</v>
      </c>
      <c r="AT642" s="3073">
        <v>45678</v>
      </c>
      <c r="AV642" s="3070" t="s">
        <v>8498</v>
      </c>
      <c r="AW642" s="3070" t="s">
        <v>8499</v>
      </c>
      <c r="AX642" s="3070" t="s">
        <v>8500</v>
      </c>
      <c r="AY642" s="3070" t="s">
        <v>3656</v>
      </c>
      <c r="BC642" s="3070" t="s">
        <v>3347</v>
      </c>
      <c r="BD642" s="3070" t="s">
        <v>3075</v>
      </c>
      <c r="BI642" s="3070" t="s">
        <v>3235</v>
      </c>
      <c r="BJ642" s="3070" t="s">
        <v>3338</v>
      </c>
      <c r="BL642" s="3070" t="s">
        <v>8501</v>
      </c>
      <c r="BM642" s="3075">
        <v>44382</v>
      </c>
      <c r="BN642" s="3070">
        <v>1</v>
      </c>
      <c r="BR642" s="3070">
        <v>385</v>
      </c>
      <c r="BS642" s="3070" t="s">
        <v>3238</v>
      </c>
      <c r="BZ642" s="3073">
        <v>44142.961111111108</v>
      </c>
      <c r="CA642" s="3070">
        <v>7</v>
      </c>
      <c r="CD642" s="3070" t="s">
        <v>3239</v>
      </c>
      <c r="CF642" s="3070" t="s">
        <v>3091</v>
      </c>
      <c r="CH642" s="3070" t="s">
        <v>3240</v>
      </c>
      <c r="CI642" s="3070">
        <v>0</v>
      </c>
      <c r="CK642" s="3070" t="s">
        <v>3656</v>
      </c>
      <c r="CL642" s="3070" t="s">
        <v>3656</v>
      </c>
      <c r="CM642" s="3070">
        <v>1368459.63</v>
      </c>
      <c r="CV642" s="3070" t="s">
        <v>3229</v>
      </c>
      <c r="CW642" s="3070" t="s">
        <v>8502</v>
      </c>
      <c r="CZ642" s="3070">
        <v>213894.57</v>
      </c>
      <c r="DA642" s="3070">
        <v>159426.93</v>
      </c>
      <c r="DB642" s="3070">
        <v>0</v>
      </c>
      <c r="DC642" s="3070">
        <v>0</v>
      </c>
      <c r="DD642" s="3070">
        <v>3290547602</v>
      </c>
      <c r="DE642" s="3070">
        <v>2764253109</v>
      </c>
      <c r="DF642" s="3070">
        <v>1464966739</v>
      </c>
      <c r="DG642" s="3070">
        <v>14938370</v>
      </c>
      <c r="DH642" s="3070">
        <v>1284348000</v>
      </c>
      <c r="DI642" s="3070">
        <v>1278128000</v>
      </c>
      <c r="DJ642" s="3070">
        <v>6220000</v>
      </c>
      <c r="DK642" s="3070">
        <v>0</v>
      </c>
      <c r="DL642" s="3070">
        <v>0</v>
      </c>
      <c r="DM642" s="3070">
        <v>25491817.620000001</v>
      </c>
      <c r="DN642" s="3070">
        <v>2764253109</v>
      </c>
      <c r="DP642" s="3070">
        <v>2764253109</v>
      </c>
    </row>
    <row r="643" spans="1:120">
      <c r="A643" s="3070">
        <v>642</v>
      </c>
      <c r="B643" s="3070" t="s">
        <v>3224</v>
      </c>
      <c r="C643" s="3070">
        <v>7</v>
      </c>
      <c r="E643" s="3070">
        <v>502</v>
      </c>
      <c r="F643" s="3070" t="s">
        <v>8503</v>
      </c>
      <c r="G643" s="3070" t="s">
        <v>8504</v>
      </c>
      <c r="H643" s="3070">
        <v>1252305</v>
      </c>
      <c r="I643" s="3070">
        <v>1252305</v>
      </c>
      <c r="J643" s="3070">
        <v>102.02</v>
      </c>
      <c r="K643" s="3070">
        <v>75.45</v>
      </c>
      <c r="L643" s="3070">
        <v>0</v>
      </c>
      <c r="M643" s="3070">
        <v>0</v>
      </c>
      <c r="N643" s="3070">
        <v>15194.44</v>
      </c>
      <c r="O643" s="3070">
        <v>1550137</v>
      </c>
      <c r="P643" s="3070">
        <v>12275.09</v>
      </c>
      <c r="Q643" s="3070">
        <v>1252305</v>
      </c>
      <c r="R643" s="3070" t="s">
        <v>3227</v>
      </c>
      <c r="S643" s="3070" t="s">
        <v>8505</v>
      </c>
      <c r="T643" s="3070" t="s">
        <v>3258</v>
      </c>
      <c r="U643" s="3070" t="s">
        <v>3259</v>
      </c>
      <c r="V643" s="3070" t="s">
        <v>3230</v>
      </c>
      <c r="Y643" s="3070">
        <v>382305</v>
      </c>
      <c r="Z643" s="3070">
        <v>382305</v>
      </c>
      <c r="AA643" s="3070">
        <v>382305</v>
      </c>
      <c r="AB643" s="3070">
        <v>0</v>
      </c>
      <c r="AC643" s="3070">
        <v>870000</v>
      </c>
      <c r="AD643" s="3070">
        <v>870000</v>
      </c>
      <c r="AE643" s="3070">
        <v>0</v>
      </c>
      <c r="AI643" s="3070" t="s">
        <v>3227</v>
      </c>
      <c r="AJ643" s="3070">
        <v>0</v>
      </c>
      <c r="AK643" s="3070">
        <v>0</v>
      </c>
      <c r="AL643" s="3070">
        <v>0</v>
      </c>
      <c r="AM643" s="3070">
        <v>12275.09</v>
      </c>
      <c r="AN643" s="3070">
        <v>1252305</v>
      </c>
      <c r="AP643" s="3070">
        <v>1252305</v>
      </c>
      <c r="AQ643" s="3072">
        <v>45138</v>
      </c>
      <c r="AT643" s="3073">
        <v>45678</v>
      </c>
      <c r="AV643" s="3070" t="s">
        <v>8506</v>
      </c>
      <c r="AW643" s="3070" t="s">
        <v>8507</v>
      </c>
      <c r="AX643" s="3070" t="s">
        <v>8508</v>
      </c>
      <c r="AY643" s="3070" t="s">
        <v>4084</v>
      </c>
      <c r="BC643" s="3070" t="s">
        <v>3263</v>
      </c>
      <c r="BD643" s="3070" t="s">
        <v>3077</v>
      </c>
      <c r="BI643" s="3070" t="s">
        <v>3235</v>
      </c>
      <c r="BL643" s="3070" t="s">
        <v>8509</v>
      </c>
      <c r="BM643" s="3075">
        <v>44382</v>
      </c>
      <c r="BN643" s="3070">
        <v>2</v>
      </c>
      <c r="BO643" s="3070" t="s">
        <v>3253</v>
      </c>
      <c r="BP643" s="3070" t="s">
        <v>3253</v>
      </c>
      <c r="BR643" s="3070">
        <v>79</v>
      </c>
      <c r="BS643" s="3070" t="s">
        <v>3238</v>
      </c>
      <c r="BZ643" s="3073">
        <v>44142.953472222223</v>
      </c>
      <c r="CA643" s="3070">
        <v>7</v>
      </c>
      <c r="CD643" s="3070" t="s">
        <v>3239</v>
      </c>
      <c r="CF643" s="3070" t="s">
        <v>3091</v>
      </c>
      <c r="CH643" s="3070" t="s">
        <v>3240</v>
      </c>
      <c r="CI643" s="3070">
        <v>0</v>
      </c>
      <c r="CJ643" s="3070" t="s">
        <v>3259</v>
      </c>
      <c r="CK643" s="3070" t="s">
        <v>4084</v>
      </c>
      <c r="CL643" s="3070" t="s">
        <v>4084</v>
      </c>
      <c r="CM643" s="3070">
        <v>1148903.67</v>
      </c>
      <c r="CV643" s="3070" t="s">
        <v>3258</v>
      </c>
      <c r="CW643" s="3070" t="s">
        <v>8510</v>
      </c>
      <c r="CX643" s="3070" t="s">
        <v>3242</v>
      </c>
      <c r="CZ643" s="3070">
        <v>213894.57</v>
      </c>
      <c r="DA643" s="3070">
        <v>159426.93</v>
      </c>
      <c r="DB643" s="3070">
        <v>0</v>
      </c>
      <c r="DC643" s="3070">
        <v>0</v>
      </c>
      <c r="DD643" s="3070">
        <v>3290547602</v>
      </c>
      <c r="DE643" s="3070">
        <v>2764253109</v>
      </c>
      <c r="DF643" s="3070">
        <v>1464966739</v>
      </c>
      <c r="DG643" s="3070">
        <v>14938370</v>
      </c>
      <c r="DH643" s="3070">
        <v>1284348000</v>
      </c>
      <c r="DI643" s="3070">
        <v>1278128000</v>
      </c>
      <c r="DJ643" s="3070">
        <v>6220000</v>
      </c>
      <c r="DK643" s="3070">
        <v>0</v>
      </c>
      <c r="DL643" s="3070">
        <v>0</v>
      </c>
      <c r="DM643" s="3070">
        <v>25491817.620000001</v>
      </c>
      <c r="DN643" s="3070">
        <v>2764253109</v>
      </c>
      <c r="DP643" s="3070">
        <v>2764253109</v>
      </c>
    </row>
    <row r="644" spans="1:120">
      <c r="A644" s="3070">
        <v>643</v>
      </c>
      <c r="B644" s="3070" t="s">
        <v>3224</v>
      </c>
      <c r="C644" s="3070">
        <v>7</v>
      </c>
      <c r="E644" s="3070">
        <v>503</v>
      </c>
      <c r="F644" s="3070" t="s">
        <v>8511</v>
      </c>
      <c r="G644" s="3070" t="s">
        <v>8512</v>
      </c>
      <c r="H644" s="3070">
        <v>1252305</v>
      </c>
      <c r="I644" s="3070">
        <v>1252305</v>
      </c>
      <c r="J644" s="3070">
        <v>102.02</v>
      </c>
      <c r="K644" s="3070">
        <v>75.45</v>
      </c>
      <c r="L644" s="3070">
        <v>0</v>
      </c>
      <c r="M644" s="3070">
        <v>0</v>
      </c>
      <c r="N644" s="3070">
        <v>15194.44</v>
      </c>
      <c r="O644" s="3070">
        <v>1550137</v>
      </c>
      <c r="P644" s="3070">
        <v>12275.09</v>
      </c>
      <c r="Q644" s="3070">
        <v>1252305</v>
      </c>
      <c r="R644" s="3070" t="s">
        <v>3227</v>
      </c>
      <c r="S644" s="3070" t="s">
        <v>8513</v>
      </c>
      <c r="T644" s="3070" t="s">
        <v>3246</v>
      </c>
      <c r="U644" s="3070" t="s">
        <v>3381</v>
      </c>
      <c r="V644" s="3070" t="s">
        <v>3230</v>
      </c>
      <c r="Y644" s="3070">
        <v>382305</v>
      </c>
      <c r="Z644" s="3070">
        <v>382305</v>
      </c>
      <c r="AA644" s="3070">
        <v>382305</v>
      </c>
      <c r="AB644" s="3070">
        <v>0</v>
      </c>
      <c r="AC644" s="3070">
        <v>870000</v>
      </c>
      <c r="AD644" s="3070">
        <v>870000</v>
      </c>
      <c r="AE644" s="3070">
        <v>0</v>
      </c>
      <c r="AI644" s="3070" t="s">
        <v>3227</v>
      </c>
      <c r="AJ644" s="3070">
        <v>0</v>
      </c>
      <c r="AK644" s="3070">
        <v>0</v>
      </c>
      <c r="AL644" s="3070">
        <v>0</v>
      </c>
      <c r="AM644" s="3070">
        <v>12275.09</v>
      </c>
      <c r="AN644" s="3070">
        <v>1252305</v>
      </c>
      <c r="AP644" s="3070">
        <v>1252305</v>
      </c>
      <c r="AQ644" s="3072">
        <v>45138</v>
      </c>
      <c r="AT644" s="3073">
        <v>45678</v>
      </c>
      <c r="AV644" s="3070" t="s">
        <v>8514</v>
      </c>
      <c r="AW644" s="3070" t="s">
        <v>8515</v>
      </c>
      <c r="AX644" s="3070" t="s">
        <v>8516</v>
      </c>
      <c r="AY644" s="3070" t="s">
        <v>3364</v>
      </c>
      <c r="BC644" s="3070" t="s">
        <v>3284</v>
      </c>
      <c r="BD644" s="3070" t="s">
        <v>3077</v>
      </c>
      <c r="BI644" s="3070" t="s">
        <v>3235</v>
      </c>
      <c r="BJ644" s="3070" t="s">
        <v>3296</v>
      </c>
      <c r="BL644" s="3070" t="s">
        <v>8517</v>
      </c>
      <c r="BM644" s="3075">
        <v>44382</v>
      </c>
      <c r="BN644" s="3070">
        <v>3</v>
      </c>
      <c r="BO644" s="3070" t="s">
        <v>3253</v>
      </c>
      <c r="BR644" s="3070">
        <v>165</v>
      </c>
      <c r="BS644" s="3070" t="s">
        <v>3238</v>
      </c>
      <c r="BZ644" s="3073">
        <v>44142.606944444444</v>
      </c>
      <c r="CA644" s="3070">
        <v>7</v>
      </c>
      <c r="CD644" s="3070" t="s">
        <v>3239</v>
      </c>
      <c r="CF644" s="3070" t="s">
        <v>3091</v>
      </c>
      <c r="CH644" s="3070" t="s">
        <v>3240</v>
      </c>
      <c r="CI644" s="3070">
        <v>0</v>
      </c>
      <c r="CK644" s="3070" t="s">
        <v>3364</v>
      </c>
      <c r="CL644" s="3070" t="s">
        <v>3364</v>
      </c>
      <c r="CM644" s="3070">
        <v>1148903.67</v>
      </c>
      <c r="CV644" s="3070" t="s">
        <v>3246</v>
      </c>
      <c r="CW644" s="3070" t="s">
        <v>8518</v>
      </c>
      <c r="CZ644" s="3070">
        <v>213894.57</v>
      </c>
      <c r="DA644" s="3070">
        <v>159426.93</v>
      </c>
      <c r="DB644" s="3070">
        <v>0</v>
      </c>
      <c r="DC644" s="3070">
        <v>0</v>
      </c>
      <c r="DD644" s="3070">
        <v>3290547602</v>
      </c>
      <c r="DE644" s="3070">
        <v>2764253109</v>
      </c>
      <c r="DF644" s="3070">
        <v>1464966739</v>
      </c>
      <c r="DG644" s="3070">
        <v>14938370</v>
      </c>
      <c r="DH644" s="3070">
        <v>1284348000</v>
      </c>
      <c r="DI644" s="3070">
        <v>1278128000</v>
      </c>
      <c r="DJ644" s="3070">
        <v>6220000</v>
      </c>
      <c r="DK644" s="3070">
        <v>0</v>
      </c>
      <c r="DL644" s="3070">
        <v>0</v>
      </c>
      <c r="DM644" s="3070">
        <v>25491817.620000001</v>
      </c>
      <c r="DN644" s="3070">
        <v>2764253109</v>
      </c>
      <c r="DP644" s="3070">
        <v>2764253109</v>
      </c>
    </row>
    <row r="645" spans="1:120">
      <c r="A645" s="3070">
        <v>644</v>
      </c>
      <c r="B645" s="3070" t="s">
        <v>3224</v>
      </c>
      <c r="C645" s="3070">
        <v>7</v>
      </c>
      <c r="E645" s="3070">
        <v>504</v>
      </c>
      <c r="F645" s="3070" t="s">
        <v>8519</v>
      </c>
      <c r="G645" s="3070" t="s">
        <v>8520</v>
      </c>
      <c r="H645" s="3070">
        <v>1493666</v>
      </c>
      <c r="I645" s="3070">
        <v>1493666</v>
      </c>
      <c r="J645" s="3070">
        <v>122.27</v>
      </c>
      <c r="K645" s="3070">
        <v>90.43</v>
      </c>
      <c r="L645" s="3070">
        <v>0</v>
      </c>
      <c r="M645" s="3070">
        <v>0</v>
      </c>
      <c r="N645" s="3070">
        <v>15144.44</v>
      </c>
      <c r="O645" s="3070">
        <v>1851711</v>
      </c>
      <c r="P645" s="3070">
        <v>12216.13</v>
      </c>
      <c r="Q645" s="3070">
        <v>1493666</v>
      </c>
      <c r="R645" s="3070" t="s">
        <v>3227</v>
      </c>
      <c r="S645" s="3070" t="s">
        <v>8521</v>
      </c>
      <c r="T645" s="3070" t="s">
        <v>3246</v>
      </c>
      <c r="U645" s="3070" t="s">
        <v>3279</v>
      </c>
      <c r="V645" s="3070" t="s">
        <v>3230</v>
      </c>
      <c r="Y645" s="3070">
        <v>453666</v>
      </c>
      <c r="Z645" s="3070">
        <v>453666</v>
      </c>
      <c r="AA645" s="3070">
        <v>453666</v>
      </c>
      <c r="AB645" s="3070">
        <v>0</v>
      </c>
      <c r="AC645" s="3070">
        <v>1040000</v>
      </c>
      <c r="AD645" s="3070">
        <v>1040000</v>
      </c>
      <c r="AE645" s="3070">
        <v>0</v>
      </c>
      <c r="AI645" s="3070" t="s">
        <v>3227</v>
      </c>
      <c r="AJ645" s="3070">
        <v>0</v>
      </c>
      <c r="AK645" s="3070">
        <v>0</v>
      </c>
      <c r="AL645" s="3070">
        <v>0</v>
      </c>
      <c r="AM645" s="3070">
        <v>12216.13</v>
      </c>
      <c r="AN645" s="3070">
        <v>1493666</v>
      </c>
      <c r="AP645" s="3070">
        <v>1493666</v>
      </c>
      <c r="AQ645" s="3072">
        <v>45138</v>
      </c>
      <c r="AT645" s="3073">
        <v>45678</v>
      </c>
      <c r="AV645" s="3074">
        <v>3.21E+17</v>
      </c>
      <c r="AW645" s="3070" t="s">
        <v>8522</v>
      </c>
      <c r="AX645" s="3070" t="s">
        <v>8523</v>
      </c>
      <c r="AY645" s="3070" t="s">
        <v>4100</v>
      </c>
      <c r="BA645" s="3070" t="s">
        <v>4100</v>
      </c>
      <c r="BC645" s="3070" t="s">
        <v>6915</v>
      </c>
      <c r="BD645" s="3070" t="s">
        <v>3075</v>
      </c>
      <c r="BI645" s="3070" t="s">
        <v>3235</v>
      </c>
      <c r="BL645" s="3070" t="s">
        <v>8524</v>
      </c>
      <c r="BM645" s="3075">
        <v>44382</v>
      </c>
      <c r="BN645" s="3070">
        <v>4</v>
      </c>
      <c r="BO645" s="3070" t="s">
        <v>3253</v>
      </c>
      <c r="BR645" s="3070">
        <v>19</v>
      </c>
      <c r="BS645" s="3070" t="s">
        <v>3238</v>
      </c>
      <c r="BU645" s="3070" t="s">
        <v>4100</v>
      </c>
      <c r="BZ645" s="3073">
        <v>44212.770138888889</v>
      </c>
      <c r="CA645" s="3070">
        <v>7</v>
      </c>
      <c r="CD645" s="3070" t="s">
        <v>3239</v>
      </c>
      <c r="CF645" s="3070" t="s">
        <v>3091</v>
      </c>
      <c r="CH645" s="3070" t="s">
        <v>3240</v>
      </c>
      <c r="CI645" s="3070">
        <v>0</v>
      </c>
      <c r="CK645" s="3070" t="s">
        <v>4100</v>
      </c>
      <c r="CL645" s="3070" t="s">
        <v>4545</v>
      </c>
      <c r="CM645" s="3070">
        <v>1370335.78</v>
      </c>
      <c r="CV645" s="3070" t="s">
        <v>3246</v>
      </c>
      <c r="CW645" s="3070" t="s">
        <v>8525</v>
      </c>
      <c r="CZ645" s="3070">
        <v>213894.57</v>
      </c>
      <c r="DA645" s="3070">
        <v>159426.93</v>
      </c>
      <c r="DB645" s="3070">
        <v>0</v>
      </c>
      <c r="DC645" s="3070">
        <v>0</v>
      </c>
      <c r="DD645" s="3070">
        <v>3290547602</v>
      </c>
      <c r="DE645" s="3070">
        <v>2764253109</v>
      </c>
      <c r="DF645" s="3070">
        <v>1464966739</v>
      </c>
      <c r="DG645" s="3070">
        <v>14938370</v>
      </c>
      <c r="DH645" s="3070">
        <v>1284348000</v>
      </c>
      <c r="DI645" s="3070">
        <v>1278128000</v>
      </c>
      <c r="DJ645" s="3070">
        <v>6220000</v>
      </c>
      <c r="DK645" s="3070">
        <v>0</v>
      </c>
      <c r="DL645" s="3070">
        <v>0</v>
      </c>
      <c r="DM645" s="3070">
        <v>25491817.620000001</v>
      </c>
      <c r="DN645" s="3070">
        <v>2764253109</v>
      </c>
      <c r="DP645" s="3070">
        <v>2764253109</v>
      </c>
    </row>
    <row r="646" spans="1:120">
      <c r="A646" s="3070">
        <v>645</v>
      </c>
      <c r="B646" s="3070" t="s">
        <v>3224</v>
      </c>
      <c r="C646" s="3070">
        <v>7</v>
      </c>
      <c r="E646" s="3070">
        <v>601</v>
      </c>
      <c r="F646" s="3070" t="s">
        <v>8526</v>
      </c>
      <c r="G646" s="3070" t="s">
        <v>8527</v>
      </c>
      <c r="H646" s="3070">
        <v>1482250</v>
      </c>
      <c r="I646" s="3070">
        <v>1482250</v>
      </c>
      <c r="J646" s="3070">
        <v>122.27</v>
      </c>
      <c r="K646" s="3070">
        <v>90.43</v>
      </c>
      <c r="L646" s="3070">
        <v>0</v>
      </c>
      <c r="M646" s="3070">
        <v>0</v>
      </c>
      <c r="N646" s="3070">
        <v>15294.44</v>
      </c>
      <c r="O646" s="3070">
        <v>1870051</v>
      </c>
      <c r="P646" s="3070">
        <v>12122.76</v>
      </c>
      <c r="Q646" s="3070">
        <v>1482250</v>
      </c>
      <c r="R646" s="3070" t="s">
        <v>3227</v>
      </c>
      <c r="S646" s="3070" t="s">
        <v>8528</v>
      </c>
      <c r="T646" s="3070" t="s">
        <v>3258</v>
      </c>
      <c r="U646" s="3070" t="s">
        <v>3259</v>
      </c>
      <c r="V646" s="3070" t="s">
        <v>3230</v>
      </c>
      <c r="Y646" s="3070">
        <v>482250</v>
      </c>
      <c r="Z646" s="3070">
        <v>482250</v>
      </c>
      <c r="AA646" s="3070">
        <v>482250</v>
      </c>
      <c r="AB646" s="3070">
        <v>0</v>
      </c>
      <c r="AC646" s="3070">
        <v>1000000</v>
      </c>
      <c r="AD646" s="3070">
        <v>1000000</v>
      </c>
      <c r="AE646" s="3070">
        <v>0</v>
      </c>
      <c r="AI646" s="3070" t="s">
        <v>3227</v>
      </c>
      <c r="AJ646" s="3070">
        <v>0</v>
      </c>
      <c r="AK646" s="3070">
        <v>0</v>
      </c>
      <c r="AL646" s="3070">
        <v>0</v>
      </c>
      <c r="AM646" s="3070">
        <v>12122.76</v>
      </c>
      <c r="AN646" s="3070">
        <v>1482250</v>
      </c>
      <c r="AP646" s="3070">
        <v>1482250</v>
      </c>
      <c r="AQ646" s="3072">
        <v>45138</v>
      </c>
      <c r="AT646" s="3073">
        <v>45678</v>
      </c>
      <c r="AV646" s="3070" t="s">
        <v>8529</v>
      </c>
      <c r="AW646" s="3070" t="s">
        <v>8530</v>
      </c>
      <c r="AX646" s="3070" t="s">
        <v>8531</v>
      </c>
      <c r="AY646" s="3070" t="s">
        <v>3429</v>
      </c>
      <c r="BC646" s="3070" t="s">
        <v>8532</v>
      </c>
      <c r="BD646" s="3070" t="s">
        <v>3075</v>
      </c>
      <c r="BI646" s="3070" t="s">
        <v>3235</v>
      </c>
      <c r="BL646" s="3070" t="s">
        <v>8533</v>
      </c>
      <c r="BM646" s="3075">
        <v>44383</v>
      </c>
      <c r="BN646" s="3070">
        <v>1</v>
      </c>
      <c r="BO646" s="3070" t="s">
        <v>3253</v>
      </c>
      <c r="BP646" s="3070" t="s">
        <v>3253</v>
      </c>
      <c r="BR646" s="3070">
        <v>694</v>
      </c>
      <c r="BS646" s="3070" t="s">
        <v>3238</v>
      </c>
      <c r="BZ646" s="3073">
        <v>44142.648611111108</v>
      </c>
      <c r="CA646" s="3070">
        <v>7</v>
      </c>
      <c r="CD646" s="3070" t="s">
        <v>3239</v>
      </c>
      <c r="CF646" s="3070" t="s">
        <v>3091</v>
      </c>
      <c r="CH646" s="3070" t="s">
        <v>3240</v>
      </c>
      <c r="CI646" s="3070">
        <v>0</v>
      </c>
      <c r="CJ646" s="3070" t="s">
        <v>3259</v>
      </c>
      <c r="CK646" s="3070" t="s">
        <v>3429</v>
      </c>
      <c r="CL646" s="3070" t="s">
        <v>3429</v>
      </c>
      <c r="CM646" s="3070">
        <v>1359862.39</v>
      </c>
      <c r="CV646" s="3070" t="s">
        <v>3258</v>
      </c>
      <c r="CW646" s="3070" t="s">
        <v>8534</v>
      </c>
      <c r="CX646" s="3070" t="s">
        <v>3510</v>
      </c>
      <c r="CZ646" s="3070">
        <v>213894.57</v>
      </c>
      <c r="DA646" s="3070">
        <v>159426.93</v>
      </c>
      <c r="DB646" s="3070">
        <v>0</v>
      </c>
      <c r="DC646" s="3070">
        <v>0</v>
      </c>
      <c r="DD646" s="3070">
        <v>3290547602</v>
      </c>
      <c r="DE646" s="3070">
        <v>2764253109</v>
      </c>
      <c r="DF646" s="3070">
        <v>1464966739</v>
      </c>
      <c r="DG646" s="3070">
        <v>14938370</v>
      </c>
      <c r="DH646" s="3070">
        <v>1284348000</v>
      </c>
      <c r="DI646" s="3070">
        <v>1278128000</v>
      </c>
      <c r="DJ646" s="3070">
        <v>6220000</v>
      </c>
      <c r="DK646" s="3070">
        <v>0</v>
      </c>
      <c r="DL646" s="3070">
        <v>0</v>
      </c>
      <c r="DM646" s="3070">
        <v>25491817.620000001</v>
      </c>
      <c r="DN646" s="3070">
        <v>2764253109</v>
      </c>
      <c r="DP646" s="3070">
        <v>2764253109</v>
      </c>
    </row>
    <row r="647" spans="1:120">
      <c r="A647" s="3070">
        <v>646</v>
      </c>
      <c r="B647" s="3070" t="s">
        <v>3224</v>
      </c>
      <c r="C647" s="3070">
        <v>7</v>
      </c>
      <c r="E647" s="3070">
        <v>602</v>
      </c>
      <c r="F647" s="3070" t="s">
        <v>8535</v>
      </c>
      <c r="G647" s="3070" t="s">
        <v>8536</v>
      </c>
      <c r="H647" s="3070">
        <v>1257154</v>
      </c>
      <c r="I647" s="3070">
        <v>1257154</v>
      </c>
      <c r="J647" s="3070">
        <v>102.02</v>
      </c>
      <c r="K647" s="3070">
        <v>75.45</v>
      </c>
      <c r="L647" s="3070">
        <v>0</v>
      </c>
      <c r="M647" s="3070">
        <v>0</v>
      </c>
      <c r="N647" s="3070">
        <v>15244.44</v>
      </c>
      <c r="O647" s="3070">
        <v>1555238</v>
      </c>
      <c r="P647" s="3070">
        <v>12322.62</v>
      </c>
      <c r="Q647" s="3070">
        <v>1257154</v>
      </c>
      <c r="R647" s="3070" t="s">
        <v>3227</v>
      </c>
      <c r="S647" s="3070" t="s">
        <v>8537</v>
      </c>
      <c r="T647" s="3070" t="s">
        <v>3258</v>
      </c>
      <c r="U647" s="3070" t="s">
        <v>3259</v>
      </c>
      <c r="V647" s="3070" t="s">
        <v>3230</v>
      </c>
      <c r="Y647" s="3070">
        <v>377154</v>
      </c>
      <c r="Z647" s="3070">
        <v>377154</v>
      </c>
      <c r="AA647" s="3070">
        <v>377154</v>
      </c>
      <c r="AB647" s="3070">
        <v>0</v>
      </c>
      <c r="AC647" s="3070">
        <v>880000</v>
      </c>
      <c r="AD647" s="3070">
        <v>880000</v>
      </c>
      <c r="AE647" s="3070">
        <v>0</v>
      </c>
      <c r="AI647" s="3070" t="s">
        <v>3227</v>
      </c>
      <c r="AJ647" s="3070">
        <v>0</v>
      </c>
      <c r="AK647" s="3070">
        <v>0</v>
      </c>
      <c r="AL647" s="3070">
        <v>0</v>
      </c>
      <c r="AM647" s="3070">
        <v>12322.62</v>
      </c>
      <c r="AN647" s="3070">
        <v>1257154</v>
      </c>
      <c r="AP647" s="3070">
        <v>1257154</v>
      </c>
      <c r="AQ647" s="3072">
        <v>45138</v>
      </c>
      <c r="AT647" s="3073">
        <v>45678</v>
      </c>
      <c r="AV647" s="3070" t="s">
        <v>8538</v>
      </c>
      <c r="AW647" s="3070" t="s">
        <v>8539</v>
      </c>
      <c r="AX647" s="3070" t="s">
        <v>8540</v>
      </c>
      <c r="AY647" s="3070" t="s">
        <v>3346</v>
      </c>
      <c r="BC647" s="3070" t="s">
        <v>3263</v>
      </c>
      <c r="BD647" s="3070" t="s">
        <v>3077</v>
      </c>
      <c r="BI647" s="3070" t="s">
        <v>3235</v>
      </c>
      <c r="BL647" s="3070" t="s">
        <v>8541</v>
      </c>
      <c r="BM647" s="3075">
        <v>44383</v>
      </c>
      <c r="BN647" s="3070">
        <v>2</v>
      </c>
      <c r="BO647" s="3070" t="s">
        <v>3253</v>
      </c>
      <c r="BP647" s="3070" t="s">
        <v>3253</v>
      </c>
      <c r="BR647" s="3070">
        <v>695</v>
      </c>
      <c r="BS647" s="3070" t="s">
        <v>3238</v>
      </c>
      <c r="BZ647" s="3073">
        <v>44142.957638888889</v>
      </c>
      <c r="CA647" s="3070">
        <v>7</v>
      </c>
      <c r="CD647" s="3070" t="s">
        <v>3239</v>
      </c>
      <c r="CF647" s="3070" t="s">
        <v>3091</v>
      </c>
      <c r="CH647" s="3070" t="s">
        <v>3240</v>
      </c>
      <c r="CI647" s="3070">
        <v>0</v>
      </c>
      <c r="CJ647" s="3070" t="s">
        <v>3259</v>
      </c>
      <c r="CK647" s="3070" t="s">
        <v>3346</v>
      </c>
      <c r="CL647" s="3070" t="s">
        <v>3346</v>
      </c>
      <c r="CM647" s="3070">
        <v>1153352.29</v>
      </c>
      <c r="CV647" s="3070" t="s">
        <v>3258</v>
      </c>
      <c r="CW647" s="3070" t="s">
        <v>8542</v>
      </c>
      <c r="CZ647" s="3070">
        <v>213894.57</v>
      </c>
      <c r="DA647" s="3070">
        <v>159426.93</v>
      </c>
      <c r="DB647" s="3070">
        <v>0</v>
      </c>
      <c r="DC647" s="3070">
        <v>0</v>
      </c>
      <c r="DD647" s="3070">
        <v>3290547602</v>
      </c>
      <c r="DE647" s="3070">
        <v>2764253109</v>
      </c>
      <c r="DF647" s="3070">
        <v>1464966739</v>
      </c>
      <c r="DG647" s="3070">
        <v>14938370</v>
      </c>
      <c r="DH647" s="3070">
        <v>1284348000</v>
      </c>
      <c r="DI647" s="3070">
        <v>1278128000</v>
      </c>
      <c r="DJ647" s="3070">
        <v>6220000</v>
      </c>
      <c r="DK647" s="3070">
        <v>0</v>
      </c>
      <c r="DL647" s="3070">
        <v>0</v>
      </c>
      <c r="DM647" s="3070">
        <v>25491817.620000001</v>
      </c>
      <c r="DN647" s="3070">
        <v>2764253109</v>
      </c>
      <c r="DP647" s="3070">
        <v>2764253109</v>
      </c>
    </row>
    <row r="648" spans="1:120">
      <c r="A648" s="3070">
        <v>647</v>
      </c>
      <c r="B648" s="3070" t="s">
        <v>3224</v>
      </c>
      <c r="C648" s="3070">
        <v>7</v>
      </c>
      <c r="E648" s="3070">
        <v>603</v>
      </c>
      <c r="F648" s="3070" t="s">
        <v>8543</v>
      </c>
      <c r="G648" s="3070" t="s">
        <v>8544</v>
      </c>
      <c r="H648" s="3070">
        <v>1257154</v>
      </c>
      <c r="I648" s="3070">
        <v>1257154</v>
      </c>
      <c r="J648" s="3070">
        <v>102.02</v>
      </c>
      <c r="K648" s="3070">
        <v>75.45</v>
      </c>
      <c r="L648" s="3070">
        <v>0</v>
      </c>
      <c r="M648" s="3070">
        <v>0</v>
      </c>
      <c r="N648" s="3070">
        <v>15244.44</v>
      </c>
      <c r="O648" s="3070">
        <v>1555238</v>
      </c>
      <c r="P648" s="3070">
        <v>12322.62</v>
      </c>
      <c r="Q648" s="3070">
        <v>1257154</v>
      </c>
      <c r="R648" s="3070" t="s">
        <v>3227</v>
      </c>
      <c r="S648" s="3070" t="s">
        <v>8545</v>
      </c>
      <c r="T648" s="3070" t="s">
        <v>3246</v>
      </c>
      <c r="U648" s="3070" t="s">
        <v>3247</v>
      </c>
      <c r="V648" s="3070" t="s">
        <v>3230</v>
      </c>
      <c r="Y648" s="3070">
        <v>377154</v>
      </c>
      <c r="Z648" s="3070">
        <v>377154</v>
      </c>
      <c r="AA648" s="3070">
        <v>377154</v>
      </c>
      <c r="AB648" s="3070">
        <v>0</v>
      </c>
      <c r="AC648" s="3070">
        <v>880000</v>
      </c>
      <c r="AD648" s="3070">
        <v>880000</v>
      </c>
      <c r="AE648" s="3070">
        <v>0</v>
      </c>
      <c r="AI648" s="3070" t="s">
        <v>3227</v>
      </c>
      <c r="AJ648" s="3070">
        <v>0</v>
      </c>
      <c r="AK648" s="3070">
        <v>0</v>
      </c>
      <c r="AL648" s="3070">
        <v>0</v>
      </c>
      <c r="AM648" s="3070">
        <v>12322.62</v>
      </c>
      <c r="AN648" s="3070">
        <v>1257154</v>
      </c>
      <c r="AP648" s="3070">
        <v>1257154</v>
      </c>
      <c r="AQ648" s="3072">
        <v>45138</v>
      </c>
      <c r="AT648" s="3073">
        <v>45678</v>
      </c>
      <c r="AV648" s="3074">
        <v>3.21E+17</v>
      </c>
      <c r="AW648" s="3070" t="s">
        <v>8546</v>
      </c>
      <c r="AX648" s="3070" t="s">
        <v>8547</v>
      </c>
      <c r="AY648" s="3070" t="s">
        <v>3497</v>
      </c>
      <c r="BC648" s="3070" t="s">
        <v>3284</v>
      </c>
      <c r="BD648" s="3070" t="s">
        <v>3077</v>
      </c>
      <c r="BI648" s="3070" t="s">
        <v>3235</v>
      </c>
      <c r="BJ648" s="3070" t="s">
        <v>3296</v>
      </c>
      <c r="BL648" s="3070" t="s">
        <v>8548</v>
      </c>
      <c r="BM648" s="3075">
        <v>44383</v>
      </c>
      <c r="BN648" s="3070">
        <v>3</v>
      </c>
      <c r="BO648" s="3070" t="s">
        <v>3253</v>
      </c>
      <c r="BR648" s="3070">
        <v>852</v>
      </c>
      <c r="BS648" s="3070" t="s">
        <v>3238</v>
      </c>
      <c r="BZ648" s="3073">
        <v>44142.964583333334</v>
      </c>
      <c r="CA648" s="3070">
        <v>7</v>
      </c>
      <c r="CD648" s="3070" t="s">
        <v>3239</v>
      </c>
      <c r="CF648" s="3070" t="s">
        <v>3091</v>
      </c>
      <c r="CH648" s="3070" t="s">
        <v>3240</v>
      </c>
      <c r="CI648" s="3070">
        <v>0</v>
      </c>
      <c r="CK648" s="3070" t="s">
        <v>3497</v>
      </c>
      <c r="CL648" s="3070" t="s">
        <v>3497</v>
      </c>
      <c r="CM648" s="3070">
        <v>1153352.29</v>
      </c>
      <c r="CV648" s="3070" t="s">
        <v>3246</v>
      </c>
      <c r="CW648" s="3070" t="s">
        <v>8549</v>
      </c>
      <c r="CX648" s="3070" t="s">
        <v>3242</v>
      </c>
      <c r="CZ648" s="3070">
        <v>213894.57</v>
      </c>
      <c r="DA648" s="3070">
        <v>159426.93</v>
      </c>
      <c r="DB648" s="3070">
        <v>0</v>
      </c>
      <c r="DC648" s="3070">
        <v>0</v>
      </c>
      <c r="DD648" s="3070">
        <v>3290547602</v>
      </c>
      <c r="DE648" s="3070">
        <v>2764253109</v>
      </c>
      <c r="DF648" s="3070">
        <v>1464966739</v>
      </c>
      <c r="DG648" s="3070">
        <v>14938370</v>
      </c>
      <c r="DH648" s="3070">
        <v>1284348000</v>
      </c>
      <c r="DI648" s="3070">
        <v>1278128000</v>
      </c>
      <c r="DJ648" s="3070">
        <v>6220000</v>
      </c>
      <c r="DK648" s="3070">
        <v>0</v>
      </c>
      <c r="DL648" s="3070">
        <v>0</v>
      </c>
      <c r="DM648" s="3070">
        <v>25491817.620000001</v>
      </c>
      <c r="DN648" s="3070">
        <v>2764253109</v>
      </c>
      <c r="DP648" s="3070">
        <v>2764253109</v>
      </c>
    </row>
    <row r="649" spans="1:120">
      <c r="A649" s="3070">
        <v>648</v>
      </c>
      <c r="B649" s="3070" t="s">
        <v>3224</v>
      </c>
      <c r="C649" s="3070">
        <v>7</v>
      </c>
      <c r="E649" s="3070">
        <v>604</v>
      </c>
      <c r="F649" s="3070" t="s">
        <v>8550</v>
      </c>
      <c r="G649" s="3070" t="s">
        <v>8551</v>
      </c>
      <c r="H649" s="3070">
        <v>1500877</v>
      </c>
      <c r="I649" s="3070">
        <v>1500877</v>
      </c>
      <c r="J649" s="3070">
        <v>122.27</v>
      </c>
      <c r="K649" s="3070">
        <v>90.43</v>
      </c>
      <c r="L649" s="3070">
        <v>0</v>
      </c>
      <c r="M649" s="3070">
        <v>0</v>
      </c>
      <c r="N649" s="3070">
        <v>15194.44</v>
      </c>
      <c r="O649" s="3070">
        <v>1857824</v>
      </c>
      <c r="P649" s="3070">
        <v>12275.1</v>
      </c>
      <c r="Q649" s="3070">
        <v>1500877</v>
      </c>
      <c r="R649" s="3070" t="s">
        <v>3227</v>
      </c>
      <c r="S649" s="3070" t="s">
        <v>8552</v>
      </c>
      <c r="T649" s="3070" t="s">
        <v>3246</v>
      </c>
      <c r="U649" s="3070" t="s">
        <v>3247</v>
      </c>
      <c r="V649" s="3070" t="s">
        <v>3230</v>
      </c>
      <c r="Y649" s="3070">
        <v>520877</v>
      </c>
      <c r="Z649" s="3070">
        <v>520877</v>
      </c>
      <c r="AA649" s="3070">
        <v>520877</v>
      </c>
      <c r="AB649" s="3070">
        <v>0</v>
      </c>
      <c r="AC649" s="3070">
        <v>980000</v>
      </c>
      <c r="AD649" s="3070">
        <v>980000</v>
      </c>
      <c r="AE649" s="3070">
        <v>0</v>
      </c>
      <c r="AI649" s="3070" t="s">
        <v>3227</v>
      </c>
      <c r="AJ649" s="3070">
        <v>0</v>
      </c>
      <c r="AK649" s="3070">
        <v>0</v>
      </c>
      <c r="AL649" s="3070">
        <v>0</v>
      </c>
      <c r="AM649" s="3070">
        <v>12275.1</v>
      </c>
      <c r="AN649" s="3070">
        <v>1500877</v>
      </c>
      <c r="AP649" s="3070">
        <v>1500877</v>
      </c>
      <c r="AQ649" s="3072">
        <v>45138</v>
      </c>
      <c r="AT649" s="3073">
        <v>45678</v>
      </c>
      <c r="AV649" s="3074">
        <v>3.21E+17</v>
      </c>
      <c r="AW649" s="3070" t="s">
        <v>8553</v>
      </c>
      <c r="AX649" s="3070" t="s">
        <v>8554</v>
      </c>
      <c r="AY649" s="3070" t="s">
        <v>3429</v>
      </c>
      <c r="BC649" s="3070" t="s">
        <v>3284</v>
      </c>
      <c r="BD649" s="3070" t="s">
        <v>3075</v>
      </c>
      <c r="BI649" s="3070" t="s">
        <v>3235</v>
      </c>
      <c r="BJ649" s="3070" t="s">
        <v>3296</v>
      </c>
      <c r="BL649" s="3070" t="s">
        <v>8555</v>
      </c>
      <c r="BM649" s="3075">
        <v>44383</v>
      </c>
      <c r="BN649" s="3070">
        <v>4</v>
      </c>
      <c r="BO649" s="3070" t="s">
        <v>3253</v>
      </c>
      <c r="BR649" s="3070">
        <v>755</v>
      </c>
      <c r="BS649" s="3070" t="s">
        <v>3238</v>
      </c>
      <c r="BZ649" s="3073">
        <v>44142.652777777781</v>
      </c>
      <c r="CA649" s="3070">
        <v>7</v>
      </c>
      <c r="CD649" s="3070" t="s">
        <v>3239</v>
      </c>
      <c r="CF649" s="3070" t="s">
        <v>3091</v>
      </c>
      <c r="CH649" s="3070" t="s">
        <v>3240</v>
      </c>
      <c r="CI649" s="3070">
        <v>0</v>
      </c>
      <c r="CK649" s="3070" t="s">
        <v>3429</v>
      </c>
      <c r="CL649" s="3070" t="s">
        <v>3429</v>
      </c>
      <c r="CM649" s="3070">
        <v>1376951.37</v>
      </c>
      <c r="CV649" s="3070" t="s">
        <v>3246</v>
      </c>
      <c r="CW649" s="3070" t="s">
        <v>8556</v>
      </c>
      <c r="CX649" s="3070" t="s">
        <v>3267</v>
      </c>
      <c r="CZ649" s="3070">
        <v>213894.57</v>
      </c>
      <c r="DA649" s="3070">
        <v>159426.93</v>
      </c>
      <c r="DB649" s="3070">
        <v>0</v>
      </c>
      <c r="DC649" s="3070">
        <v>0</v>
      </c>
      <c r="DD649" s="3070">
        <v>3290547602</v>
      </c>
      <c r="DE649" s="3070">
        <v>2764253109</v>
      </c>
      <c r="DF649" s="3070">
        <v>1464966739</v>
      </c>
      <c r="DG649" s="3070">
        <v>14938370</v>
      </c>
      <c r="DH649" s="3070">
        <v>1284348000</v>
      </c>
      <c r="DI649" s="3070">
        <v>1278128000</v>
      </c>
      <c r="DJ649" s="3070">
        <v>6220000</v>
      </c>
      <c r="DK649" s="3070">
        <v>0</v>
      </c>
      <c r="DL649" s="3070">
        <v>0</v>
      </c>
      <c r="DM649" s="3070">
        <v>25491817.620000001</v>
      </c>
      <c r="DN649" s="3070">
        <v>2764253109</v>
      </c>
      <c r="DP649" s="3070">
        <v>2764253109</v>
      </c>
    </row>
    <row r="650" spans="1:120">
      <c r="A650" s="3070">
        <v>649</v>
      </c>
      <c r="B650" s="3070" t="s">
        <v>3224</v>
      </c>
      <c r="C650" s="3070">
        <v>7</v>
      </c>
      <c r="E650" s="3070">
        <v>701</v>
      </c>
      <c r="F650" s="3070" t="s">
        <v>8557</v>
      </c>
      <c r="G650" s="3070" t="s">
        <v>8558</v>
      </c>
      <c r="H650" s="3070">
        <v>1503128</v>
      </c>
      <c r="I650" s="3070">
        <v>1503128</v>
      </c>
      <c r="J650" s="3070">
        <v>122.27</v>
      </c>
      <c r="K650" s="3070">
        <v>90.43</v>
      </c>
      <c r="L650" s="3070">
        <v>0</v>
      </c>
      <c r="M650" s="3070">
        <v>0</v>
      </c>
      <c r="N650" s="3070">
        <v>15344.44</v>
      </c>
      <c r="O650" s="3070">
        <v>1876165</v>
      </c>
      <c r="P650" s="3070">
        <v>12293.51</v>
      </c>
      <c r="Q650" s="3070">
        <v>1503128</v>
      </c>
      <c r="R650" s="3070" t="s">
        <v>3227</v>
      </c>
      <c r="S650" s="3070" t="s">
        <v>8559</v>
      </c>
      <c r="T650" s="3070" t="s">
        <v>3229</v>
      </c>
      <c r="V650" s="3070" t="s">
        <v>3230</v>
      </c>
      <c r="Y650" s="3070">
        <v>450938</v>
      </c>
      <c r="Z650" s="3070">
        <v>450938</v>
      </c>
      <c r="AA650" s="3070">
        <v>1503128</v>
      </c>
      <c r="AB650" s="3070">
        <v>0</v>
      </c>
      <c r="AC650" s="3070">
        <v>0</v>
      </c>
      <c r="AD650" s="3070">
        <v>0</v>
      </c>
      <c r="AE650" s="3070">
        <v>0</v>
      </c>
      <c r="AI650" s="3070" t="s">
        <v>3227</v>
      </c>
      <c r="AJ650" s="3070">
        <v>0</v>
      </c>
      <c r="AK650" s="3070">
        <v>0</v>
      </c>
      <c r="AL650" s="3070">
        <v>0</v>
      </c>
      <c r="AM650" s="3070">
        <v>12293.51</v>
      </c>
      <c r="AN650" s="3070">
        <v>1503128</v>
      </c>
      <c r="AP650" s="3070">
        <v>1503128</v>
      </c>
      <c r="AQ650" s="3072">
        <v>45138</v>
      </c>
      <c r="AT650" s="3073">
        <v>45678</v>
      </c>
      <c r="AV650" s="3070" t="s">
        <v>8560</v>
      </c>
      <c r="AW650" s="3070" t="s">
        <v>8561</v>
      </c>
      <c r="AX650" s="3070" t="s">
        <v>8562</v>
      </c>
      <c r="AY650" s="3070" t="s">
        <v>3497</v>
      </c>
      <c r="BC650" s="3070" t="s">
        <v>3347</v>
      </c>
      <c r="BD650" s="3070" t="s">
        <v>3075</v>
      </c>
      <c r="BI650" s="3070" t="s">
        <v>3235</v>
      </c>
      <c r="BL650" s="3070" t="s">
        <v>8563</v>
      </c>
      <c r="BM650" s="3075">
        <v>44384</v>
      </c>
      <c r="BN650" s="3070">
        <v>1</v>
      </c>
      <c r="BR650" s="3070">
        <v>894</v>
      </c>
      <c r="BS650" s="3070" t="s">
        <v>3238</v>
      </c>
      <c r="BZ650" s="3073">
        <v>44142.590277777781</v>
      </c>
      <c r="CA650" s="3070">
        <v>7</v>
      </c>
      <c r="CD650" s="3070" t="s">
        <v>3239</v>
      </c>
      <c r="CF650" s="3070" t="s">
        <v>3091</v>
      </c>
      <c r="CH650" s="3070" t="s">
        <v>3240</v>
      </c>
      <c r="CI650" s="3070">
        <v>0</v>
      </c>
      <c r="CK650" s="3070" t="s">
        <v>3497</v>
      </c>
      <c r="CL650" s="3070" t="s">
        <v>3497</v>
      </c>
      <c r="CM650" s="3070">
        <v>1379016.51</v>
      </c>
      <c r="CV650" s="3070" t="s">
        <v>3229</v>
      </c>
      <c r="CW650" s="3070" t="s">
        <v>8564</v>
      </c>
      <c r="CX650" s="3070" t="s">
        <v>3242</v>
      </c>
      <c r="CZ650" s="3070">
        <v>213894.57</v>
      </c>
      <c r="DA650" s="3070">
        <v>159426.93</v>
      </c>
      <c r="DB650" s="3070">
        <v>0</v>
      </c>
      <c r="DC650" s="3070">
        <v>0</v>
      </c>
      <c r="DD650" s="3070">
        <v>3290547602</v>
      </c>
      <c r="DE650" s="3070">
        <v>2764253109</v>
      </c>
      <c r="DF650" s="3070">
        <v>1464966739</v>
      </c>
      <c r="DG650" s="3070">
        <v>14938370</v>
      </c>
      <c r="DH650" s="3070">
        <v>1284348000</v>
      </c>
      <c r="DI650" s="3070">
        <v>1278128000</v>
      </c>
      <c r="DJ650" s="3070">
        <v>6220000</v>
      </c>
      <c r="DK650" s="3070">
        <v>0</v>
      </c>
      <c r="DL650" s="3070">
        <v>0</v>
      </c>
      <c r="DM650" s="3070">
        <v>25491817.620000001</v>
      </c>
      <c r="DN650" s="3070">
        <v>2764253109</v>
      </c>
      <c r="DP650" s="3070">
        <v>2764253109</v>
      </c>
    </row>
    <row r="651" spans="1:120">
      <c r="A651" s="3070">
        <v>650</v>
      </c>
      <c r="B651" s="3070" t="s">
        <v>3224</v>
      </c>
      <c r="C651" s="3070">
        <v>7</v>
      </c>
      <c r="E651" s="3070">
        <v>702</v>
      </c>
      <c r="F651" s="3070" t="s">
        <v>8565</v>
      </c>
      <c r="G651" s="3070" t="s">
        <v>8566</v>
      </c>
      <c r="H651" s="3070">
        <v>1262003</v>
      </c>
      <c r="I651" s="3070">
        <v>1262003</v>
      </c>
      <c r="J651" s="3070">
        <v>102.02</v>
      </c>
      <c r="K651" s="3070">
        <v>75.45</v>
      </c>
      <c r="L651" s="3070">
        <v>0</v>
      </c>
      <c r="M651" s="3070">
        <v>0</v>
      </c>
      <c r="N651" s="3070">
        <v>15294.44</v>
      </c>
      <c r="O651" s="3070">
        <v>1560339</v>
      </c>
      <c r="P651" s="3070">
        <v>12370.15</v>
      </c>
      <c r="Q651" s="3070">
        <v>1262003</v>
      </c>
      <c r="R651" s="3070" t="s">
        <v>3227</v>
      </c>
      <c r="S651" s="3070" t="s">
        <v>8567</v>
      </c>
      <c r="T651" s="3070" t="s">
        <v>3425</v>
      </c>
      <c r="V651" s="3070" t="s">
        <v>3230</v>
      </c>
      <c r="Y651" s="3070">
        <v>1062003</v>
      </c>
      <c r="Z651" s="3070">
        <v>1062003</v>
      </c>
      <c r="AA651" s="3070">
        <v>1062003</v>
      </c>
      <c r="AB651" s="3070">
        <v>0</v>
      </c>
      <c r="AC651" s="3070">
        <v>200000</v>
      </c>
      <c r="AD651" s="3070">
        <v>200000</v>
      </c>
      <c r="AE651" s="3070">
        <v>0</v>
      </c>
      <c r="AI651" s="3070" t="s">
        <v>3227</v>
      </c>
      <c r="AJ651" s="3070">
        <v>0</v>
      </c>
      <c r="AK651" s="3070">
        <v>0</v>
      </c>
      <c r="AL651" s="3070">
        <v>0</v>
      </c>
      <c r="AM651" s="3070">
        <v>12370.15</v>
      </c>
      <c r="AN651" s="3070">
        <v>1262003</v>
      </c>
      <c r="AP651" s="3070">
        <v>1262003</v>
      </c>
      <c r="AQ651" s="3072">
        <v>45138</v>
      </c>
      <c r="AT651" s="3073">
        <v>45678</v>
      </c>
      <c r="AV651" s="3074">
        <v>3.21E+17</v>
      </c>
      <c r="AW651" s="3070" t="s">
        <v>8568</v>
      </c>
      <c r="AX651" s="3070" t="s">
        <v>8569</v>
      </c>
      <c r="AY651" s="3070" t="s">
        <v>3419</v>
      </c>
      <c r="BC651" s="3070" t="s">
        <v>3461</v>
      </c>
      <c r="BD651" s="3070" t="s">
        <v>3077</v>
      </c>
      <c r="BI651" s="3070" t="s">
        <v>3235</v>
      </c>
      <c r="BJ651" s="3070" t="s">
        <v>3338</v>
      </c>
      <c r="BL651" s="3070" t="s">
        <v>8570</v>
      </c>
      <c r="BM651" s="3075">
        <v>44384</v>
      </c>
      <c r="BN651" s="3070">
        <v>2</v>
      </c>
      <c r="BP651" s="3070" t="s">
        <v>3253</v>
      </c>
      <c r="BR651" s="3070">
        <v>379</v>
      </c>
      <c r="BS651" s="3070" t="s">
        <v>3238</v>
      </c>
      <c r="BZ651" s="3073">
        <v>44142.605555555558</v>
      </c>
      <c r="CA651" s="3070">
        <v>7</v>
      </c>
      <c r="CD651" s="3070" t="s">
        <v>3239</v>
      </c>
      <c r="CF651" s="3070" t="s">
        <v>3091</v>
      </c>
      <c r="CH651" s="3070" t="s">
        <v>3240</v>
      </c>
      <c r="CI651" s="3070">
        <v>0</v>
      </c>
      <c r="CJ651" s="3070" t="s">
        <v>3259</v>
      </c>
      <c r="CK651" s="3070" t="s">
        <v>3419</v>
      </c>
      <c r="CL651" s="3070" t="s">
        <v>3419</v>
      </c>
      <c r="CM651" s="3070">
        <v>1157800.92</v>
      </c>
      <c r="CV651" s="3070" t="s">
        <v>3425</v>
      </c>
      <c r="CW651" s="3070" t="s">
        <v>8571</v>
      </c>
      <c r="CZ651" s="3070">
        <v>213894.57</v>
      </c>
      <c r="DA651" s="3070">
        <v>159426.93</v>
      </c>
      <c r="DB651" s="3070">
        <v>0</v>
      </c>
      <c r="DC651" s="3070">
        <v>0</v>
      </c>
      <c r="DD651" s="3070">
        <v>3290547602</v>
      </c>
      <c r="DE651" s="3070">
        <v>2764253109</v>
      </c>
      <c r="DF651" s="3070">
        <v>1464966739</v>
      </c>
      <c r="DG651" s="3070">
        <v>14938370</v>
      </c>
      <c r="DH651" s="3070">
        <v>1284348000</v>
      </c>
      <c r="DI651" s="3070">
        <v>1278128000</v>
      </c>
      <c r="DJ651" s="3070">
        <v>6220000</v>
      </c>
      <c r="DK651" s="3070">
        <v>0</v>
      </c>
      <c r="DL651" s="3070">
        <v>0</v>
      </c>
      <c r="DM651" s="3070">
        <v>25491817.620000001</v>
      </c>
      <c r="DN651" s="3070">
        <v>2764253109</v>
      </c>
      <c r="DP651" s="3070">
        <v>2764253109</v>
      </c>
    </row>
    <row r="652" spans="1:120">
      <c r="A652" s="3070">
        <v>651</v>
      </c>
      <c r="B652" s="3070" t="s">
        <v>3224</v>
      </c>
      <c r="C652" s="3070">
        <v>7</v>
      </c>
      <c r="E652" s="3070">
        <v>703</v>
      </c>
      <c r="F652" s="3070" t="s">
        <v>8572</v>
      </c>
      <c r="G652" s="3070" t="s">
        <v>8573</v>
      </c>
      <c r="H652" s="3070">
        <v>1262003</v>
      </c>
      <c r="I652" s="3070">
        <v>1262003</v>
      </c>
      <c r="J652" s="3070">
        <v>102.02</v>
      </c>
      <c r="K652" s="3070">
        <v>75.45</v>
      </c>
      <c r="L652" s="3070">
        <v>0</v>
      </c>
      <c r="M652" s="3070">
        <v>0</v>
      </c>
      <c r="N652" s="3070">
        <v>15294.44</v>
      </c>
      <c r="O652" s="3070">
        <v>1560339</v>
      </c>
      <c r="P652" s="3070">
        <v>12370.15</v>
      </c>
      <c r="Q652" s="3070">
        <v>1262003</v>
      </c>
      <c r="R652" s="3070" t="s">
        <v>3227</v>
      </c>
      <c r="S652" s="3070" t="s">
        <v>8574</v>
      </c>
      <c r="T652" s="3070" t="s">
        <v>3246</v>
      </c>
      <c r="U652" s="3070" t="s">
        <v>3381</v>
      </c>
      <c r="V652" s="3070" t="s">
        <v>3230</v>
      </c>
      <c r="Y652" s="3070">
        <v>1002003</v>
      </c>
      <c r="Z652" s="3070">
        <v>1002003</v>
      </c>
      <c r="AA652" s="3070">
        <v>1002003</v>
      </c>
      <c r="AB652" s="3070">
        <v>0</v>
      </c>
      <c r="AC652" s="3070">
        <v>260000</v>
      </c>
      <c r="AD652" s="3070">
        <v>260000</v>
      </c>
      <c r="AE652" s="3070">
        <v>0</v>
      </c>
      <c r="AI652" s="3070" t="s">
        <v>3227</v>
      </c>
      <c r="AJ652" s="3070">
        <v>0</v>
      </c>
      <c r="AK652" s="3070">
        <v>0</v>
      </c>
      <c r="AL652" s="3070">
        <v>0</v>
      </c>
      <c r="AM652" s="3070">
        <v>12370.15</v>
      </c>
      <c r="AN652" s="3070">
        <v>1262003</v>
      </c>
      <c r="AP652" s="3070">
        <v>1262003</v>
      </c>
      <c r="AQ652" s="3072">
        <v>45138</v>
      </c>
      <c r="AT652" s="3073">
        <v>45678</v>
      </c>
      <c r="AV652" s="3070" t="s">
        <v>8575</v>
      </c>
      <c r="AW652" s="3070" t="s">
        <v>8576</v>
      </c>
      <c r="AX652" s="3070" t="s">
        <v>8577</v>
      </c>
      <c r="AY652" s="3070" t="s">
        <v>3656</v>
      </c>
      <c r="BC652" s="3070" t="s">
        <v>3284</v>
      </c>
      <c r="BD652" s="3070" t="s">
        <v>3077</v>
      </c>
      <c r="BI652" s="3070" t="s">
        <v>3235</v>
      </c>
      <c r="BJ652" s="3070" t="s">
        <v>3338</v>
      </c>
      <c r="BL652" s="3070" t="s">
        <v>8578</v>
      </c>
      <c r="BM652" s="3075">
        <v>44384</v>
      </c>
      <c r="BN652" s="3070">
        <v>3</v>
      </c>
      <c r="BO652" s="3070" t="s">
        <v>3253</v>
      </c>
      <c r="BR652" s="3070">
        <v>421</v>
      </c>
      <c r="BS652" s="3070" t="s">
        <v>3238</v>
      </c>
      <c r="BZ652" s="3073">
        <v>44142.611805555556</v>
      </c>
      <c r="CA652" s="3070">
        <v>7</v>
      </c>
      <c r="CD652" s="3070" t="s">
        <v>3239</v>
      </c>
      <c r="CF652" s="3070" t="s">
        <v>3091</v>
      </c>
      <c r="CH652" s="3070" t="s">
        <v>3240</v>
      </c>
      <c r="CI652" s="3070">
        <v>0</v>
      </c>
      <c r="CK652" s="3070" t="s">
        <v>3656</v>
      </c>
      <c r="CL652" s="3070" t="s">
        <v>3656</v>
      </c>
      <c r="CM652" s="3070">
        <v>1157800.92</v>
      </c>
      <c r="CV652" s="3070" t="s">
        <v>3246</v>
      </c>
      <c r="CW652" s="3070" t="s">
        <v>8579</v>
      </c>
      <c r="CZ652" s="3070">
        <v>213894.57</v>
      </c>
      <c r="DA652" s="3070">
        <v>159426.93</v>
      </c>
      <c r="DB652" s="3070">
        <v>0</v>
      </c>
      <c r="DC652" s="3070">
        <v>0</v>
      </c>
      <c r="DD652" s="3070">
        <v>3290547602</v>
      </c>
      <c r="DE652" s="3070">
        <v>2764253109</v>
      </c>
      <c r="DF652" s="3070">
        <v>1464966739</v>
      </c>
      <c r="DG652" s="3070">
        <v>14938370</v>
      </c>
      <c r="DH652" s="3070">
        <v>1284348000</v>
      </c>
      <c r="DI652" s="3070">
        <v>1278128000</v>
      </c>
      <c r="DJ652" s="3070">
        <v>6220000</v>
      </c>
      <c r="DK652" s="3070">
        <v>0</v>
      </c>
      <c r="DL652" s="3070">
        <v>0</v>
      </c>
      <c r="DM652" s="3070">
        <v>25491817.620000001</v>
      </c>
      <c r="DN652" s="3070">
        <v>2764253109</v>
      </c>
      <c r="DP652" s="3070">
        <v>2764253109</v>
      </c>
    </row>
    <row r="653" spans="1:120">
      <c r="A653" s="3070">
        <v>652</v>
      </c>
      <c r="B653" s="3070" t="s">
        <v>3224</v>
      </c>
      <c r="C653" s="3070">
        <v>7</v>
      </c>
      <c r="E653" s="3070">
        <v>704</v>
      </c>
      <c r="F653" s="3070" t="s">
        <v>8580</v>
      </c>
      <c r="G653" s="3070" t="s">
        <v>8581</v>
      </c>
      <c r="H653" s="3070">
        <v>1491621</v>
      </c>
      <c r="I653" s="3070">
        <v>1491621</v>
      </c>
      <c r="J653" s="3070">
        <v>122.27</v>
      </c>
      <c r="K653" s="3070">
        <v>90.43</v>
      </c>
      <c r="L653" s="3070">
        <v>0</v>
      </c>
      <c r="M653" s="3070">
        <v>0</v>
      </c>
      <c r="N653" s="3070">
        <v>15244.44</v>
      </c>
      <c r="O653" s="3070">
        <v>1863938</v>
      </c>
      <c r="P653" s="3070">
        <v>12199.4</v>
      </c>
      <c r="Q653" s="3070">
        <v>1491621</v>
      </c>
      <c r="R653" s="3070" t="s">
        <v>3227</v>
      </c>
      <c r="S653" s="3070" t="s">
        <v>8582</v>
      </c>
      <c r="T653" s="3070" t="s">
        <v>3229</v>
      </c>
      <c r="V653" s="3070" t="s">
        <v>3230</v>
      </c>
      <c r="Y653" s="3070">
        <v>447486</v>
      </c>
      <c r="Z653" s="3070">
        <v>447486</v>
      </c>
      <c r="AA653" s="3070">
        <v>1491621</v>
      </c>
      <c r="AB653" s="3070">
        <v>0</v>
      </c>
      <c r="AC653" s="3070">
        <v>0</v>
      </c>
      <c r="AD653" s="3070">
        <v>0</v>
      </c>
      <c r="AE653" s="3070">
        <v>0</v>
      </c>
      <c r="AI653" s="3070" t="s">
        <v>3227</v>
      </c>
      <c r="AJ653" s="3070">
        <v>0</v>
      </c>
      <c r="AK653" s="3070">
        <v>0</v>
      </c>
      <c r="AL653" s="3070">
        <v>0</v>
      </c>
      <c r="AM653" s="3070">
        <v>12199.4</v>
      </c>
      <c r="AN653" s="3070">
        <v>1491621</v>
      </c>
      <c r="AP653" s="3070">
        <v>1491621</v>
      </c>
      <c r="AQ653" s="3072">
        <v>45138</v>
      </c>
      <c r="AT653" s="3073">
        <v>45678</v>
      </c>
      <c r="AV653" s="3070" t="s">
        <v>8583</v>
      </c>
      <c r="AW653" s="3070" t="s">
        <v>8584</v>
      </c>
      <c r="AX653" s="3070" t="s">
        <v>8585</v>
      </c>
      <c r="AY653" s="3070" t="s">
        <v>5154</v>
      </c>
      <c r="BC653" s="3070" t="s">
        <v>3347</v>
      </c>
      <c r="BD653" s="3070" t="s">
        <v>3075</v>
      </c>
      <c r="BI653" s="3070" t="s">
        <v>3235</v>
      </c>
      <c r="BL653" s="3070" t="s">
        <v>8586</v>
      </c>
      <c r="BM653" s="3075">
        <v>44384</v>
      </c>
      <c r="BN653" s="3070">
        <v>4</v>
      </c>
      <c r="BR653" s="3070">
        <v>826</v>
      </c>
      <c r="BS653" s="3070" t="s">
        <v>3238</v>
      </c>
      <c r="BZ653" s="3073">
        <v>44142.652083333334</v>
      </c>
      <c r="CA653" s="3070">
        <v>7</v>
      </c>
      <c r="CD653" s="3070" t="s">
        <v>3239</v>
      </c>
      <c r="CF653" s="3070" t="s">
        <v>3091</v>
      </c>
      <c r="CH653" s="3070" t="s">
        <v>3240</v>
      </c>
      <c r="CI653" s="3070">
        <v>0</v>
      </c>
      <c r="CK653" s="3070" t="s">
        <v>5154</v>
      </c>
      <c r="CL653" s="3070" t="s">
        <v>5154</v>
      </c>
      <c r="CM653" s="3070">
        <v>1368459.63</v>
      </c>
      <c r="CV653" s="3070" t="s">
        <v>3229</v>
      </c>
      <c r="CW653" s="3070" t="s">
        <v>8587</v>
      </c>
      <c r="CX653" s="3070" t="s">
        <v>3267</v>
      </c>
      <c r="CZ653" s="3070">
        <v>213894.57</v>
      </c>
      <c r="DA653" s="3070">
        <v>159426.93</v>
      </c>
      <c r="DB653" s="3070">
        <v>0</v>
      </c>
      <c r="DC653" s="3070">
        <v>0</v>
      </c>
      <c r="DD653" s="3070">
        <v>3290547602</v>
      </c>
      <c r="DE653" s="3070">
        <v>2764253109</v>
      </c>
      <c r="DF653" s="3070">
        <v>1464966739</v>
      </c>
      <c r="DG653" s="3070">
        <v>14938370</v>
      </c>
      <c r="DH653" s="3070">
        <v>1284348000</v>
      </c>
      <c r="DI653" s="3070">
        <v>1278128000</v>
      </c>
      <c r="DJ653" s="3070">
        <v>6220000</v>
      </c>
      <c r="DK653" s="3070">
        <v>0</v>
      </c>
      <c r="DL653" s="3070">
        <v>0</v>
      </c>
      <c r="DM653" s="3070">
        <v>25491817.620000001</v>
      </c>
      <c r="DN653" s="3070">
        <v>2764253109</v>
      </c>
      <c r="DP653" s="3070">
        <v>2764253109</v>
      </c>
    </row>
    <row r="654" spans="1:120">
      <c r="A654" s="3070">
        <v>653</v>
      </c>
      <c r="B654" s="3070" t="s">
        <v>3224</v>
      </c>
      <c r="C654" s="3070">
        <v>7</v>
      </c>
      <c r="E654" s="3070">
        <v>801</v>
      </c>
      <c r="F654" s="3070" t="s">
        <v>8588</v>
      </c>
      <c r="G654" s="3070" t="s">
        <v>8589</v>
      </c>
      <c r="H654" s="3070">
        <v>1536698</v>
      </c>
      <c r="I654" s="3070">
        <v>1536698</v>
      </c>
      <c r="J654" s="3070">
        <v>122.27</v>
      </c>
      <c r="K654" s="3070">
        <v>90.43</v>
      </c>
      <c r="L654" s="3070">
        <v>0</v>
      </c>
      <c r="M654" s="3070">
        <v>0</v>
      </c>
      <c r="N654" s="3070">
        <v>15394.44</v>
      </c>
      <c r="O654" s="3070">
        <v>1882278</v>
      </c>
      <c r="P654" s="3070">
        <v>12568.07</v>
      </c>
      <c r="Q654" s="3070">
        <v>1536698</v>
      </c>
      <c r="R654" s="3070" t="s">
        <v>3227</v>
      </c>
      <c r="S654" s="3070" t="s">
        <v>8590</v>
      </c>
      <c r="T654" s="3070" t="s">
        <v>3246</v>
      </c>
      <c r="U654" s="3070" t="s">
        <v>3467</v>
      </c>
      <c r="V654" s="3070" t="s">
        <v>3230</v>
      </c>
      <c r="Y654" s="3070">
        <v>536698</v>
      </c>
      <c r="Z654" s="3070">
        <v>536698</v>
      </c>
      <c r="AA654" s="3070">
        <v>536698</v>
      </c>
      <c r="AB654" s="3070">
        <v>0</v>
      </c>
      <c r="AC654" s="3070">
        <v>1000000</v>
      </c>
      <c r="AD654" s="3070">
        <v>1000000</v>
      </c>
      <c r="AE654" s="3070">
        <v>0</v>
      </c>
      <c r="AI654" s="3070" t="s">
        <v>3227</v>
      </c>
      <c r="AJ654" s="3070">
        <v>0</v>
      </c>
      <c r="AK654" s="3070">
        <v>0</v>
      </c>
      <c r="AL654" s="3070">
        <v>0</v>
      </c>
      <c r="AM654" s="3070">
        <v>12568.07</v>
      </c>
      <c r="AN654" s="3070">
        <v>1536698</v>
      </c>
      <c r="AP654" s="3070">
        <v>1536698</v>
      </c>
      <c r="AQ654" s="3072">
        <v>45138</v>
      </c>
      <c r="AT654" s="3073">
        <v>45678</v>
      </c>
      <c r="AV654" s="3074">
        <v>3.21E+17</v>
      </c>
      <c r="AW654" s="3070" t="s">
        <v>8591</v>
      </c>
      <c r="AX654" s="3070" t="s">
        <v>8592</v>
      </c>
      <c r="AY654" s="3070" t="s">
        <v>4065</v>
      </c>
      <c r="BA654" s="3070" t="s">
        <v>4065</v>
      </c>
      <c r="BC654" s="3070" t="s">
        <v>8593</v>
      </c>
      <c r="BD654" s="3070" t="s">
        <v>3075</v>
      </c>
      <c r="BI654" s="3070" t="s">
        <v>3295</v>
      </c>
      <c r="BL654" s="3070" t="s">
        <v>8594</v>
      </c>
      <c r="BM654" s="3075">
        <v>44385</v>
      </c>
      <c r="BN654" s="3070">
        <v>1</v>
      </c>
      <c r="BO654" s="3070" t="s">
        <v>3253</v>
      </c>
      <c r="BR654" s="3070">
        <v>16</v>
      </c>
      <c r="BS654" s="3070" t="s">
        <v>3238</v>
      </c>
      <c r="BU654" s="3070" t="s">
        <v>4065</v>
      </c>
      <c r="BZ654" s="3073">
        <v>44222.465277777781</v>
      </c>
      <c r="CA654" s="3070">
        <v>7</v>
      </c>
      <c r="CD654" s="3070" t="s">
        <v>3239</v>
      </c>
      <c r="CF654" s="3070" t="s">
        <v>3091</v>
      </c>
      <c r="CH654" s="3070" t="s">
        <v>3240</v>
      </c>
      <c r="CI654" s="3070">
        <v>0</v>
      </c>
      <c r="CK654" s="3070" t="s">
        <v>4065</v>
      </c>
      <c r="CL654" s="3070" t="s">
        <v>4242</v>
      </c>
      <c r="CM654" s="3070">
        <v>1409814.67</v>
      </c>
      <c r="CV654" s="3070" t="s">
        <v>3246</v>
      </c>
      <c r="CW654" s="3070" t="s">
        <v>8595</v>
      </c>
      <c r="CZ654" s="3070">
        <v>213894.57</v>
      </c>
      <c r="DA654" s="3070">
        <v>159426.93</v>
      </c>
      <c r="DB654" s="3070">
        <v>0</v>
      </c>
      <c r="DC654" s="3070">
        <v>0</v>
      </c>
      <c r="DD654" s="3070">
        <v>3290547602</v>
      </c>
      <c r="DE654" s="3070">
        <v>2764253109</v>
      </c>
      <c r="DF654" s="3070">
        <v>1464966739</v>
      </c>
      <c r="DG654" s="3070">
        <v>14938370</v>
      </c>
      <c r="DH654" s="3070">
        <v>1284348000</v>
      </c>
      <c r="DI654" s="3070">
        <v>1278128000</v>
      </c>
      <c r="DJ654" s="3070">
        <v>6220000</v>
      </c>
      <c r="DK654" s="3070">
        <v>0</v>
      </c>
      <c r="DL654" s="3070">
        <v>0</v>
      </c>
      <c r="DM654" s="3070">
        <v>25491817.620000001</v>
      </c>
      <c r="DN654" s="3070">
        <v>2764253109</v>
      </c>
      <c r="DP654" s="3070">
        <v>2764253109</v>
      </c>
    </row>
    <row r="655" spans="1:120">
      <c r="A655" s="3070">
        <v>654</v>
      </c>
      <c r="B655" s="3070" t="s">
        <v>3224</v>
      </c>
      <c r="C655" s="3070">
        <v>7</v>
      </c>
      <c r="E655" s="3070">
        <v>802</v>
      </c>
      <c r="F655" s="3070" t="s">
        <v>8596</v>
      </c>
      <c r="G655" s="3070" t="s">
        <v>8597</v>
      </c>
      <c r="H655" s="3070">
        <v>1266852</v>
      </c>
      <c r="I655" s="3070">
        <v>1266852</v>
      </c>
      <c r="J655" s="3070">
        <v>102.02</v>
      </c>
      <c r="K655" s="3070">
        <v>75.45</v>
      </c>
      <c r="L655" s="3070">
        <v>0</v>
      </c>
      <c r="M655" s="3070">
        <v>0</v>
      </c>
      <c r="N655" s="3070">
        <v>15344.44</v>
      </c>
      <c r="O655" s="3070">
        <v>1565440</v>
      </c>
      <c r="P655" s="3070">
        <v>12417.68</v>
      </c>
      <c r="Q655" s="3070">
        <v>1266852</v>
      </c>
      <c r="R655" s="3070" t="s">
        <v>3227</v>
      </c>
      <c r="S655" s="3070" t="s">
        <v>8598</v>
      </c>
      <c r="T655" s="3070" t="s">
        <v>3258</v>
      </c>
      <c r="U655" s="3070" t="s">
        <v>3259</v>
      </c>
      <c r="V655" s="3070" t="s">
        <v>3230</v>
      </c>
      <c r="Y655" s="3070">
        <v>386852</v>
      </c>
      <c r="Z655" s="3070">
        <v>386852</v>
      </c>
      <c r="AA655" s="3070">
        <v>386852</v>
      </c>
      <c r="AB655" s="3070">
        <v>0</v>
      </c>
      <c r="AC655" s="3070">
        <v>880000</v>
      </c>
      <c r="AD655" s="3070">
        <v>880000</v>
      </c>
      <c r="AE655" s="3070">
        <v>0</v>
      </c>
      <c r="AI655" s="3070" t="s">
        <v>3227</v>
      </c>
      <c r="AJ655" s="3070">
        <v>0</v>
      </c>
      <c r="AK655" s="3070">
        <v>0</v>
      </c>
      <c r="AL655" s="3070">
        <v>0</v>
      </c>
      <c r="AM655" s="3070">
        <v>12417.68</v>
      </c>
      <c r="AN655" s="3070">
        <v>1266852</v>
      </c>
      <c r="AP655" s="3070">
        <v>1266852</v>
      </c>
      <c r="AQ655" s="3072">
        <v>45138</v>
      </c>
      <c r="AT655" s="3073">
        <v>45678</v>
      </c>
      <c r="AV655" s="3070" t="s">
        <v>8599</v>
      </c>
      <c r="AW655" s="3070" t="s">
        <v>8600</v>
      </c>
      <c r="AX655" s="3070" t="s">
        <v>8601</v>
      </c>
      <c r="AY655" s="3070" t="s">
        <v>3294</v>
      </c>
      <c r="BC655" s="3070" t="s">
        <v>3263</v>
      </c>
      <c r="BD655" s="3070" t="s">
        <v>3077</v>
      </c>
      <c r="BI655" s="3070" t="s">
        <v>3235</v>
      </c>
      <c r="BJ655" s="3070" t="s">
        <v>3296</v>
      </c>
      <c r="BL655" s="3070" t="s">
        <v>8602</v>
      </c>
      <c r="BM655" s="3075">
        <v>44385</v>
      </c>
      <c r="BN655" s="3070">
        <v>2</v>
      </c>
      <c r="BO655" s="3070" t="s">
        <v>3253</v>
      </c>
      <c r="BP655" s="3070" t="s">
        <v>3253</v>
      </c>
      <c r="BR655" s="3070">
        <v>785</v>
      </c>
      <c r="BS655" s="3070" t="s">
        <v>3238</v>
      </c>
      <c r="BZ655" s="3073">
        <v>44142.633333333331</v>
      </c>
      <c r="CA655" s="3070">
        <v>7</v>
      </c>
      <c r="CD655" s="3070" t="s">
        <v>3239</v>
      </c>
      <c r="CF655" s="3070" t="s">
        <v>3091</v>
      </c>
      <c r="CH655" s="3070" t="s">
        <v>3240</v>
      </c>
      <c r="CI655" s="3070">
        <v>0</v>
      </c>
      <c r="CJ655" s="3070" t="s">
        <v>3259</v>
      </c>
      <c r="CK655" s="3070" t="s">
        <v>3294</v>
      </c>
      <c r="CL655" s="3070" t="s">
        <v>3294</v>
      </c>
      <c r="CM655" s="3070">
        <v>1162249.54</v>
      </c>
      <c r="CV655" s="3070" t="s">
        <v>3258</v>
      </c>
      <c r="CW655" s="3070" t="s">
        <v>8603</v>
      </c>
      <c r="CX655" s="3070" t="s">
        <v>3311</v>
      </c>
      <c r="CZ655" s="3070">
        <v>213894.57</v>
      </c>
      <c r="DA655" s="3070">
        <v>159426.93</v>
      </c>
      <c r="DB655" s="3070">
        <v>0</v>
      </c>
      <c r="DC655" s="3070">
        <v>0</v>
      </c>
      <c r="DD655" s="3070">
        <v>3290547602</v>
      </c>
      <c r="DE655" s="3070">
        <v>2764253109</v>
      </c>
      <c r="DF655" s="3070">
        <v>1464966739</v>
      </c>
      <c r="DG655" s="3070">
        <v>14938370</v>
      </c>
      <c r="DH655" s="3070">
        <v>1284348000</v>
      </c>
      <c r="DI655" s="3070">
        <v>1278128000</v>
      </c>
      <c r="DJ655" s="3070">
        <v>6220000</v>
      </c>
      <c r="DK655" s="3070">
        <v>0</v>
      </c>
      <c r="DL655" s="3070">
        <v>0</v>
      </c>
      <c r="DM655" s="3070">
        <v>25491817.620000001</v>
      </c>
      <c r="DN655" s="3070">
        <v>2764253109</v>
      </c>
      <c r="DP655" s="3070">
        <v>2764253109</v>
      </c>
    </row>
    <row r="656" spans="1:120">
      <c r="A656" s="3070">
        <v>655</v>
      </c>
      <c r="B656" s="3070" t="s">
        <v>3224</v>
      </c>
      <c r="C656" s="3070">
        <v>7</v>
      </c>
      <c r="E656" s="3070">
        <v>803</v>
      </c>
      <c r="F656" s="3070" t="s">
        <v>8604</v>
      </c>
      <c r="G656" s="3070" t="s">
        <v>8605</v>
      </c>
      <c r="H656" s="3070">
        <v>1254184</v>
      </c>
      <c r="I656" s="3070">
        <v>1254184</v>
      </c>
      <c r="J656" s="3070">
        <v>102.02</v>
      </c>
      <c r="K656" s="3070">
        <v>75.45</v>
      </c>
      <c r="L656" s="3070">
        <v>0</v>
      </c>
      <c r="M656" s="3070">
        <v>0</v>
      </c>
      <c r="N656" s="3070">
        <v>15344.44</v>
      </c>
      <c r="O656" s="3070">
        <v>1565440</v>
      </c>
      <c r="P656" s="3070">
        <v>12293.51</v>
      </c>
      <c r="Q656" s="3070">
        <v>1254184</v>
      </c>
      <c r="R656" s="3070" t="s">
        <v>3227</v>
      </c>
      <c r="S656" s="3070" t="s">
        <v>8606</v>
      </c>
      <c r="T656" s="3070" t="s">
        <v>3229</v>
      </c>
      <c r="V656" s="3070" t="s">
        <v>3230</v>
      </c>
      <c r="Y656" s="3070">
        <v>376255</v>
      </c>
      <c r="Z656" s="3070">
        <v>444184</v>
      </c>
      <c r="AA656" s="3070">
        <v>1254184</v>
      </c>
      <c r="AB656" s="3070">
        <v>0</v>
      </c>
      <c r="AC656" s="3070">
        <v>0</v>
      </c>
      <c r="AD656" s="3070">
        <v>0</v>
      </c>
      <c r="AE656" s="3070">
        <v>0</v>
      </c>
      <c r="AI656" s="3070" t="s">
        <v>3227</v>
      </c>
      <c r="AJ656" s="3070">
        <v>0</v>
      </c>
      <c r="AK656" s="3070">
        <v>0</v>
      </c>
      <c r="AL656" s="3070">
        <v>0</v>
      </c>
      <c r="AM656" s="3070">
        <v>12293.51</v>
      </c>
      <c r="AN656" s="3070">
        <v>1254184</v>
      </c>
      <c r="AP656" s="3070">
        <v>1254184</v>
      </c>
      <c r="AQ656" s="3072">
        <v>45138</v>
      </c>
      <c r="AT656" s="3073">
        <v>45678</v>
      </c>
      <c r="AV656" s="3074">
        <v>3.3E+17</v>
      </c>
      <c r="AW656" s="3070" t="s">
        <v>8607</v>
      </c>
      <c r="AX656" s="3070" t="s">
        <v>8608</v>
      </c>
      <c r="AY656" s="3070" t="s">
        <v>3681</v>
      </c>
      <c r="BC656" s="3070" t="s">
        <v>3347</v>
      </c>
      <c r="BD656" s="3070" t="s">
        <v>3077</v>
      </c>
      <c r="BI656" s="3070" t="s">
        <v>3235</v>
      </c>
      <c r="BJ656" s="3070" t="s">
        <v>3338</v>
      </c>
      <c r="BL656" s="3070" t="s">
        <v>8609</v>
      </c>
      <c r="BM656" s="3075">
        <v>44385</v>
      </c>
      <c r="BN656" s="3070">
        <v>3</v>
      </c>
      <c r="BR656" s="3070">
        <v>809</v>
      </c>
      <c r="BS656" s="3070" t="s">
        <v>3238</v>
      </c>
      <c r="BZ656" s="3073">
        <v>44142.605555555558</v>
      </c>
      <c r="CA656" s="3070">
        <v>7</v>
      </c>
      <c r="CD656" s="3070" t="s">
        <v>3239</v>
      </c>
      <c r="CF656" s="3070" t="s">
        <v>3091</v>
      </c>
      <c r="CH656" s="3070" t="s">
        <v>3240</v>
      </c>
      <c r="CI656" s="3070">
        <v>0</v>
      </c>
      <c r="CK656" s="3070" t="s">
        <v>3681</v>
      </c>
      <c r="CL656" s="3070" t="s">
        <v>3681</v>
      </c>
      <c r="CM656" s="3070">
        <v>1150627.52</v>
      </c>
      <c r="CV656" s="3070" t="s">
        <v>3229</v>
      </c>
      <c r="CW656" s="3070" t="s">
        <v>8610</v>
      </c>
      <c r="CZ656" s="3070">
        <v>213894.57</v>
      </c>
      <c r="DA656" s="3070">
        <v>159426.93</v>
      </c>
      <c r="DB656" s="3070">
        <v>0</v>
      </c>
      <c r="DC656" s="3070">
        <v>0</v>
      </c>
      <c r="DD656" s="3070">
        <v>3290547602</v>
      </c>
      <c r="DE656" s="3070">
        <v>2764253109</v>
      </c>
      <c r="DF656" s="3070">
        <v>1464966739</v>
      </c>
      <c r="DG656" s="3070">
        <v>14938370</v>
      </c>
      <c r="DH656" s="3070">
        <v>1284348000</v>
      </c>
      <c r="DI656" s="3070">
        <v>1278128000</v>
      </c>
      <c r="DJ656" s="3070">
        <v>6220000</v>
      </c>
      <c r="DK656" s="3070">
        <v>0</v>
      </c>
      <c r="DL656" s="3070">
        <v>0</v>
      </c>
      <c r="DM656" s="3070">
        <v>25491817.620000001</v>
      </c>
      <c r="DN656" s="3070">
        <v>2764253109</v>
      </c>
      <c r="DP656" s="3070">
        <v>2764253109</v>
      </c>
    </row>
    <row r="657" spans="1:120">
      <c r="A657" s="3070">
        <v>656</v>
      </c>
      <c r="B657" s="3070" t="s">
        <v>3224</v>
      </c>
      <c r="C657" s="3070">
        <v>7</v>
      </c>
      <c r="E657" s="3070">
        <v>804</v>
      </c>
      <c r="F657" s="3070" t="s">
        <v>8611</v>
      </c>
      <c r="G657" s="3070" t="s">
        <v>8612</v>
      </c>
      <c r="H657" s="3070">
        <v>1512500</v>
      </c>
      <c r="I657" s="3070">
        <v>1512500</v>
      </c>
      <c r="J657" s="3070">
        <v>122.27</v>
      </c>
      <c r="K657" s="3070">
        <v>90.43</v>
      </c>
      <c r="L657" s="3070">
        <v>0</v>
      </c>
      <c r="M657" s="3070">
        <v>0</v>
      </c>
      <c r="N657" s="3070">
        <v>15294.44</v>
      </c>
      <c r="O657" s="3070">
        <v>1870051</v>
      </c>
      <c r="P657" s="3070">
        <v>12370.16</v>
      </c>
      <c r="Q657" s="3070">
        <v>1512500</v>
      </c>
      <c r="R657" s="3070" t="s">
        <v>3227</v>
      </c>
      <c r="S657" s="3070" t="s">
        <v>8613</v>
      </c>
      <c r="T657" s="3070" t="s">
        <v>3258</v>
      </c>
      <c r="U657" s="3070" t="s">
        <v>3259</v>
      </c>
      <c r="V657" s="3070" t="s">
        <v>3230</v>
      </c>
      <c r="Y657" s="3070">
        <v>562500</v>
      </c>
      <c r="Z657" s="3070">
        <v>562500</v>
      </c>
      <c r="AA657" s="3070">
        <v>562500</v>
      </c>
      <c r="AB657" s="3070">
        <v>0</v>
      </c>
      <c r="AC657" s="3070">
        <v>950000</v>
      </c>
      <c r="AD657" s="3070">
        <v>950000</v>
      </c>
      <c r="AE657" s="3070">
        <v>0</v>
      </c>
      <c r="AI657" s="3070" t="s">
        <v>3227</v>
      </c>
      <c r="AJ657" s="3070">
        <v>0</v>
      </c>
      <c r="AK657" s="3070">
        <v>0</v>
      </c>
      <c r="AL657" s="3070">
        <v>0</v>
      </c>
      <c r="AM657" s="3070">
        <v>12370.16</v>
      </c>
      <c r="AN657" s="3070">
        <v>1512500</v>
      </c>
      <c r="AP657" s="3070">
        <v>1512500</v>
      </c>
      <c r="AQ657" s="3072">
        <v>45138</v>
      </c>
      <c r="AT657" s="3073">
        <v>45678</v>
      </c>
      <c r="AV657" s="3070" t="s">
        <v>8614</v>
      </c>
      <c r="AW657" s="3070" t="s">
        <v>8615</v>
      </c>
      <c r="AX657" s="3070" t="s">
        <v>8616</v>
      </c>
      <c r="AY657" s="3070" t="s">
        <v>3429</v>
      </c>
      <c r="BC657" s="3070" t="s">
        <v>3263</v>
      </c>
      <c r="BD657" s="3070" t="s">
        <v>3075</v>
      </c>
      <c r="BI657" s="3070" t="s">
        <v>3235</v>
      </c>
      <c r="BJ657" s="3070" t="s">
        <v>3296</v>
      </c>
      <c r="BL657" s="3070" t="s">
        <v>8617</v>
      </c>
      <c r="BM657" s="3075">
        <v>44385</v>
      </c>
      <c r="BN657" s="3070">
        <v>4</v>
      </c>
      <c r="BO657" s="3070" t="s">
        <v>3253</v>
      </c>
      <c r="BP657" s="3070" t="s">
        <v>3253</v>
      </c>
      <c r="BR657" s="3070">
        <v>108</v>
      </c>
      <c r="BS657" s="3070" t="s">
        <v>3238</v>
      </c>
      <c r="BZ657" s="3073">
        <v>44142.965277777781</v>
      </c>
      <c r="CA657" s="3070">
        <v>7</v>
      </c>
      <c r="CD657" s="3070" t="s">
        <v>3239</v>
      </c>
      <c r="CF657" s="3070" t="s">
        <v>3091</v>
      </c>
      <c r="CH657" s="3070" t="s">
        <v>3240</v>
      </c>
      <c r="CI657" s="3070">
        <v>0</v>
      </c>
      <c r="CJ657" s="3070" t="s">
        <v>3259</v>
      </c>
      <c r="CK657" s="3070" t="s">
        <v>3429</v>
      </c>
      <c r="CL657" s="3070" t="s">
        <v>3429</v>
      </c>
      <c r="CM657" s="3070">
        <v>1387614.67</v>
      </c>
      <c r="CV657" s="3070" t="s">
        <v>3258</v>
      </c>
      <c r="CW657" s="3070" t="s">
        <v>8618</v>
      </c>
      <c r="CX657" s="3070" t="s">
        <v>3311</v>
      </c>
      <c r="CZ657" s="3070">
        <v>213894.57</v>
      </c>
      <c r="DA657" s="3070">
        <v>159426.93</v>
      </c>
      <c r="DB657" s="3070">
        <v>0</v>
      </c>
      <c r="DC657" s="3070">
        <v>0</v>
      </c>
      <c r="DD657" s="3070">
        <v>3290547602</v>
      </c>
      <c r="DE657" s="3070">
        <v>2764253109</v>
      </c>
      <c r="DF657" s="3070">
        <v>1464966739</v>
      </c>
      <c r="DG657" s="3070">
        <v>14938370</v>
      </c>
      <c r="DH657" s="3070">
        <v>1284348000</v>
      </c>
      <c r="DI657" s="3070">
        <v>1278128000</v>
      </c>
      <c r="DJ657" s="3070">
        <v>6220000</v>
      </c>
      <c r="DK657" s="3070">
        <v>0</v>
      </c>
      <c r="DL657" s="3070">
        <v>0</v>
      </c>
      <c r="DM657" s="3070">
        <v>25491817.620000001</v>
      </c>
      <c r="DN657" s="3070">
        <v>2764253109</v>
      </c>
      <c r="DP657" s="3070">
        <v>2764253109</v>
      </c>
    </row>
    <row r="658" spans="1:120">
      <c r="A658" s="3070">
        <v>657</v>
      </c>
      <c r="B658" s="3070" t="s">
        <v>3224</v>
      </c>
      <c r="C658" s="3070">
        <v>7</v>
      </c>
      <c r="E658" s="3070">
        <v>901</v>
      </c>
      <c r="F658" s="3070" t="s">
        <v>8619</v>
      </c>
      <c r="G658" s="3070" t="s">
        <v>8620</v>
      </c>
      <c r="H658" s="3070">
        <v>1581517</v>
      </c>
      <c r="I658" s="3070">
        <v>1581517</v>
      </c>
      <c r="J658" s="3070">
        <v>122.27</v>
      </c>
      <c r="K658" s="3070">
        <v>90.43</v>
      </c>
      <c r="L658" s="3070">
        <v>0</v>
      </c>
      <c r="M658" s="3070">
        <v>0</v>
      </c>
      <c r="N658" s="3070">
        <v>15444.44</v>
      </c>
      <c r="O658" s="3070">
        <v>1888392</v>
      </c>
      <c r="P658" s="3070">
        <v>12934.63</v>
      </c>
      <c r="Q658" s="3070">
        <v>1581517</v>
      </c>
      <c r="R658" s="3070" t="s">
        <v>3227</v>
      </c>
      <c r="S658" s="3070" t="s">
        <v>8621</v>
      </c>
      <c r="T658" s="3070" t="s">
        <v>3494</v>
      </c>
      <c r="V658" s="3070" t="s">
        <v>3230</v>
      </c>
      <c r="Y658" s="3070">
        <v>158152</v>
      </c>
      <c r="Z658" s="3070">
        <v>158152</v>
      </c>
      <c r="AA658" s="3070">
        <v>1581517</v>
      </c>
      <c r="AB658" s="3070">
        <v>0</v>
      </c>
      <c r="AC658" s="3070">
        <v>0</v>
      </c>
      <c r="AD658" s="3070">
        <v>0</v>
      </c>
      <c r="AE658" s="3070">
        <v>0</v>
      </c>
      <c r="AI658" s="3070" t="s">
        <v>3227</v>
      </c>
      <c r="AJ658" s="3070">
        <v>0</v>
      </c>
      <c r="AK658" s="3070">
        <v>0</v>
      </c>
      <c r="AL658" s="3070">
        <v>0</v>
      </c>
      <c r="AM658" s="3070">
        <v>12934.63</v>
      </c>
      <c r="AN658" s="3070">
        <v>1581517</v>
      </c>
      <c r="AP658" s="3070">
        <v>1581517</v>
      </c>
      <c r="AQ658" s="3072">
        <v>45138</v>
      </c>
      <c r="AT658" s="3073">
        <v>45678</v>
      </c>
      <c r="AV658" s="3074">
        <v>3.21E+17</v>
      </c>
      <c r="AW658" s="3070" t="s">
        <v>4867</v>
      </c>
      <c r="AX658" s="3070" t="s">
        <v>8622</v>
      </c>
      <c r="AY658" s="3070" t="s">
        <v>3385</v>
      </c>
      <c r="BA658" s="3070" t="s">
        <v>3385</v>
      </c>
      <c r="BC658" s="3070" t="s">
        <v>6281</v>
      </c>
      <c r="BD658" s="3070" t="s">
        <v>3075</v>
      </c>
      <c r="BI658" s="3070" t="s">
        <v>3235</v>
      </c>
      <c r="BL658" s="3070" t="s">
        <v>8623</v>
      </c>
      <c r="BM658" s="3075">
        <v>44386</v>
      </c>
      <c r="BN658" s="3070">
        <v>1</v>
      </c>
      <c r="BR658" s="3070">
        <v>16</v>
      </c>
      <c r="BS658" s="3070" t="s">
        <v>3238</v>
      </c>
      <c r="BU658" s="3070" t="s">
        <v>3385</v>
      </c>
      <c r="BV658" s="3070" t="s">
        <v>8624</v>
      </c>
      <c r="BZ658" s="3073">
        <v>44172.800694444442</v>
      </c>
      <c r="CA658" s="3070">
        <v>7</v>
      </c>
      <c r="CD658" s="3070" t="s">
        <v>3239</v>
      </c>
      <c r="CF658" s="3070" t="s">
        <v>3091</v>
      </c>
      <c r="CH658" s="3070" t="s">
        <v>3240</v>
      </c>
      <c r="CI658" s="3070">
        <v>0</v>
      </c>
      <c r="CK658" s="3070" t="s">
        <v>3385</v>
      </c>
      <c r="CL658" s="3070" t="s">
        <v>3385</v>
      </c>
      <c r="CM658" s="3070">
        <v>1450933.03</v>
      </c>
      <c r="CV658" s="3070" t="s">
        <v>3494</v>
      </c>
      <c r="CW658" s="3070" t="s">
        <v>8625</v>
      </c>
      <c r="CX658" s="3070" t="s">
        <v>3510</v>
      </c>
      <c r="CZ658" s="3070">
        <v>213894.57</v>
      </c>
      <c r="DA658" s="3070">
        <v>159426.93</v>
      </c>
      <c r="DB658" s="3070">
        <v>0</v>
      </c>
      <c r="DC658" s="3070">
        <v>0</v>
      </c>
      <c r="DD658" s="3070">
        <v>3290547602</v>
      </c>
      <c r="DE658" s="3070">
        <v>2764253109</v>
      </c>
      <c r="DF658" s="3070">
        <v>1464966739</v>
      </c>
      <c r="DG658" s="3070">
        <v>14938370</v>
      </c>
      <c r="DH658" s="3070">
        <v>1284348000</v>
      </c>
      <c r="DI658" s="3070">
        <v>1278128000</v>
      </c>
      <c r="DJ658" s="3070">
        <v>6220000</v>
      </c>
      <c r="DK658" s="3070">
        <v>0</v>
      </c>
      <c r="DL658" s="3070">
        <v>0</v>
      </c>
      <c r="DM658" s="3070">
        <v>25491817.620000001</v>
      </c>
      <c r="DN658" s="3070">
        <v>2764253109</v>
      </c>
      <c r="DP658" s="3070">
        <v>2764253109</v>
      </c>
    </row>
    <row r="659" spans="1:120">
      <c r="A659" s="3070">
        <v>658</v>
      </c>
      <c r="B659" s="3070" t="s">
        <v>3224</v>
      </c>
      <c r="C659" s="3070">
        <v>7</v>
      </c>
      <c r="E659" s="3070">
        <v>902</v>
      </c>
      <c r="F659" s="3070" t="s">
        <v>8626</v>
      </c>
      <c r="G659" s="3070" t="s">
        <v>8627</v>
      </c>
      <c r="H659" s="3070">
        <v>1271701</v>
      </c>
      <c r="I659" s="3070">
        <v>1271701</v>
      </c>
      <c r="J659" s="3070">
        <v>102.02</v>
      </c>
      <c r="K659" s="3070">
        <v>75.45</v>
      </c>
      <c r="L659" s="3070">
        <v>0</v>
      </c>
      <c r="M659" s="3070">
        <v>0</v>
      </c>
      <c r="N659" s="3070">
        <v>15394.44</v>
      </c>
      <c r="O659" s="3070">
        <v>1570541</v>
      </c>
      <c r="P659" s="3070">
        <v>12465.21</v>
      </c>
      <c r="Q659" s="3070">
        <v>1271701</v>
      </c>
      <c r="R659" s="3070" t="s">
        <v>3227</v>
      </c>
      <c r="S659" s="3070" t="s">
        <v>8628</v>
      </c>
      <c r="T659" s="3070" t="s">
        <v>3425</v>
      </c>
      <c r="V659" s="3070" t="s">
        <v>3230</v>
      </c>
      <c r="Y659" s="3070">
        <v>771701</v>
      </c>
      <c r="Z659" s="3070">
        <v>771701</v>
      </c>
      <c r="AA659" s="3070">
        <v>771701</v>
      </c>
      <c r="AB659" s="3070">
        <v>0</v>
      </c>
      <c r="AC659" s="3070">
        <v>500000</v>
      </c>
      <c r="AD659" s="3070">
        <v>500000</v>
      </c>
      <c r="AE659" s="3070">
        <v>0</v>
      </c>
      <c r="AI659" s="3070" t="s">
        <v>3227</v>
      </c>
      <c r="AJ659" s="3070">
        <v>0</v>
      </c>
      <c r="AK659" s="3070">
        <v>0</v>
      </c>
      <c r="AL659" s="3070">
        <v>0</v>
      </c>
      <c r="AM659" s="3070">
        <v>12465.21</v>
      </c>
      <c r="AN659" s="3070">
        <v>1271701</v>
      </c>
      <c r="AP659" s="3070">
        <v>1271701</v>
      </c>
      <c r="AQ659" s="3072">
        <v>45138</v>
      </c>
      <c r="AT659" s="3073">
        <v>45678</v>
      </c>
      <c r="AV659" s="3074">
        <v>3.21E+17</v>
      </c>
      <c r="AW659" s="3070" t="s">
        <v>8629</v>
      </c>
      <c r="AX659" s="3070" t="s">
        <v>8630</v>
      </c>
      <c r="AY659" s="3070" t="s">
        <v>3632</v>
      </c>
      <c r="BC659" s="3070" t="s">
        <v>3430</v>
      </c>
      <c r="BD659" s="3070" t="s">
        <v>3077</v>
      </c>
      <c r="BI659" s="3070" t="s">
        <v>3235</v>
      </c>
      <c r="BJ659" s="3070" t="s">
        <v>3236</v>
      </c>
      <c r="BL659" s="3070" t="s">
        <v>8631</v>
      </c>
      <c r="BM659" s="3075">
        <v>44386</v>
      </c>
      <c r="BN659" s="3070">
        <v>2</v>
      </c>
      <c r="BP659" s="3070" t="s">
        <v>3253</v>
      </c>
      <c r="BR659" s="3070">
        <v>235</v>
      </c>
      <c r="BS659" s="3070" t="s">
        <v>3238</v>
      </c>
      <c r="BZ659" s="3073">
        <v>44142.603472222225</v>
      </c>
      <c r="CA659" s="3070">
        <v>7</v>
      </c>
      <c r="CD659" s="3070" t="s">
        <v>3239</v>
      </c>
      <c r="CF659" s="3070" t="s">
        <v>3091</v>
      </c>
      <c r="CH659" s="3070" t="s">
        <v>3240</v>
      </c>
      <c r="CI659" s="3070">
        <v>0</v>
      </c>
      <c r="CJ659" s="3070" t="s">
        <v>3259</v>
      </c>
      <c r="CK659" s="3070" t="s">
        <v>3632</v>
      </c>
      <c r="CL659" s="3070" t="s">
        <v>3632</v>
      </c>
      <c r="CM659" s="3070">
        <v>1166698.1599999999</v>
      </c>
      <c r="CV659" s="3070" t="s">
        <v>3425</v>
      </c>
      <c r="CW659" s="3070" t="s">
        <v>8632</v>
      </c>
      <c r="CX659" s="3070" t="s">
        <v>3510</v>
      </c>
      <c r="CZ659" s="3070">
        <v>213894.57</v>
      </c>
      <c r="DA659" s="3070">
        <v>159426.93</v>
      </c>
      <c r="DB659" s="3070">
        <v>0</v>
      </c>
      <c r="DC659" s="3070">
        <v>0</v>
      </c>
      <c r="DD659" s="3070">
        <v>3290547602</v>
      </c>
      <c r="DE659" s="3070">
        <v>2764253109</v>
      </c>
      <c r="DF659" s="3070">
        <v>1464966739</v>
      </c>
      <c r="DG659" s="3070">
        <v>14938370</v>
      </c>
      <c r="DH659" s="3070">
        <v>1284348000</v>
      </c>
      <c r="DI659" s="3070">
        <v>1278128000</v>
      </c>
      <c r="DJ659" s="3070">
        <v>6220000</v>
      </c>
      <c r="DK659" s="3070">
        <v>0</v>
      </c>
      <c r="DL659" s="3070">
        <v>0</v>
      </c>
      <c r="DM659" s="3070">
        <v>25491817.620000001</v>
      </c>
      <c r="DN659" s="3070">
        <v>2764253109</v>
      </c>
      <c r="DP659" s="3070">
        <v>2764253109</v>
      </c>
    </row>
    <row r="660" spans="1:120">
      <c r="A660" s="3070">
        <v>659</v>
      </c>
      <c r="B660" s="3070" t="s">
        <v>3224</v>
      </c>
      <c r="C660" s="3070">
        <v>7</v>
      </c>
      <c r="E660" s="3070">
        <v>903</v>
      </c>
      <c r="F660" s="3070" t="s">
        <v>8633</v>
      </c>
      <c r="G660" s="3070" t="s">
        <v>8634</v>
      </c>
      <c r="H660" s="3070">
        <v>1271701</v>
      </c>
      <c r="I660" s="3070">
        <v>1271701</v>
      </c>
      <c r="J660" s="3070">
        <v>102.02</v>
      </c>
      <c r="K660" s="3070">
        <v>75.45</v>
      </c>
      <c r="L660" s="3070">
        <v>0</v>
      </c>
      <c r="M660" s="3070">
        <v>0</v>
      </c>
      <c r="N660" s="3070">
        <v>15394.44</v>
      </c>
      <c r="O660" s="3070">
        <v>1570541</v>
      </c>
      <c r="P660" s="3070">
        <v>12465.21</v>
      </c>
      <c r="Q660" s="3070">
        <v>1271701</v>
      </c>
      <c r="R660" s="3070" t="s">
        <v>3227</v>
      </c>
      <c r="S660" s="3070" t="s">
        <v>8635</v>
      </c>
      <c r="T660" s="3070" t="s">
        <v>3258</v>
      </c>
      <c r="U660" s="3070" t="s">
        <v>3259</v>
      </c>
      <c r="V660" s="3070" t="s">
        <v>3230</v>
      </c>
      <c r="Y660" s="3070">
        <v>671701</v>
      </c>
      <c r="Z660" s="3070">
        <v>671701</v>
      </c>
      <c r="AA660" s="3070">
        <v>671701</v>
      </c>
      <c r="AB660" s="3070">
        <v>0</v>
      </c>
      <c r="AC660" s="3070">
        <v>600000</v>
      </c>
      <c r="AD660" s="3070">
        <v>600000</v>
      </c>
      <c r="AE660" s="3070">
        <v>0</v>
      </c>
      <c r="AI660" s="3070" t="s">
        <v>3227</v>
      </c>
      <c r="AJ660" s="3070">
        <v>0</v>
      </c>
      <c r="AK660" s="3070">
        <v>0</v>
      </c>
      <c r="AL660" s="3070">
        <v>0</v>
      </c>
      <c r="AM660" s="3070">
        <v>12465.21</v>
      </c>
      <c r="AN660" s="3070">
        <v>1271701</v>
      </c>
      <c r="AP660" s="3070">
        <v>1271701</v>
      </c>
      <c r="AQ660" s="3072">
        <v>45138</v>
      </c>
      <c r="AT660" s="3073">
        <v>45678</v>
      </c>
      <c r="AV660" s="3070" t="s">
        <v>8636</v>
      </c>
      <c r="AW660" s="3070" t="s">
        <v>8637</v>
      </c>
      <c r="AX660" s="3070" t="s">
        <v>8638</v>
      </c>
      <c r="AY660" s="3070" t="s">
        <v>3364</v>
      </c>
      <c r="BC660" s="3070" t="s">
        <v>3365</v>
      </c>
      <c r="BD660" s="3070" t="s">
        <v>3077</v>
      </c>
      <c r="BI660" s="3070" t="s">
        <v>3295</v>
      </c>
      <c r="BL660" s="3070" t="s">
        <v>8639</v>
      </c>
      <c r="BM660" s="3075">
        <v>44386</v>
      </c>
      <c r="BN660" s="3070">
        <v>3</v>
      </c>
      <c r="BO660" s="3070" t="s">
        <v>3253</v>
      </c>
      <c r="BP660" s="3070" t="s">
        <v>3253</v>
      </c>
      <c r="BR660" s="3070">
        <v>661</v>
      </c>
      <c r="BS660" s="3070" t="s">
        <v>3238</v>
      </c>
      <c r="BZ660" s="3073">
        <v>44142.595833333333</v>
      </c>
      <c r="CA660" s="3070">
        <v>7</v>
      </c>
      <c r="CD660" s="3070" t="s">
        <v>3239</v>
      </c>
      <c r="CF660" s="3070" t="s">
        <v>3091</v>
      </c>
      <c r="CH660" s="3070" t="s">
        <v>3240</v>
      </c>
      <c r="CI660" s="3070">
        <v>0</v>
      </c>
      <c r="CJ660" s="3070" t="s">
        <v>3259</v>
      </c>
      <c r="CK660" s="3070" t="s">
        <v>3364</v>
      </c>
      <c r="CL660" s="3070" t="s">
        <v>3364</v>
      </c>
      <c r="CM660" s="3070">
        <v>1166698.17</v>
      </c>
      <c r="CV660" s="3070" t="s">
        <v>3258</v>
      </c>
      <c r="CW660" s="3070" t="s">
        <v>8640</v>
      </c>
      <c r="CZ660" s="3070">
        <v>213894.57</v>
      </c>
      <c r="DA660" s="3070">
        <v>159426.93</v>
      </c>
      <c r="DB660" s="3070">
        <v>0</v>
      </c>
      <c r="DC660" s="3070">
        <v>0</v>
      </c>
      <c r="DD660" s="3070">
        <v>3290547602</v>
      </c>
      <c r="DE660" s="3070">
        <v>2764253109</v>
      </c>
      <c r="DF660" s="3070">
        <v>1464966739</v>
      </c>
      <c r="DG660" s="3070">
        <v>14938370</v>
      </c>
      <c r="DH660" s="3070">
        <v>1284348000</v>
      </c>
      <c r="DI660" s="3070">
        <v>1278128000</v>
      </c>
      <c r="DJ660" s="3070">
        <v>6220000</v>
      </c>
      <c r="DK660" s="3070">
        <v>0</v>
      </c>
      <c r="DL660" s="3070">
        <v>0</v>
      </c>
      <c r="DM660" s="3070">
        <v>25491817.620000001</v>
      </c>
      <c r="DN660" s="3070">
        <v>2764253109</v>
      </c>
      <c r="DP660" s="3070">
        <v>2764253109</v>
      </c>
    </row>
    <row r="661" spans="1:120">
      <c r="A661" s="3070">
        <v>660</v>
      </c>
      <c r="B661" s="3070" t="s">
        <v>3224</v>
      </c>
      <c r="C661" s="3070">
        <v>7</v>
      </c>
      <c r="E661" s="3070">
        <v>904</v>
      </c>
      <c r="F661" s="3070" t="s">
        <v>8641</v>
      </c>
      <c r="G661" s="3070" t="s">
        <v>8642</v>
      </c>
      <c r="H661" s="3070">
        <v>1503128</v>
      </c>
      <c r="I661" s="3070">
        <v>1503128</v>
      </c>
      <c r="J661" s="3070">
        <v>122.27</v>
      </c>
      <c r="K661" s="3070">
        <v>90.43</v>
      </c>
      <c r="L661" s="3070">
        <v>0</v>
      </c>
      <c r="M661" s="3070">
        <v>0</v>
      </c>
      <c r="N661" s="3070">
        <v>15344.44</v>
      </c>
      <c r="O661" s="3070">
        <v>1876165</v>
      </c>
      <c r="P661" s="3070">
        <v>12293.51</v>
      </c>
      <c r="Q661" s="3070">
        <v>1503128</v>
      </c>
      <c r="R661" s="3070" t="s">
        <v>3227</v>
      </c>
      <c r="S661" s="3070" t="s">
        <v>8643</v>
      </c>
      <c r="T661" s="3070" t="s">
        <v>3229</v>
      </c>
      <c r="V661" s="3070" t="s">
        <v>3230</v>
      </c>
      <c r="Y661" s="3070">
        <v>450938</v>
      </c>
      <c r="Z661" s="3070">
        <v>523128</v>
      </c>
      <c r="AA661" s="3070">
        <v>1503128</v>
      </c>
      <c r="AB661" s="3070">
        <v>0</v>
      </c>
      <c r="AC661" s="3070">
        <v>0</v>
      </c>
      <c r="AD661" s="3070">
        <v>0</v>
      </c>
      <c r="AE661" s="3070">
        <v>0</v>
      </c>
      <c r="AI661" s="3070" t="s">
        <v>3227</v>
      </c>
      <c r="AJ661" s="3070">
        <v>0</v>
      </c>
      <c r="AK661" s="3070">
        <v>0</v>
      </c>
      <c r="AL661" s="3070">
        <v>0</v>
      </c>
      <c r="AM661" s="3070">
        <v>12293.51</v>
      </c>
      <c r="AN661" s="3070">
        <v>1503128</v>
      </c>
      <c r="AP661" s="3070">
        <v>1503128</v>
      </c>
      <c r="AQ661" s="3072">
        <v>45138</v>
      </c>
      <c r="AT661" s="3073">
        <v>45678</v>
      </c>
      <c r="AV661" s="3074">
        <v>3.21E+17</v>
      </c>
      <c r="AW661" s="3070" t="s">
        <v>8644</v>
      </c>
      <c r="AX661" s="3070" t="s">
        <v>8645</v>
      </c>
      <c r="AY661" s="3070" t="s">
        <v>3273</v>
      </c>
      <c r="BC661" s="3070" t="s">
        <v>3347</v>
      </c>
      <c r="BD661" s="3070" t="s">
        <v>3075</v>
      </c>
      <c r="BI661" s="3070" t="s">
        <v>3235</v>
      </c>
      <c r="BJ661" s="3070" t="s">
        <v>3338</v>
      </c>
      <c r="BL661" s="3070" t="s">
        <v>8646</v>
      </c>
      <c r="BM661" s="3075">
        <v>44386</v>
      </c>
      <c r="BN661" s="3070">
        <v>4</v>
      </c>
      <c r="BR661" s="3070">
        <v>256</v>
      </c>
      <c r="BS661" s="3070" t="s">
        <v>3238</v>
      </c>
      <c r="BZ661" s="3073">
        <v>44142.636111111111</v>
      </c>
      <c r="CA661" s="3070">
        <v>7</v>
      </c>
      <c r="CD661" s="3070" t="s">
        <v>3239</v>
      </c>
      <c r="CF661" s="3070" t="s">
        <v>3091</v>
      </c>
      <c r="CH661" s="3070" t="s">
        <v>3240</v>
      </c>
      <c r="CI661" s="3070">
        <v>0</v>
      </c>
      <c r="CK661" s="3070" t="s">
        <v>3273</v>
      </c>
      <c r="CL661" s="3070" t="s">
        <v>3273</v>
      </c>
      <c r="CM661" s="3070">
        <v>1379016.51</v>
      </c>
      <c r="CV661" s="3070" t="s">
        <v>3229</v>
      </c>
      <c r="CW661" s="3070" t="s">
        <v>8647</v>
      </c>
      <c r="CZ661" s="3070">
        <v>213894.57</v>
      </c>
      <c r="DA661" s="3070">
        <v>159426.93</v>
      </c>
      <c r="DB661" s="3070">
        <v>0</v>
      </c>
      <c r="DC661" s="3070">
        <v>0</v>
      </c>
      <c r="DD661" s="3070">
        <v>3290547602</v>
      </c>
      <c r="DE661" s="3070">
        <v>2764253109</v>
      </c>
      <c r="DF661" s="3070">
        <v>1464966739</v>
      </c>
      <c r="DG661" s="3070">
        <v>14938370</v>
      </c>
      <c r="DH661" s="3070">
        <v>1284348000</v>
      </c>
      <c r="DI661" s="3070">
        <v>1278128000</v>
      </c>
      <c r="DJ661" s="3070">
        <v>6220000</v>
      </c>
      <c r="DK661" s="3070">
        <v>0</v>
      </c>
      <c r="DL661" s="3070">
        <v>0</v>
      </c>
      <c r="DM661" s="3070">
        <v>25491817.620000001</v>
      </c>
      <c r="DN661" s="3070">
        <v>2764253109</v>
      </c>
      <c r="DP661" s="3070">
        <v>2764253109</v>
      </c>
    </row>
    <row r="662" spans="1:120">
      <c r="A662" s="3070">
        <v>661</v>
      </c>
      <c r="B662" s="3070" t="s">
        <v>3224</v>
      </c>
      <c r="C662" s="3070">
        <v>8</v>
      </c>
      <c r="D662" s="3070">
        <v>1</v>
      </c>
      <c r="E662" s="3070">
        <v>1001</v>
      </c>
      <c r="F662" s="3070" t="s">
        <v>8648</v>
      </c>
      <c r="G662" s="3070" t="s">
        <v>8649</v>
      </c>
      <c r="H662" s="3070">
        <v>1549092</v>
      </c>
      <c r="I662" s="3070">
        <v>1549092</v>
      </c>
      <c r="J662" s="3070">
        <v>120.15</v>
      </c>
      <c r="K662" s="3070">
        <v>88.57</v>
      </c>
      <c r="L662" s="3070">
        <v>0</v>
      </c>
      <c r="M662" s="3070">
        <v>0</v>
      </c>
      <c r="N662" s="3070">
        <v>15844.44</v>
      </c>
      <c r="O662" s="3070">
        <v>1903709</v>
      </c>
      <c r="P662" s="3070">
        <v>12892.98</v>
      </c>
      <c r="Q662" s="3070">
        <v>1549092</v>
      </c>
      <c r="R662" s="3070" t="s">
        <v>3227</v>
      </c>
      <c r="S662" s="3070" t="s">
        <v>8650</v>
      </c>
      <c r="T662" s="3070" t="s">
        <v>3246</v>
      </c>
      <c r="U662" s="3070" t="s">
        <v>3247</v>
      </c>
      <c r="V662" s="3070" t="s">
        <v>3230</v>
      </c>
      <c r="Y662" s="3070">
        <v>569092</v>
      </c>
      <c r="Z662" s="3070">
        <v>569092</v>
      </c>
      <c r="AA662" s="3070">
        <v>569092</v>
      </c>
      <c r="AB662" s="3070">
        <v>0</v>
      </c>
      <c r="AC662" s="3070">
        <v>980000</v>
      </c>
      <c r="AD662" s="3070">
        <v>980000</v>
      </c>
      <c r="AE662" s="3070">
        <v>0</v>
      </c>
      <c r="AI662" s="3070" t="s">
        <v>3227</v>
      </c>
      <c r="AJ662" s="3070">
        <v>0</v>
      </c>
      <c r="AK662" s="3070">
        <v>0</v>
      </c>
      <c r="AL662" s="3070">
        <v>0</v>
      </c>
      <c r="AM662" s="3070">
        <v>12892.98</v>
      </c>
      <c r="AN662" s="3070">
        <v>1549092</v>
      </c>
      <c r="AP662" s="3070">
        <v>1549092</v>
      </c>
      <c r="AQ662" s="3072">
        <v>45230</v>
      </c>
      <c r="AT662" s="3073">
        <v>45770</v>
      </c>
      <c r="AV662" s="3070" t="s">
        <v>8651</v>
      </c>
      <c r="AW662" s="3070" t="s">
        <v>8652</v>
      </c>
      <c r="AX662" s="3070" t="s">
        <v>8653</v>
      </c>
      <c r="AY662" s="3070" t="s">
        <v>3699</v>
      </c>
      <c r="BC662" s="3070" t="s">
        <v>3284</v>
      </c>
      <c r="BD662" s="3070" t="s">
        <v>3075</v>
      </c>
      <c r="BI662" s="3070" t="s">
        <v>3235</v>
      </c>
      <c r="BJ662" s="3070" t="s">
        <v>3338</v>
      </c>
      <c r="BL662" s="3070" t="s">
        <v>8654</v>
      </c>
      <c r="BM662" s="3075">
        <v>44409</v>
      </c>
      <c r="BN662" s="3070">
        <v>-10</v>
      </c>
      <c r="BO662" s="3070" t="s">
        <v>3253</v>
      </c>
      <c r="BR662" s="3070">
        <v>503</v>
      </c>
      <c r="BS662" s="3070" t="s">
        <v>3238</v>
      </c>
      <c r="BZ662" s="3073">
        <v>44142.607638888891</v>
      </c>
      <c r="CA662" s="3070">
        <v>8</v>
      </c>
      <c r="CD662" s="3070" t="s">
        <v>3239</v>
      </c>
      <c r="CF662" s="3070" t="s">
        <v>3091</v>
      </c>
      <c r="CH662" s="3070" t="s">
        <v>3240</v>
      </c>
      <c r="CI662" s="3070">
        <v>0</v>
      </c>
      <c r="CK662" s="3070" t="s">
        <v>3699</v>
      </c>
      <c r="CL662" s="3070" t="s">
        <v>3699</v>
      </c>
      <c r="CM662" s="3070">
        <v>1421185.32</v>
      </c>
      <c r="CV662" s="3070" t="s">
        <v>3246</v>
      </c>
      <c r="CW662" s="3070" t="s">
        <v>8655</v>
      </c>
      <c r="CX662" s="3070" t="s">
        <v>3267</v>
      </c>
      <c r="CZ662" s="3070">
        <v>213894.57</v>
      </c>
      <c r="DA662" s="3070">
        <v>159426.93</v>
      </c>
      <c r="DB662" s="3070">
        <v>0</v>
      </c>
      <c r="DC662" s="3070">
        <v>0</v>
      </c>
      <c r="DD662" s="3070">
        <v>3290547602</v>
      </c>
      <c r="DE662" s="3070">
        <v>2764253109</v>
      </c>
      <c r="DF662" s="3070">
        <v>1464966739</v>
      </c>
      <c r="DG662" s="3070">
        <v>14938370</v>
      </c>
      <c r="DH662" s="3070">
        <v>1284348000</v>
      </c>
      <c r="DI662" s="3070">
        <v>1278128000</v>
      </c>
      <c r="DJ662" s="3070">
        <v>6220000</v>
      </c>
      <c r="DK662" s="3070">
        <v>0</v>
      </c>
      <c r="DL662" s="3070">
        <v>0</v>
      </c>
      <c r="DM662" s="3070">
        <v>25491817.620000001</v>
      </c>
      <c r="DN662" s="3070">
        <v>2764253109</v>
      </c>
      <c r="DP662" s="3070">
        <v>2764253109</v>
      </c>
    </row>
    <row r="663" spans="1:120">
      <c r="A663" s="3070">
        <v>662</v>
      </c>
      <c r="B663" s="3070" t="s">
        <v>3224</v>
      </c>
      <c r="C663" s="3070">
        <v>8</v>
      </c>
      <c r="D663" s="3070">
        <v>1</v>
      </c>
      <c r="E663" s="3070">
        <v>1002</v>
      </c>
      <c r="F663" s="3070" t="s">
        <v>8656</v>
      </c>
      <c r="G663" s="3070" t="s">
        <v>8657</v>
      </c>
      <c r="H663" s="3070">
        <v>1106208</v>
      </c>
      <c r="I663" s="3070">
        <v>1106208</v>
      </c>
      <c r="J663" s="3070">
        <v>84.62</v>
      </c>
      <c r="K663" s="3070">
        <v>62.38</v>
      </c>
      <c r="L663" s="3070">
        <v>0</v>
      </c>
      <c r="M663" s="3070">
        <v>0</v>
      </c>
      <c r="N663" s="3070">
        <v>16033.44</v>
      </c>
      <c r="O663" s="3070">
        <v>1356750</v>
      </c>
      <c r="P663" s="3070">
        <v>13072.65</v>
      </c>
      <c r="Q663" s="3070">
        <v>1106208</v>
      </c>
      <c r="R663" s="3070" t="s">
        <v>3227</v>
      </c>
      <c r="S663" s="3070" t="s">
        <v>8658</v>
      </c>
      <c r="T663" s="3070" t="s">
        <v>3258</v>
      </c>
      <c r="U663" s="3070" t="s">
        <v>3259</v>
      </c>
      <c r="V663" s="3070" t="s">
        <v>3230</v>
      </c>
      <c r="Y663" s="3070">
        <v>576208</v>
      </c>
      <c r="Z663" s="3070">
        <v>576208</v>
      </c>
      <c r="AA663" s="3070">
        <v>576208</v>
      </c>
      <c r="AB663" s="3070">
        <v>0</v>
      </c>
      <c r="AC663" s="3070">
        <v>530000</v>
      </c>
      <c r="AD663" s="3070">
        <v>530000</v>
      </c>
      <c r="AE663" s="3070">
        <v>0</v>
      </c>
      <c r="AI663" s="3070" t="s">
        <v>3227</v>
      </c>
      <c r="AJ663" s="3070">
        <v>0</v>
      </c>
      <c r="AK663" s="3070">
        <v>0</v>
      </c>
      <c r="AL663" s="3070">
        <v>0</v>
      </c>
      <c r="AM663" s="3070">
        <v>13072.65</v>
      </c>
      <c r="AN663" s="3070">
        <v>1106208</v>
      </c>
      <c r="AP663" s="3070">
        <v>1106208</v>
      </c>
      <c r="AQ663" s="3072">
        <v>45230</v>
      </c>
      <c r="AT663" s="3073">
        <v>45770</v>
      </c>
      <c r="AV663" s="3070" t="s">
        <v>8659</v>
      </c>
      <c r="AW663" s="3070" t="s">
        <v>8660</v>
      </c>
      <c r="AX663" s="3070" t="s">
        <v>8661</v>
      </c>
      <c r="AY663" s="3070" t="s">
        <v>3346</v>
      </c>
      <c r="BC663" s="3070" t="s">
        <v>3263</v>
      </c>
      <c r="BD663" s="3070" t="s">
        <v>3076</v>
      </c>
      <c r="BI663" s="3070" t="s">
        <v>3235</v>
      </c>
      <c r="BJ663" s="3070" t="s">
        <v>3338</v>
      </c>
      <c r="BL663" s="3070" t="s">
        <v>8662</v>
      </c>
      <c r="BM663" s="3075">
        <v>44409</v>
      </c>
      <c r="BN663" s="3070">
        <v>-10</v>
      </c>
      <c r="BO663" s="3070" t="s">
        <v>3253</v>
      </c>
      <c r="BP663" s="3070" t="s">
        <v>3253</v>
      </c>
      <c r="BR663" s="3070">
        <v>689</v>
      </c>
      <c r="BS663" s="3070" t="s">
        <v>3238</v>
      </c>
      <c r="BZ663" s="3073">
        <v>44142.630555555559</v>
      </c>
      <c r="CA663" s="3070">
        <v>8</v>
      </c>
      <c r="CD663" s="3070" t="s">
        <v>3239</v>
      </c>
      <c r="CF663" s="3070" t="s">
        <v>3091</v>
      </c>
      <c r="CH663" s="3070" t="s">
        <v>3240</v>
      </c>
      <c r="CI663" s="3070">
        <v>0</v>
      </c>
      <c r="CJ663" s="3070" t="s">
        <v>3259</v>
      </c>
      <c r="CK663" s="3070" t="s">
        <v>3346</v>
      </c>
      <c r="CL663" s="3070" t="s">
        <v>3346</v>
      </c>
      <c r="CM663" s="3070">
        <v>1014869.72</v>
      </c>
      <c r="CV663" s="3070" t="s">
        <v>3258</v>
      </c>
      <c r="CW663" s="3070" t="s">
        <v>8663</v>
      </c>
      <c r="CZ663" s="3070">
        <v>213894.57</v>
      </c>
      <c r="DA663" s="3070">
        <v>159426.93</v>
      </c>
      <c r="DB663" s="3070">
        <v>0</v>
      </c>
      <c r="DC663" s="3070">
        <v>0</v>
      </c>
      <c r="DD663" s="3070">
        <v>3290547602</v>
      </c>
      <c r="DE663" s="3070">
        <v>2764253109</v>
      </c>
      <c r="DF663" s="3070">
        <v>1464966739</v>
      </c>
      <c r="DG663" s="3070">
        <v>14938370</v>
      </c>
      <c r="DH663" s="3070">
        <v>1284348000</v>
      </c>
      <c r="DI663" s="3070">
        <v>1278128000</v>
      </c>
      <c r="DJ663" s="3070">
        <v>6220000</v>
      </c>
      <c r="DK663" s="3070">
        <v>0</v>
      </c>
      <c r="DL663" s="3070">
        <v>0</v>
      </c>
      <c r="DM663" s="3070">
        <v>25491817.620000001</v>
      </c>
      <c r="DN663" s="3070">
        <v>2764253109</v>
      </c>
      <c r="DP663" s="3070">
        <v>2764253109</v>
      </c>
    </row>
    <row r="664" spans="1:120">
      <c r="A664" s="3070">
        <v>663</v>
      </c>
      <c r="B664" s="3070" t="s">
        <v>3224</v>
      </c>
      <c r="C664" s="3070">
        <v>8</v>
      </c>
      <c r="D664" s="3070">
        <v>1</v>
      </c>
      <c r="E664" s="3070">
        <v>1003</v>
      </c>
      <c r="F664" s="3070" t="s">
        <v>8664</v>
      </c>
      <c r="G664" s="3070" t="s">
        <v>8665</v>
      </c>
      <c r="H664" s="3070">
        <v>1095146</v>
      </c>
      <c r="I664" s="3070">
        <v>1095146</v>
      </c>
      <c r="J664" s="3070">
        <v>84.62</v>
      </c>
      <c r="K664" s="3070">
        <v>62.38</v>
      </c>
      <c r="L664" s="3070">
        <v>0</v>
      </c>
      <c r="M664" s="3070">
        <v>0</v>
      </c>
      <c r="N664" s="3070">
        <v>16033.44</v>
      </c>
      <c r="O664" s="3070">
        <v>1356750</v>
      </c>
      <c r="P664" s="3070">
        <v>12941.93</v>
      </c>
      <c r="Q664" s="3070">
        <v>1095146</v>
      </c>
      <c r="R664" s="3070" t="s">
        <v>3227</v>
      </c>
      <c r="S664" s="3070" t="s">
        <v>8666</v>
      </c>
      <c r="T664" s="3070" t="s">
        <v>3229</v>
      </c>
      <c r="V664" s="3070" t="s">
        <v>3230</v>
      </c>
      <c r="Y664" s="3070">
        <v>335146</v>
      </c>
      <c r="Z664" s="3070">
        <v>335146</v>
      </c>
      <c r="AA664" s="3070">
        <v>1095146</v>
      </c>
      <c r="AB664" s="3070">
        <v>0</v>
      </c>
      <c r="AC664" s="3070">
        <v>0</v>
      </c>
      <c r="AD664" s="3070">
        <v>0</v>
      </c>
      <c r="AE664" s="3070">
        <v>0</v>
      </c>
      <c r="AI664" s="3070" t="s">
        <v>3227</v>
      </c>
      <c r="AJ664" s="3070">
        <v>0</v>
      </c>
      <c r="AK664" s="3070">
        <v>0</v>
      </c>
      <c r="AL664" s="3070">
        <v>0</v>
      </c>
      <c r="AM664" s="3070">
        <v>12941.93</v>
      </c>
      <c r="AN664" s="3070">
        <v>1095146</v>
      </c>
      <c r="AP664" s="3070">
        <v>1095146</v>
      </c>
      <c r="AQ664" s="3072">
        <v>45230</v>
      </c>
      <c r="AT664" s="3073">
        <v>45770</v>
      </c>
      <c r="AV664" s="3074">
        <v>3.21E+17</v>
      </c>
      <c r="AW664" s="3070" t="s">
        <v>8667</v>
      </c>
      <c r="AX664" s="3070" t="s">
        <v>8668</v>
      </c>
      <c r="AY664" s="3070" t="s">
        <v>3385</v>
      </c>
      <c r="BC664" s="3070" t="s">
        <v>3792</v>
      </c>
      <c r="BD664" s="3070" t="s">
        <v>3076</v>
      </c>
      <c r="BI664" s="3070" t="s">
        <v>3235</v>
      </c>
      <c r="BL664" s="3070" t="s">
        <v>8669</v>
      </c>
      <c r="BM664" s="3075">
        <v>44409</v>
      </c>
      <c r="BN664" s="3070">
        <v>-10</v>
      </c>
      <c r="BR664" s="3070">
        <v>119</v>
      </c>
      <c r="BS664" s="3070" t="s">
        <v>3238</v>
      </c>
      <c r="BZ664" s="3073">
        <v>44142.609027777777</v>
      </c>
      <c r="CA664" s="3070">
        <v>8</v>
      </c>
      <c r="CD664" s="3070" t="s">
        <v>3239</v>
      </c>
      <c r="CF664" s="3070" t="s">
        <v>3091</v>
      </c>
      <c r="CH664" s="3070" t="s">
        <v>3240</v>
      </c>
      <c r="CI664" s="3070">
        <v>0</v>
      </c>
      <c r="CK664" s="3070" t="s">
        <v>3385</v>
      </c>
      <c r="CL664" s="3070" t="s">
        <v>3385</v>
      </c>
      <c r="CM664" s="3070">
        <v>1004721.1</v>
      </c>
      <c r="CV664" s="3070" t="s">
        <v>3229</v>
      </c>
      <c r="CW664" s="3070" t="s">
        <v>8670</v>
      </c>
      <c r="CZ664" s="3070">
        <v>213894.57</v>
      </c>
      <c r="DA664" s="3070">
        <v>159426.93</v>
      </c>
      <c r="DB664" s="3070">
        <v>0</v>
      </c>
      <c r="DC664" s="3070">
        <v>0</v>
      </c>
      <c r="DD664" s="3070">
        <v>3290547602</v>
      </c>
      <c r="DE664" s="3070">
        <v>2764253109</v>
      </c>
      <c r="DF664" s="3070">
        <v>1464966739</v>
      </c>
      <c r="DG664" s="3070">
        <v>14938370</v>
      </c>
      <c r="DH664" s="3070">
        <v>1284348000</v>
      </c>
      <c r="DI664" s="3070">
        <v>1278128000</v>
      </c>
      <c r="DJ664" s="3070">
        <v>6220000</v>
      </c>
      <c r="DK664" s="3070">
        <v>0</v>
      </c>
      <c r="DL664" s="3070">
        <v>0</v>
      </c>
      <c r="DM664" s="3070">
        <v>25491817.620000001</v>
      </c>
      <c r="DN664" s="3070">
        <v>2764253109</v>
      </c>
      <c r="DP664" s="3070">
        <v>2764253109</v>
      </c>
    </row>
    <row r="665" spans="1:120">
      <c r="A665" s="3070">
        <v>664</v>
      </c>
      <c r="B665" s="3070" t="s">
        <v>3224</v>
      </c>
      <c r="C665" s="3070">
        <v>8</v>
      </c>
      <c r="D665" s="3070">
        <v>1</v>
      </c>
      <c r="E665" s="3070">
        <v>1004</v>
      </c>
      <c r="F665" s="3070" t="s">
        <v>8671</v>
      </c>
      <c r="G665" s="3070" t="s">
        <v>8672</v>
      </c>
      <c r="H665" s="3070">
        <v>1412324</v>
      </c>
      <c r="I665" s="3070">
        <v>1412324</v>
      </c>
      <c r="J665" s="3070">
        <v>108.82</v>
      </c>
      <c r="K665" s="3070">
        <v>80.22</v>
      </c>
      <c r="L665" s="3070">
        <v>0</v>
      </c>
      <c r="M665" s="3070">
        <v>0</v>
      </c>
      <c r="N665" s="3070">
        <v>15934.44</v>
      </c>
      <c r="O665" s="3070">
        <v>1733986</v>
      </c>
      <c r="P665" s="3070">
        <v>12978.53</v>
      </c>
      <c r="Q665" s="3070">
        <v>1412324</v>
      </c>
      <c r="R665" s="3070" t="s">
        <v>3227</v>
      </c>
      <c r="S665" s="3070" t="s">
        <v>8673</v>
      </c>
      <c r="T665" s="3070" t="s">
        <v>3246</v>
      </c>
      <c r="U665" s="3070" t="s">
        <v>3247</v>
      </c>
      <c r="V665" s="3070" t="s">
        <v>3230</v>
      </c>
      <c r="Y665" s="3070">
        <v>432324</v>
      </c>
      <c r="Z665" s="3070">
        <v>432324</v>
      </c>
      <c r="AA665" s="3070">
        <v>432324</v>
      </c>
      <c r="AB665" s="3070">
        <v>0</v>
      </c>
      <c r="AC665" s="3070">
        <v>980000</v>
      </c>
      <c r="AD665" s="3070">
        <v>980000</v>
      </c>
      <c r="AE665" s="3070">
        <v>0</v>
      </c>
      <c r="AI665" s="3070" t="s">
        <v>3227</v>
      </c>
      <c r="AJ665" s="3070">
        <v>0</v>
      </c>
      <c r="AK665" s="3070">
        <v>0</v>
      </c>
      <c r="AL665" s="3070">
        <v>0</v>
      </c>
      <c r="AM665" s="3070">
        <v>12978.53</v>
      </c>
      <c r="AN665" s="3070">
        <v>1412324</v>
      </c>
      <c r="AP665" s="3070">
        <v>1412324</v>
      </c>
      <c r="AQ665" s="3072">
        <v>45230</v>
      </c>
      <c r="AT665" s="3073">
        <v>45770</v>
      </c>
      <c r="AV665" s="3070" t="s">
        <v>8674</v>
      </c>
      <c r="AW665" s="3070" t="s">
        <v>8675</v>
      </c>
      <c r="AX665" s="3070" t="s">
        <v>8676</v>
      </c>
      <c r="AY665" s="3070" t="s">
        <v>3656</v>
      </c>
      <c r="BC665" s="3070" t="s">
        <v>3284</v>
      </c>
      <c r="BD665" s="3070" t="s">
        <v>3077</v>
      </c>
      <c r="BI665" s="3070" t="s">
        <v>3235</v>
      </c>
      <c r="BJ665" s="3070" t="s">
        <v>8218</v>
      </c>
      <c r="BL665" s="3070" t="s">
        <v>8677</v>
      </c>
      <c r="BM665" s="3075">
        <v>44409</v>
      </c>
      <c r="BN665" s="3070">
        <v>-10</v>
      </c>
      <c r="BO665" s="3070" t="s">
        <v>3253</v>
      </c>
      <c r="BR665" s="3070">
        <v>410</v>
      </c>
      <c r="BS665" s="3070" t="s">
        <v>3238</v>
      </c>
      <c r="BZ665" s="3073">
        <v>44152.685416666667</v>
      </c>
      <c r="CA665" s="3070">
        <v>8</v>
      </c>
      <c r="CD665" s="3070" t="s">
        <v>3239</v>
      </c>
      <c r="CF665" s="3070" t="s">
        <v>3091</v>
      </c>
      <c r="CH665" s="3070" t="s">
        <v>3240</v>
      </c>
      <c r="CI665" s="3070">
        <v>0</v>
      </c>
      <c r="CK665" s="3070" t="s">
        <v>3656</v>
      </c>
      <c r="CL665" s="3070" t="s">
        <v>3656</v>
      </c>
      <c r="CM665" s="3070">
        <v>1295710.0900000001</v>
      </c>
      <c r="CV665" s="3070" t="s">
        <v>3246</v>
      </c>
      <c r="CW665" s="3070" t="s">
        <v>8678</v>
      </c>
      <c r="CZ665" s="3070">
        <v>213894.57</v>
      </c>
      <c r="DA665" s="3070">
        <v>159426.93</v>
      </c>
      <c r="DB665" s="3070">
        <v>0</v>
      </c>
      <c r="DC665" s="3070">
        <v>0</v>
      </c>
      <c r="DD665" s="3070">
        <v>3290547602</v>
      </c>
      <c r="DE665" s="3070">
        <v>2764253109</v>
      </c>
      <c r="DF665" s="3070">
        <v>1464966739</v>
      </c>
      <c r="DG665" s="3070">
        <v>14938370</v>
      </c>
      <c r="DH665" s="3070">
        <v>1284348000</v>
      </c>
      <c r="DI665" s="3070">
        <v>1278128000</v>
      </c>
      <c r="DJ665" s="3070">
        <v>6220000</v>
      </c>
      <c r="DK665" s="3070">
        <v>0</v>
      </c>
      <c r="DL665" s="3070">
        <v>0</v>
      </c>
      <c r="DM665" s="3070">
        <v>25491817.620000001</v>
      </c>
      <c r="DN665" s="3070">
        <v>2764253109</v>
      </c>
      <c r="DP665" s="3070">
        <v>2764253109</v>
      </c>
    </row>
    <row r="666" spans="1:120">
      <c r="A666" s="3070">
        <v>665</v>
      </c>
      <c r="B666" s="3070" t="s">
        <v>3224</v>
      </c>
      <c r="C666" s="3070">
        <v>8</v>
      </c>
      <c r="D666" s="3070">
        <v>2</v>
      </c>
      <c r="E666" s="3070">
        <v>1005</v>
      </c>
      <c r="F666" s="3070" t="s">
        <v>8679</v>
      </c>
      <c r="G666" s="3070" t="s">
        <v>8680</v>
      </c>
      <c r="H666" s="3070">
        <v>1412324</v>
      </c>
      <c r="I666" s="3070">
        <v>1412324</v>
      </c>
      <c r="J666" s="3070">
        <v>108.82</v>
      </c>
      <c r="K666" s="3070">
        <v>80.22</v>
      </c>
      <c r="L666" s="3070">
        <v>0</v>
      </c>
      <c r="M666" s="3070">
        <v>0</v>
      </c>
      <c r="N666" s="3070">
        <v>15934.44</v>
      </c>
      <c r="O666" s="3070">
        <v>1733986</v>
      </c>
      <c r="P666" s="3070">
        <v>12978.53</v>
      </c>
      <c r="Q666" s="3070">
        <v>1412324</v>
      </c>
      <c r="R666" s="3070" t="s">
        <v>3227</v>
      </c>
      <c r="S666" s="3070" t="s">
        <v>8681</v>
      </c>
      <c r="T666" s="3070" t="s">
        <v>3246</v>
      </c>
      <c r="U666" s="3070" t="s">
        <v>3247</v>
      </c>
      <c r="V666" s="3070" t="s">
        <v>3230</v>
      </c>
      <c r="Y666" s="3070">
        <v>612324</v>
      </c>
      <c r="Z666" s="3070">
        <v>612324</v>
      </c>
      <c r="AA666" s="3070">
        <v>612324</v>
      </c>
      <c r="AB666" s="3070">
        <v>0</v>
      </c>
      <c r="AC666" s="3070">
        <v>800000</v>
      </c>
      <c r="AD666" s="3070">
        <v>800000</v>
      </c>
      <c r="AE666" s="3070">
        <v>0</v>
      </c>
      <c r="AI666" s="3070" t="s">
        <v>3227</v>
      </c>
      <c r="AJ666" s="3070">
        <v>0</v>
      </c>
      <c r="AK666" s="3070">
        <v>0</v>
      </c>
      <c r="AL666" s="3070">
        <v>0</v>
      </c>
      <c r="AM666" s="3070">
        <v>12978.53</v>
      </c>
      <c r="AN666" s="3070">
        <v>1412324</v>
      </c>
      <c r="AP666" s="3070">
        <v>1412324</v>
      </c>
      <c r="AQ666" s="3072">
        <v>45230</v>
      </c>
      <c r="AT666" s="3073">
        <v>45770</v>
      </c>
      <c r="AV666" s="3070" t="s">
        <v>8682</v>
      </c>
      <c r="AW666" s="3070" t="s">
        <v>8683</v>
      </c>
      <c r="AX666" s="3070" t="s">
        <v>8684</v>
      </c>
      <c r="AY666" s="3070" t="s">
        <v>3273</v>
      </c>
      <c r="BC666" s="3070" t="s">
        <v>3284</v>
      </c>
      <c r="BD666" s="3070" t="s">
        <v>3077</v>
      </c>
      <c r="BI666" s="3070" t="s">
        <v>3235</v>
      </c>
      <c r="BJ666" s="3070" t="s">
        <v>3338</v>
      </c>
      <c r="BL666" s="3070" t="s">
        <v>8685</v>
      </c>
      <c r="BM666" s="3075">
        <v>44410</v>
      </c>
      <c r="BN666" s="3070">
        <v>-10</v>
      </c>
      <c r="BO666" s="3070" t="s">
        <v>3253</v>
      </c>
      <c r="BR666" s="3070">
        <v>326</v>
      </c>
      <c r="BS666" s="3070" t="s">
        <v>3238</v>
      </c>
      <c r="BZ666" s="3073">
        <v>44142.593055555553</v>
      </c>
      <c r="CA666" s="3070">
        <v>8</v>
      </c>
      <c r="CD666" s="3070" t="s">
        <v>3239</v>
      </c>
      <c r="CF666" s="3070" t="s">
        <v>3091</v>
      </c>
      <c r="CH666" s="3070" t="s">
        <v>3240</v>
      </c>
      <c r="CI666" s="3070">
        <v>0</v>
      </c>
      <c r="CK666" s="3070" t="s">
        <v>3273</v>
      </c>
      <c r="CL666" s="3070" t="s">
        <v>3273</v>
      </c>
      <c r="CM666" s="3070">
        <v>1295710.0900000001</v>
      </c>
      <c r="CV666" s="3070" t="s">
        <v>3246</v>
      </c>
      <c r="CW666" s="3070" t="s">
        <v>8686</v>
      </c>
      <c r="CZ666" s="3070">
        <v>213894.57</v>
      </c>
      <c r="DA666" s="3070">
        <v>159426.93</v>
      </c>
      <c r="DB666" s="3070">
        <v>0</v>
      </c>
      <c r="DC666" s="3070">
        <v>0</v>
      </c>
      <c r="DD666" s="3070">
        <v>3290547602</v>
      </c>
      <c r="DE666" s="3070">
        <v>2764253109</v>
      </c>
      <c r="DF666" s="3070">
        <v>1464966739</v>
      </c>
      <c r="DG666" s="3070">
        <v>14938370</v>
      </c>
      <c r="DH666" s="3070">
        <v>1284348000</v>
      </c>
      <c r="DI666" s="3070">
        <v>1278128000</v>
      </c>
      <c r="DJ666" s="3070">
        <v>6220000</v>
      </c>
      <c r="DK666" s="3070">
        <v>0</v>
      </c>
      <c r="DL666" s="3070">
        <v>0</v>
      </c>
      <c r="DM666" s="3070">
        <v>25491817.620000001</v>
      </c>
      <c r="DN666" s="3070">
        <v>2764253109</v>
      </c>
      <c r="DP666" s="3070">
        <v>2764253109</v>
      </c>
    </row>
    <row r="667" spans="1:120">
      <c r="A667" s="3070">
        <v>666</v>
      </c>
      <c r="B667" s="3070" t="s">
        <v>3224</v>
      </c>
      <c r="C667" s="3070">
        <v>8</v>
      </c>
      <c r="D667" s="3070">
        <v>2</v>
      </c>
      <c r="E667" s="3070">
        <v>1006</v>
      </c>
      <c r="F667" s="3070" t="s">
        <v>8687</v>
      </c>
      <c r="G667" s="3070" t="s">
        <v>8688</v>
      </c>
      <c r="H667" s="3070">
        <v>1106208</v>
      </c>
      <c r="I667" s="3070">
        <v>1106208</v>
      </c>
      <c r="J667" s="3070">
        <v>84.62</v>
      </c>
      <c r="K667" s="3070">
        <v>62.38</v>
      </c>
      <c r="L667" s="3070">
        <v>0</v>
      </c>
      <c r="M667" s="3070">
        <v>0</v>
      </c>
      <c r="N667" s="3070">
        <v>16033.44</v>
      </c>
      <c r="O667" s="3070">
        <v>1356750</v>
      </c>
      <c r="P667" s="3070">
        <v>13072.65</v>
      </c>
      <c r="Q667" s="3070">
        <v>1106208</v>
      </c>
      <c r="R667" s="3070" t="s">
        <v>3227</v>
      </c>
      <c r="S667" s="3070" t="s">
        <v>8689</v>
      </c>
      <c r="T667" s="3070" t="s">
        <v>3246</v>
      </c>
      <c r="U667" s="3070" t="s">
        <v>3247</v>
      </c>
      <c r="V667" s="3070" t="s">
        <v>3230</v>
      </c>
      <c r="Y667" s="3070">
        <v>446208</v>
      </c>
      <c r="Z667" s="3070">
        <v>446208</v>
      </c>
      <c r="AA667" s="3070">
        <v>446208</v>
      </c>
      <c r="AB667" s="3070">
        <v>0</v>
      </c>
      <c r="AC667" s="3070">
        <v>660000</v>
      </c>
      <c r="AD667" s="3070">
        <v>660000</v>
      </c>
      <c r="AE667" s="3070">
        <v>0</v>
      </c>
      <c r="AI667" s="3070" t="s">
        <v>3227</v>
      </c>
      <c r="AJ667" s="3070">
        <v>0</v>
      </c>
      <c r="AK667" s="3070">
        <v>0</v>
      </c>
      <c r="AL667" s="3070">
        <v>0</v>
      </c>
      <c r="AM667" s="3070">
        <v>13072.65</v>
      </c>
      <c r="AN667" s="3070">
        <v>1106208</v>
      </c>
      <c r="AP667" s="3070">
        <v>1106208</v>
      </c>
      <c r="AQ667" s="3072">
        <v>45230</v>
      </c>
      <c r="AT667" s="3073">
        <v>45770</v>
      </c>
      <c r="AV667" s="3074">
        <v>3.21E+17</v>
      </c>
      <c r="AW667" s="3070" t="s">
        <v>8690</v>
      </c>
      <c r="AX667" s="3070" t="s">
        <v>8691</v>
      </c>
      <c r="AY667" s="3070" t="s">
        <v>3419</v>
      </c>
      <c r="BC667" s="3070" t="s">
        <v>3284</v>
      </c>
      <c r="BD667" s="3070" t="s">
        <v>3076</v>
      </c>
      <c r="BI667" s="3070" t="s">
        <v>3235</v>
      </c>
      <c r="BJ667" s="3070" t="s">
        <v>3338</v>
      </c>
      <c r="BL667" s="3070" t="s">
        <v>8692</v>
      </c>
      <c r="BM667" s="3075">
        <v>44410</v>
      </c>
      <c r="BN667" s="3070">
        <v>-10</v>
      </c>
      <c r="BO667" s="3070" t="s">
        <v>3253</v>
      </c>
      <c r="BR667" s="3070">
        <v>223</v>
      </c>
      <c r="BS667" s="3070" t="s">
        <v>3238</v>
      </c>
      <c r="BZ667" s="3073">
        <v>44142.643055555556</v>
      </c>
      <c r="CA667" s="3070">
        <v>8</v>
      </c>
      <c r="CD667" s="3070" t="s">
        <v>3239</v>
      </c>
      <c r="CF667" s="3070" t="s">
        <v>3091</v>
      </c>
      <c r="CH667" s="3070" t="s">
        <v>3240</v>
      </c>
      <c r="CI667" s="3070">
        <v>0</v>
      </c>
      <c r="CK667" s="3070" t="s">
        <v>3419</v>
      </c>
      <c r="CL667" s="3070" t="s">
        <v>3419</v>
      </c>
      <c r="CM667" s="3070">
        <v>1014869.72</v>
      </c>
      <c r="CV667" s="3070" t="s">
        <v>3246</v>
      </c>
      <c r="CW667" s="3070" t="s">
        <v>8693</v>
      </c>
      <c r="CZ667" s="3070">
        <v>213894.57</v>
      </c>
      <c r="DA667" s="3070">
        <v>159426.93</v>
      </c>
      <c r="DB667" s="3070">
        <v>0</v>
      </c>
      <c r="DC667" s="3070">
        <v>0</v>
      </c>
      <c r="DD667" s="3070">
        <v>3290547602</v>
      </c>
      <c r="DE667" s="3070">
        <v>2764253109</v>
      </c>
      <c r="DF667" s="3070">
        <v>1464966739</v>
      </c>
      <c r="DG667" s="3070">
        <v>14938370</v>
      </c>
      <c r="DH667" s="3070">
        <v>1284348000</v>
      </c>
      <c r="DI667" s="3070">
        <v>1278128000</v>
      </c>
      <c r="DJ667" s="3070">
        <v>6220000</v>
      </c>
      <c r="DK667" s="3070">
        <v>0</v>
      </c>
      <c r="DL667" s="3070">
        <v>0</v>
      </c>
      <c r="DM667" s="3070">
        <v>25491817.620000001</v>
      </c>
      <c r="DN667" s="3070">
        <v>2764253109</v>
      </c>
      <c r="DP667" s="3070">
        <v>2764253109</v>
      </c>
    </row>
    <row r="668" spans="1:120">
      <c r="A668" s="3070">
        <v>667</v>
      </c>
      <c r="B668" s="3070" t="s">
        <v>3224</v>
      </c>
      <c r="C668" s="3070">
        <v>8</v>
      </c>
      <c r="D668" s="3070">
        <v>2</v>
      </c>
      <c r="E668" s="3070">
        <v>1007</v>
      </c>
      <c r="F668" s="3070" t="s">
        <v>8694</v>
      </c>
      <c r="G668" s="3070" t="s">
        <v>8695</v>
      </c>
      <c r="H668" s="3070">
        <v>1106208</v>
      </c>
      <c r="I668" s="3070">
        <v>1106208</v>
      </c>
      <c r="J668" s="3070">
        <v>84.62</v>
      </c>
      <c r="K668" s="3070">
        <v>62.38</v>
      </c>
      <c r="L668" s="3070">
        <v>0</v>
      </c>
      <c r="M668" s="3070">
        <v>0</v>
      </c>
      <c r="N668" s="3070">
        <v>16033.44</v>
      </c>
      <c r="O668" s="3070">
        <v>1356750</v>
      </c>
      <c r="P668" s="3070">
        <v>13072.65</v>
      </c>
      <c r="Q668" s="3070">
        <v>1106208</v>
      </c>
      <c r="R668" s="3070" t="s">
        <v>3227</v>
      </c>
      <c r="S668" s="3070" t="s">
        <v>8696</v>
      </c>
      <c r="T668" s="3070" t="s">
        <v>3258</v>
      </c>
      <c r="U668" s="3070" t="s">
        <v>3259</v>
      </c>
      <c r="V668" s="3070" t="s">
        <v>3230</v>
      </c>
      <c r="Y668" s="3070">
        <v>336208</v>
      </c>
      <c r="Z668" s="3070">
        <v>336208</v>
      </c>
      <c r="AA668" s="3070">
        <v>336208</v>
      </c>
      <c r="AB668" s="3070">
        <v>0</v>
      </c>
      <c r="AC668" s="3070">
        <v>770000</v>
      </c>
      <c r="AD668" s="3070">
        <v>770000</v>
      </c>
      <c r="AE668" s="3070">
        <v>0</v>
      </c>
      <c r="AI668" s="3070" t="s">
        <v>3227</v>
      </c>
      <c r="AJ668" s="3070">
        <v>0</v>
      </c>
      <c r="AK668" s="3070">
        <v>0</v>
      </c>
      <c r="AL668" s="3070">
        <v>0</v>
      </c>
      <c r="AM668" s="3070">
        <v>13072.65</v>
      </c>
      <c r="AN668" s="3070">
        <v>1106208</v>
      </c>
      <c r="AP668" s="3070">
        <v>1106208</v>
      </c>
      <c r="AQ668" s="3072">
        <v>45230</v>
      </c>
      <c r="AT668" s="3073">
        <v>45770</v>
      </c>
      <c r="AV668" s="3070" t="s">
        <v>8697</v>
      </c>
      <c r="AW668" s="3070" t="s">
        <v>8698</v>
      </c>
      <c r="AX668" s="3070" t="s">
        <v>8699</v>
      </c>
      <c r="AY668" s="3070" t="s">
        <v>3337</v>
      </c>
      <c r="BC668" s="3070" t="s">
        <v>3263</v>
      </c>
      <c r="BD668" s="3070" t="s">
        <v>3076</v>
      </c>
      <c r="BI668" s="3070" t="s">
        <v>3235</v>
      </c>
      <c r="BJ668" s="3070" t="s">
        <v>3296</v>
      </c>
      <c r="BL668" s="3070" t="s">
        <v>8700</v>
      </c>
      <c r="BM668" s="3075">
        <v>44410</v>
      </c>
      <c r="BN668" s="3070">
        <v>-10</v>
      </c>
      <c r="BO668" s="3070" t="s">
        <v>3253</v>
      </c>
      <c r="BP668" s="3070" t="s">
        <v>3253</v>
      </c>
      <c r="BR668" s="3070">
        <v>153</v>
      </c>
      <c r="BS668" s="3070" t="s">
        <v>3238</v>
      </c>
      <c r="BZ668" s="3073">
        <v>44150.744444444441</v>
      </c>
      <c r="CA668" s="3070">
        <v>8</v>
      </c>
      <c r="CD668" s="3070" t="s">
        <v>3239</v>
      </c>
      <c r="CF668" s="3070" t="s">
        <v>3091</v>
      </c>
      <c r="CH668" s="3070" t="s">
        <v>3240</v>
      </c>
      <c r="CI668" s="3070">
        <v>0</v>
      </c>
      <c r="CJ668" s="3070" t="s">
        <v>3259</v>
      </c>
      <c r="CK668" s="3070" t="s">
        <v>3337</v>
      </c>
      <c r="CL668" s="3070" t="s">
        <v>3337</v>
      </c>
      <c r="CM668" s="3070">
        <v>1014869.72</v>
      </c>
      <c r="CV668" s="3070" t="s">
        <v>3258</v>
      </c>
      <c r="CW668" s="3070" t="s">
        <v>8701</v>
      </c>
      <c r="CX668" s="3070" t="s">
        <v>3311</v>
      </c>
      <c r="CZ668" s="3070">
        <v>213894.57</v>
      </c>
      <c r="DA668" s="3070">
        <v>159426.93</v>
      </c>
      <c r="DB668" s="3070">
        <v>0</v>
      </c>
      <c r="DC668" s="3070">
        <v>0</v>
      </c>
      <c r="DD668" s="3070">
        <v>3290547602</v>
      </c>
      <c r="DE668" s="3070">
        <v>2764253109</v>
      </c>
      <c r="DF668" s="3070">
        <v>1464966739</v>
      </c>
      <c r="DG668" s="3070">
        <v>14938370</v>
      </c>
      <c r="DH668" s="3070">
        <v>1284348000</v>
      </c>
      <c r="DI668" s="3070">
        <v>1278128000</v>
      </c>
      <c r="DJ668" s="3070">
        <v>6220000</v>
      </c>
      <c r="DK668" s="3070">
        <v>0</v>
      </c>
      <c r="DL668" s="3070">
        <v>0</v>
      </c>
      <c r="DM668" s="3070">
        <v>25491817.620000001</v>
      </c>
      <c r="DN668" s="3070">
        <v>2764253109</v>
      </c>
      <c r="DP668" s="3070">
        <v>2764253109</v>
      </c>
    </row>
    <row r="669" spans="1:120">
      <c r="A669" s="3070">
        <v>668</v>
      </c>
      <c r="B669" s="3070" t="s">
        <v>3224</v>
      </c>
      <c r="C669" s="3070">
        <v>8</v>
      </c>
      <c r="D669" s="3070">
        <v>2</v>
      </c>
      <c r="E669" s="3070">
        <v>1008</v>
      </c>
      <c r="F669" s="3070" t="s">
        <v>8702</v>
      </c>
      <c r="G669" s="3070" t="s">
        <v>8703</v>
      </c>
      <c r="H669" s="3070">
        <v>1526249</v>
      </c>
      <c r="I669" s="3070">
        <v>1526249</v>
      </c>
      <c r="J669" s="3070">
        <v>120.15</v>
      </c>
      <c r="K669" s="3070">
        <v>88.57</v>
      </c>
      <c r="L669" s="3070">
        <v>0</v>
      </c>
      <c r="M669" s="3070">
        <v>0</v>
      </c>
      <c r="N669" s="3070">
        <v>15644.44</v>
      </c>
      <c r="O669" s="3070">
        <v>1879679</v>
      </c>
      <c r="P669" s="3070">
        <v>12702.86</v>
      </c>
      <c r="Q669" s="3070">
        <v>1526249</v>
      </c>
      <c r="R669" s="3070" t="s">
        <v>3227</v>
      </c>
      <c r="S669" s="3070" t="s">
        <v>8704</v>
      </c>
      <c r="T669" s="3070" t="s">
        <v>3246</v>
      </c>
      <c r="U669" s="3070" t="s">
        <v>3247</v>
      </c>
      <c r="V669" s="3070" t="s">
        <v>3230</v>
      </c>
      <c r="Y669" s="3070">
        <v>1306249</v>
      </c>
      <c r="Z669" s="3070">
        <v>1306249</v>
      </c>
      <c r="AA669" s="3070">
        <v>1306249</v>
      </c>
      <c r="AB669" s="3070">
        <v>0</v>
      </c>
      <c r="AC669" s="3070">
        <v>220000</v>
      </c>
      <c r="AD669" s="3070">
        <v>220000</v>
      </c>
      <c r="AE669" s="3070">
        <v>0</v>
      </c>
      <c r="AI669" s="3070" t="s">
        <v>3227</v>
      </c>
      <c r="AJ669" s="3070">
        <v>0</v>
      </c>
      <c r="AK669" s="3070">
        <v>0</v>
      </c>
      <c r="AL669" s="3070">
        <v>0</v>
      </c>
      <c r="AM669" s="3070">
        <v>12702.86</v>
      </c>
      <c r="AN669" s="3070">
        <v>1526249</v>
      </c>
      <c r="AP669" s="3070">
        <v>1526249</v>
      </c>
      <c r="AQ669" s="3072">
        <v>45230</v>
      </c>
      <c r="AT669" s="3073">
        <v>45770</v>
      </c>
      <c r="AV669" s="3070" t="s">
        <v>8705</v>
      </c>
      <c r="AW669" s="3070" t="s">
        <v>8706</v>
      </c>
      <c r="AX669" s="3070" t="s">
        <v>8707</v>
      </c>
      <c r="AY669" s="3070" t="s">
        <v>3411</v>
      </c>
      <c r="BC669" s="3070" t="s">
        <v>3284</v>
      </c>
      <c r="BD669" s="3070" t="s">
        <v>3075</v>
      </c>
      <c r="BI669" s="3070" t="s">
        <v>3235</v>
      </c>
      <c r="BJ669" s="3070" t="s">
        <v>3296</v>
      </c>
      <c r="BL669" s="3070" t="s">
        <v>8708</v>
      </c>
      <c r="BM669" s="3075">
        <v>44410</v>
      </c>
      <c r="BN669" s="3070">
        <v>-10</v>
      </c>
      <c r="BO669" s="3070" t="s">
        <v>3253</v>
      </c>
      <c r="BR669" s="3070">
        <v>208</v>
      </c>
      <c r="BS669" s="3070" t="s">
        <v>3238</v>
      </c>
      <c r="BZ669" s="3073">
        <v>44142.646527777775</v>
      </c>
      <c r="CA669" s="3070">
        <v>8</v>
      </c>
      <c r="CD669" s="3070" t="s">
        <v>3239</v>
      </c>
      <c r="CF669" s="3070" t="s">
        <v>3091</v>
      </c>
      <c r="CH669" s="3070" t="s">
        <v>3240</v>
      </c>
      <c r="CI669" s="3070">
        <v>0</v>
      </c>
      <c r="CK669" s="3070" t="s">
        <v>3411</v>
      </c>
      <c r="CL669" s="3070" t="s">
        <v>3411</v>
      </c>
      <c r="CM669" s="3070">
        <v>1400228.44</v>
      </c>
      <c r="CV669" s="3070" t="s">
        <v>3246</v>
      </c>
      <c r="CW669" s="3070" t="s">
        <v>8709</v>
      </c>
      <c r="CZ669" s="3070">
        <v>213894.57</v>
      </c>
      <c r="DA669" s="3070">
        <v>159426.93</v>
      </c>
      <c r="DB669" s="3070">
        <v>0</v>
      </c>
      <c r="DC669" s="3070">
        <v>0</v>
      </c>
      <c r="DD669" s="3070">
        <v>3290547602</v>
      </c>
      <c r="DE669" s="3070">
        <v>2764253109</v>
      </c>
      <c r="DF669" s="3070">
        <v>1464966739</v>
      </c>
      <c r="DG669" s="3070">
        <v>14938370</v>
      </c>
      <c r="DH669" s="3070">
        <v>1284348000</v>
      </c>
      <c r="DI669" s="3070">
        <v>1278128000</v>
      </c>
      <c r="DJ669" s="3070">
        <v>6220000</v>
      </c>
      <c r="DK669" s="3070">
        <v>0</v>
      </c>
      <c r="DL669" s="3070">
        <v>0</v>
      </c>
      <c r="DM669" s="3070">
        <v>25491817.620000001</v>
      </c>
      <c r="DN669" s="3070">
        <v>2764253109</v>
      </c>
      <c r="DP669" s="3070">
        <v>2764253109</v>
      </c>
    </row>
    <row r="670" spans="1:120">
      <c r="A670" s="3070">
        <v>669</v>
      </c>
      <c r="B670" s="3070" t="s">
        <v>3224</v>
      </c>
      <c r="C670" s="3070">
        <v>8</v>
      </c>
      <c r="D670" s="3070">
        <v>1</v>
      </c>
      <c r="E670" s="3070">
        <v>1101</v>
      </c>
      <c r="F670" s="3070" t="s">
        <v>8710</v>
      </c>
      <c r="G670" s="3070" t="s">
        <v>8711</v>
      </c>
      <c r="H670" s="3070">
        <v>1638860</v>
      </c>
      <c r="I670" s="3070">
        <v>1638860</v>
      </c>
      <c r="J670" s="3070">
        <v>120.15</v>
      </c>
      <c r="K670" s="3070">
        <v>88.57</v>
      </c>
      <c r="L670" s="3070">
        <v>0</v>
      </c>
      <c r="M670" s="3070">
        <v>0</v>
      </c>
      <c r="N670" s="3070">
        <v>15894.44</v>
      </c>
      <c r="O670" s="3070">
        <v>1909717</v>
      </c>
      <c r="P670" s="3070">
        <v>13640.12</v>
      </c>
      <c r="Q670" s="3070">
        <v>1638860</v>
      </c>
      <c r="R670" s="3070" t="s">
        <v>3227</v>
      </c>
      <c r="S670" s="3070" t="s">
        <v>8712</v>
      </c>
      <c r="T670" s="3070" t="s">
        <v>3246</v>
      </c>
      <c r="U670" s="3070" t="s">
        <v>3247</v>
      </c>
      <c r="V670" s="3070" t="s">
        <v>3230</v>
      </c>
      <c r="Y670" s="3070">
        <v>918860</v>
      </c>
      <c r="Z670" s="3070">
        <v>163886</v>
      </c>
      <c r="AA670" s="3070">
        <v>918860</v>
      </c>
      <c r="AB670" s="3070">
        <v>0</v>
      </c>
      <c r="AC670" s="3070">
        <v>720000</v>
      </c>
      <c r="AD670" s="3070">
        <v>720000</v>
      </c>
      <c r="AE670" s="3070">
        <v>0</v>
      </c>
      <c r="AI670" s="3070" t="s">
        <v>3227</v>
      </c>
      <c r="AJ670" s="3070">
        <v>0</v>
      </c>
      <c r="AK670" s="3070">
        <v>0</v>
      </c>
      <c r="AL670" s="3070">
        <v>0</v>
      </c>
      <c r="AM670" s="3070">
        <v>13640.12</v>
      </c>
      <c r="AN670" s="3070">
        <v>1638860</v>
      </c>
      <c r="AP670" s="3070">
        <v>1638860</v>
      </c>
      <c r="AQ670" s="3072">
        <v>45230</v>
      </c>
      <c r="AT670" s="3073">
        <v>45770</v>
      </c>
      <c r="AV670" s="3070" t="s">
        <v>8713</v>
      </c>
      <c r="AW670" s="3070" t="s">
        <v>8714</v>
      </c>
      <c r="AX670" s="3070" t="s">
        <v>8715</v>
      </c>
      <c r="AY670" s="3070" t="s">
        <v>3346</v>
      </c>
      <c r="BC670" s="3070" t="s">
        <v>8716</v>
      </c>
      <c r="BD670" s="3070" t="s">
        <v>3075</v>
      </c>
      <c r="BI670" s="3070" t="s">
        <v>3235</v>
      </c>
      <c r="BJ670" s="3070" t="s">
        <v>3338</v>
      </c>
      <c r="BL670" s="3070" t="s">
        <v>8717</v>
      </c>
      <c r="BM670" s="3075">
        <v>44409</v>
      </c>
      <c r="BN670" s="3070">
        <v>-11</v>
      </c>
      <c r="BO670" s="3070" t="s">
        <v>3253</v>
      </c>
      <c r="BR670" s="3070">
        <v>0</v>
      </c>
      <c r="BS670" s="3070" t="s">
        <v>3238</v>
      </c>
      <c r="BT670" s="3070" t="s">
        <v>3481</v>
      </c>
      <c r="BZ670" s="3073">
        <v>44159.585416666669</v>
      </c>
      <c r="CA670" s="3070">
        <v>8</v>
      </c>
      <c r="CB670" s="3070" t="s">
        <v>3481</v>
      </c>
      <c r="CD670" s="3070" t="s">
        <v>3239</v>
      </c>
      <c r="CF670" s="3070" t="s">
        <v>3091</v>
      </c>
      <c r="CH670" s="3070" t="s">
        <v>3240</v>
      </c>
      <c r="CI670" s="3070">
        <v>0</v>
      </c>
      <c r="CK670" s="3070" t="s">
        <v>3346</v>
      </c>
      <c r="CL670" s="3070" t="s">
        <v>3346</v>
      </c>
      <c r="CM670" s="3070">
        <v>1503541.28</v>
      </c>
      <c r="CV670" s="3070" t="s">
        <v>3246</v>
      </c>
      <c r="CW670" s="3070" t="s">
        <v>8718</v>
      </c>
      <c r="CZ670" s="3070">
        <v>213894.57</v>
      </c>
      <c r="DA670" s="3070">
        <v>159426.93</v>
      </c>
      <c r="DB670" s="3070">
        <v>0</v>
      </c>
      <c r="DC670" s="3070">
        <v>0</v>
      </c>
      <c r="DD670" s="3070">
        <v>3290547602</v>
      </c>
      <c r="DE670" s="3070">
        <v>2764253109</v>
      </c>
      <c r="DF670" s="3070">
        <v>1464966739</v>
      </c>
      <c r="DG670" s="3070">
        <v>14938370</v>
      </c>
      <c r="DH670" s="3070">
        <v>1284348000</v>
      </c>
      <c r="DI670" s="3070">
        <v>1278128000</v>
      </c>
      <c r="DJ670" s="3070">
        <v>6220000</v>
      </c>
      <c r="DK670" s="3070">
        <v>0</v>
      </c>
      <c r="DL670" s="3070">
        <v>0</v>
      </c>
      <c r="DM670" s="3070">
        <v>25491817.620000001</v>
      </c>
      <c r="DN670" s="3070">
        <v>2764253109</v>
      </c>
      <c r="DP670" s="3070">
        <v>2764253109</v>
      </c>
    </row>
    <row r="671" spans="1:120">
      <c r="A671" s="3070">
        <v>670</v>
      </c>
      <c r="B671" s="3070" t="s">
        <v>3224</v>
      </c>
      <c r="C671" s="3070">
        <v>8</v>
      </c>
      <c r="D671" s="3070">
        <v>1</v>
      </c>
      <c r="E671" s="3070">
        <v>1102</v>
      </c>
      <c r="F671" s="3070" t="s">
        <v>8719</v>
      </c>
      <c r="G671" s="3070" t="s">
        <v>8720</v>
      </c>
      <c r="H671" s="3070">
        <v>1110230</v>
      </c>
      <c r="I671" s="3070">
        <v>1110230</v>
      </c>
      <c r="J671" s="3070">
        <v>84.62</v>
      </c>
      <c r="K671" s="3070">
        <v>62.38</v>
      </c>
      <c r="L671" s="3070">
        <v>0</v>
      </c>
      <c r="M671" s="3070">
        <v>0</v>
      </c>
      <c r="N671" s="3070">
        <v>16083.44</v>
      </c>
      <c r="O671" s="3070">
        <v>1360981</v>
      </c>
      <c r="P671" s="3070">
        <v>13120.18</v>
      </c>
      <c r="Q671" s="3070">
        <v>1110230</v>
      </c>
      <c r="R671" s="3070" t="s">
        <v>3227</v>
      </c>
      <c r="S671" s="3070" t="s">
        <v>8721</v>
      </c>
      <c r="T671" s="3070" t="s">
        <v>3494</v>
      </c>
      <c r="V671" s="3070" t="s">
        <v>3230</v>
      </c>
      <c r="Y671" s="3070">
        <v>111023</v>
      </c>
      <c r="Z671" s="3070">
        <v>111023</v>
      </c>
      <c r="AA671" s="3070">
        <v>1110230</v>
      </c>
      <c r="AB671" s="3070">
        <v>0</v>
      </c>
      <c r="AC671" s="3070">
        <v>0</v>
      </c>
      <c r="AD671" s="3070">
        <v>0</v>
      </c>
      <c r="AE671" s="3070">
        <v>0</v>
      </c>
      <c r="AI671" s="3070" t="s">
        <v>3227</v>
      </c>
      <c r="AJ671" s="3070">
        <v>0</v>
      </c>
      <c r="AK671" s="3070">
        <v>0</v>
      </c>
      <c r="AL671" s="3070">
        <v>0</v>
      </c>
      <c r="AM671" s="3070">
        <v>13120.18</v>
      </c>
      <c r="AN671" s="3070">
        <v>1110230</v>
      </c>
      <c r="AP671" s="3070">
        <v>1110230</v>
      </c>
      <c r="AQ671" s="3072">
        <v>45230</v>
      </c>
      <c r="AT671" s="3073">
        <v>45770</v>
      </c>
      <c r="AV671" s="3074">
        <v>3.21E+17</v>
      </c>
      <c r="AW671" s="3070" t="s">
        <v>8722</v>
      </c>
      <c r="AX671" s="3070" t="s">
        <v>8723</v>
      </c>
      <c r="AY671" s="3070" t="s">
        <v>3306</v>
      </c>
      <c r="BC671" s="3070" t="s">
        <v>8724</v>
      </c>
      <c r="BD671" s="3070" t="s">
        <v>3076</v>
      </c>
      <c r="BI671" s="3070" t="s">
        <v>3235</v>
      </c>
      <c r="BJ671" s="3070" t="s">
        <v>3328</v>
      </c>
      <c r="BL671" s="3070" t="s">
        <v>8725</v>
      </c>
      <c r="BM671" s="3075">
        <v>44409</v>
      </c>
      <c r="BN671" s="3070">
        <v>-11</v>
      </c>
      <c r="BR671" s="3070">
        <v>0</v>
      </c>
      <c r="BS671" s="3070" t="s">
        <v>3238</v>
      </c>
      <c r="BZ671" s="3073">
        <v>44153.695138888892</v>
      </c>
      <c r="CA671" s="3070">
        <v>8</v>
      </c>
      <c r="CD671" s="3070" t="s">
        <v>3239</v>
      </c>
      <c r="CF671" s="3070" t="s">
        <v>3091</v>
      </c>
      <c r="CH671" s="3070" t="s">
        <v>3240</v>
      </c>
      <c r="CI671" s="3070">
        <v>0</v>
      </c>
      <c r="CK671" s="3070" t="s">
        <v>3419</v>
      </c>
      <c r="CL671" s="3070" t="s">
        <v>3306</v>
      </c>
      <c r="CM671" s="3070">
        <v>1018559.63</v>
      </c>
      <c r="CV671" s="3070" t="s">
        <v>3494</v>
      </c>
      <c r="CW671" s="3070" t="s">
        <v>8726</v>
      </c>
      <c r="CX671" s="3070" t="s">
        <v>3242</v>
      </c>
      <c r="CZ671" s="3070">
        <v>213894.57</v>
      </c>
      <c r="DA671" s="3070">
        <v>159426.93</v>
      </c>
      <c r="DB671" s="3070">
        <v>0</v>
      </c>
      <c r="DC671" s="3070">
        <v>0</v>
      </c>
      <c r="DD671" s="3070">
        <v>3290547602</v>
      </c>
      <c r="DE671" s="3070">
        <v>2764253109</v>
      </c>
      <c r="DF671" s="3070">
        <v>1464966739</v>
      </c>
      <c r="DG671" s="3070">
        <v>14938370</v>
      </c>
      <c r="DH671" s="3070">
        <v>1284348000</v>
      </c>
      <c r="DI671" s="3070">
        <v>1278128000</v>
      </c>
      <c r="DJ671" s="3070">
        <v>6220000</v>
      </c>
      <c r="DK671" s="3070">
        <v>0</v>
      </c>
      <c r="DL671" s="3070">
        <v>0</v>
      </c>
      <c r="DM671" s="3070">
        <v>25491817.620000001</v>
      </c>
      <c r="DN671" s="3070">
        <v>2764253109</v>
      </c>
      <c r="DP671" s="3070">
        <v>2764253109</v>
      </c>
    </row>
    <row r="672" spans="1:120">
      <c r="A672" s="3070">
        <v>671</v>
      </c>
      <c r="B672" s="3070" t="s">
        <v>3224</v>
      </c>
      <c r="C672" s="3070">
        <v>8</v>
      </c>
      <c r="D672" s="3070">
        <v>1</v>
      </c>
      <c r="E672" s="3070">
        <v>1103</v>
      </c>
      <c r="F672" s="3070" t="s">
        <v>8727</v>
      </c>
      <c r="G672" s="3070" t="s">
        <v>8728</v>
      </c>
      <c r="H672" s="3070">
        <v>1110230</v>
      </c>
      <c r="I672" s="3070">
        <v>1110230</v>
      </c>
      <c r="J672" s="3070">
        <v>84.62</v>
      </c>
      <c r="K672" s="3070">
        <v>62.38</v>
      </c>
      <c r="L672" s="3070">
        <v>0</v>
      </c>
      <c r="M672" s="3070">
        <v>0</v>
      </c>
      <c r="N672" s="3070">
        <v>16083.44</v>
      </c>
      <c r="O672" s="3070">
        <v>1360981</v>
      </c>
      <c r="P672" s="3070">
        <v>13120.18</v>
      </c>
      <c r="Q672" s="3070">
        <v>1110230</v>
      </c>
      <c r="R672" s="3070" t="s">
        <v>3227</v>
      </c>
      <c r="S672" s="3070" t="s">
        <v>8729</v>
      </c>
      <c r="T672" s="3070" t="s">
        <v>3258</v>
      </c>
      <c r="U672" s="3070" t="s">
        <v>3259</v>
      </c>
      <c r="V672" s="3070" t="s">
        <v>3230</v>
      </c>
      <c r="Y672" s="3070">
        <v>500230</v>
      </c>
      <c r="Z672" s="3070">
        <v>500230</v>
      </c>
      <c r="AA672" s="3070">
        <v>500230</v>
      </c>
      <c r="AB672" s="3070">
        <v>0</v>
      </c>
      <c r="AC672" s="3070">
        <v>610000</v>
      </c>
      <c r="AD672" s="3070">
        <v>610000</v>
      </c>
      <c r="AE672" s="3070">
        <v>0</v>
      </c>
      <c r="AI672" s="3070" t="s">
        <v>3227</v>
      </c>
      <c r="AJ672" s="3070">
        <v>0</v>
      </c>
      <c r="AK672" s="3070">
        <v>0</v>
      </c>
      <c r="AL672" s="3070">
        <v>0</v>
      </c>
      <c r="AM672" s="3070">
        <v>13120.18</v>
      </c>
      <c r="AN672" s="3070">
        <v>1110230</v>
      </c>
      <c r="AP672" s="3070">
        <v>1110230</v>
      </c>
      <c r="AQ672" s="3072">
        <v>45230</v>
      </c>
      <c r="AT672" s="3073">
        <v>45770</v>
      </c>
      <c r="AV672" s="3074">
        <v>3.21E+17</v>
      </c>
      <c r="AW672" s="3070" t="s">
        <v>8730</v>
      </c>
      <c r="AX672" s="3070" t="s">
        <v>8731</v>
      </c>
      <c r="AY672" s="3070" t="s">
        <v>3375</v>
      </c>
      <c r="BC672" s="3070" t="s">
        <v>3263</v>
      </c>
      <c r="BD672" s="3070" t="s">
        <v>3076</v>
      </c>
      <c r="BI672" s="3070" t="s">
        <v>3235</v>
      </c>
      <c r="BL672" s="3070" t="s">
        <v>8732</v>
      </c>
      <c r="BM672" s="3075">
        <v>44409</v>
      </c>
      <c r="BN672" s="3070">
        <v>-11</v>
      </c>
      <c r="BO672" s="3070" t="s">
        <v>3253</v>
      </c>
      <c r="BP672" s="3070" t="s">
        <v>3253</v>
      </c>
      <c r="BR672" s="3070">
        <v>802</v>
      </c>
      <c r="BS672" s="3070" t="s">
        <v>3238</v>
      </c>
      <c r="BZ672" s="3073">
        <v>44148.43472222222</v>
      </c>
      <c r="CA672" s="3070">
        <v>8</v>
      </c>
      <c r="CD672" s="3070" t="s">
        <v>3239</v>
      </c>
      <c r="CF672" s="3070" t="s">
        <v>3091</v>
      </c>
      <c r="CH672" s="3070" t="s">
        <v>3240</v>
      </c>
      <c r="CI672" s="3070">
        <v>0</v>
      </c>
      <c r="CJ672" s="3070" t="s">
        <v>3259</v>
      </c>
      <c r="CK672" s="3070" t="s">
        <v>3375</v>
      </c>
      <c r="CL672" s="3070" t="s">
        <v>3375</v>
      </c>
      <c r="CM672" s="3070">
        <v>1018559.63</v>
      </c>
      <c r="CV672" s="3070" t="s">
        <v>3258</v>
      </c>
      <c r="CW672" s="3070" t="s">
        <v>8733</v>
      </c>
      <c r="CX672" s="3070" t="s">
        <v>3350</v>
      </c>
      <c r="CZ672" s="3070">
        <v>213894.57</v>
      </c>
      <c r="DA672" s="3070">
        <v>159426.93</v>
      </c>
      <c r="DB672" s="3070">
        <v>0</v>
      </c>
      <c r="DC672" s="3070">
        <v>0</v>
      </c>
      <c r="DD672" s="3070">
        <v>3290547602</v>
      </c>
      <c r="DE672" s="3070">
        <v>2764253109</v>
      </c>
      <c r="DF672" s="3070">
        <v>1464966739</v>
      </c>
      <c r="DG672" s="3070">
        <v>14938370</v>
      </c>
      <c r="DH672" s="3070">
        <v>1284348000</v>
      </c>
      <c r="DI672" s="3070">
        <v>1278128000</v>
      </c>
      <c r="DJ672" s="3070">
        <v>6220000</v>
      </c>
      <c r="DK672" s="3070">
        <v>0</v>
      </c>
      <c r="DL672" s="3070">
        <v>0</v>
      </c>
      <c r="DM672" s="3070">
        <v>25491817.620000001</v>
      </c>
      <c r="DN672" s="3070">
        <v>2764253109</v>
      </c>
      <c r="DP672" s="3070">
        <v>2764253109</v>
      </c>
    </row>
    <row r="673" spans="1:120">
      <c r="A673" s="3070">
        <v>672</v>
      </c>
      <c r="B673" s="3070" t="s">
        <v>3224</v>
      </c>
      <c r="C673" s="3070">
        <v>8</v>
      </c>
      <c r="D673" s="3070">
        <v>1</v>
      </c>
      <c r="E673" s="3070">
        <v>1104</v>
      </c>
      <c r="F673" s="3070" t="s">
        <v>8734</v>
      </c>
      <c r="G673" s="3070" t="s">
        <v>8735</v>
      </c>
      <c r="H673" s="3070">
        <v>1487867</v>
      </c>
      <c r="I673" s="3070">
        <v>1487867</v>
      </c>
      <c r="J673" s="3070">
        <v>108.82</v>
      </c>
      <c r="K673" s="3070">
        <v>80.22</v>
      </c>
      <c r="L673" s="3070">
        <v>0</v>
      </c>
      <c r="M673" s="3070">
        <v>0</v>
      </c>
      <c r="N673" s="3070">
        <v>15984.44</v>
      </c>
      <c r="O673" s="3070">
        <v>1739427</v>
      </c>
      <c r="P673" s="3070">
        <v>13672.73</v>
      </c>
      <c r="Q673" s="3070">
        <v>1487867</v>
      </c>
      <c r="R673" s="3070" t="s">
        <v>3227</v>
      </c>
      <c r="S673" s="3070" t="s">
        <v>8736</v>
      </c>
      <c r="T673" s="3070" t="s">
        <v>3494</v>
      </c>
      <c r="V673" s="3070" t="s">
        <v>3230</v>
      </c>
      <c r="Y673" s="3070">
        <v>148787</v>
      </c>
      <c r="Z673" s="3070">
        <v>148787</v>
      </c>
      <c r="AA673" s="3070">
        <v>1487867</v>
      </c>
      <c r="AB673" s="3070">
        <v>0</v>
      </c>
      <c r="AC673" s="3070">
        <v>0</v>
      </c>
      <c r="AD673" s="3070">
        <v>0</v>
      </c>
      <c r="AE673" s="3070">
        <v>0</v>
      </c>
      <c r="AI673" s="3070" t="s">
        <v>3227</v>
      </c>
      <c r="AJ673" s="3070">
        <v>0</v>
      </c>
      <c r="AK673" s="3070">
        <v>0</v>
      </c>
      <c r="AL673" s="3070">
        <v>0</v>
      </c>
      <c r="AM673" s="3070">
        <v>13672.73</v>
      </c>
      <c r="AN673" s="3070">
        <v>1487867</v>
      </c>
      <c r="AP673" s="3070">
        <v>1487867</v>
      </c>
      <c r="AQ673" s="3072">
        <v>45230</v>
      </c>
      <c r="AT673" s="3073">
        <v>45770</v>
      </c>
      <c r="AV673" s="3070" t="s">
        <v>8737</v>
      </c>
      <c r="AW673" s="3070" t="s">
        <v>8738</v>
      </c>
      <c r="AX673" s="3070" t="s">
        <v>8739</v>
      </c>
      <c r="AY673" s="3070" t="s">
        <v>3411</v>
      </c>
      <c r="BA673" s="3070" t="s">
        <v>3411</v>
      </c>
      <c r="BC673" s="3070" t="s">
        <v>4672</v>
      </c>
      <c r="BD673" s="3070" t="s">
        <v>3077</v>
      </c>
      <c r="BI673" s="3070" t="s">
        <v>3235</v>
      </c>
      <c r="BL673" s="3070" t="s">
        <v>8740</v>
      </c>
      <c r="BM673" s="3075">
        <v>44409</v>
      </c>
      <c r="BN673" s="3070">
        <v>-11</v>
      </c>
      <c r="BR673" s="3070">
        <v>18</v>
      </c>
      <c r="BS673" s="3070" t="s">
        <v>3238</v>
      </c>
      <c r="BU673" s="3070" t="s">
        <v>3411</v>
      </c>
      <c r="BV673" s="3070" t="s">
        <v>8741</v>
      </c>
      <c r="BZ673" s="3073">
        <v>44184.816666666666</v>
      </c>
      <c r="CA673" s="3070">
        <v>8</v>
      </c>
      <c r="CD673" s="3070" t="s">
        <v>3239</v>
      </c>
      <c r="CF673" s="3070" t="s">
        <v>3091</v>
      </c>
      <c r="CH673" s="3070" t="s">
        <v>3240</v>
      </c>
      <c r="CI673" s="3070">
        <v>0</v>
      </c>
      <c r="CK673" s="3070" t="s">
        <v>3411</v>
      </c>
      <c r="CL673" s="3070" t="s">
        <v>3411</v>
      </c>
      <c r="CM673" s="3070">
        <v>1365015.6</v>
      </c>
      <c r="CV673" s="3070" t="s">
        <v>3494</v>
      </c>
      <c r="CW673" s="3070" t="s">
        <v>8742</v>
      </c>
      <c r="CZ673" s="3070">
        <v>213894.57</v>
      </c>
      <c r="DA673" s="3070">
        <v>159426.93</v>
      </c>
      <c r="DB673" s="3070">
        <v>0</v>
      </c>
      <c r="DC673" s="3070">
        <v>0</v>
      </c>
      <c r="DD673" s="3070">
        <v>3290547602</v>
      </c>
      <c r="DE673" s="3070">
        <v>2764253109</v>
      </c>
      <c r="DF673" s="3070">
        <v>1464966739</v>
      </c>
      <c r="DG673" s="3070">
        <v>14938370</v>
      </c>
      <c r="DH673" s="3070">
        <v>1284348000</v>
      </c>
      <c r="DI673" s="3070">
        <v>1278128000</v>
      </c>
      <c r="DJ673" s="3070">
        <v>6220000</v>
      </c>
      <c r="DK673" s="3070">
        <v>0</v>
      </c>
      <c r="DL673" s="3070">
        <v>0</v>
      </c>
      <c r="DM673" s="3070">
        <v>25491817.620000001</v>
      </c>
      <c r="DN673" s="3070">
        <v>2764253109</v>
      </c>
      <c r="DP673" s="3070">
        <v>2764253109</v>
      </c>
    </row>
    <row r="674" spans="1:120">
      <c r="A674" s="3070">
        <v>673</v>
      </c>
      <c r="B674" s="3070" t="s">
        <v>3224</v>
      </c>
      <c r="C674" s="3070">
        <v>8</v>
      </c>
      <c r="D674" s="3070">
        <v>2</v>
      </c>
      <c r="E674" s="3070">
        <v>1105</v>
      </c>
      <c r="F674" s="3070" t="s">
        <v>8743</v>
      </c>
      <c r="G674" s="3070" t="s">
        <v>5792</v>
      </c>
      <c r="H674" s="3070">
        <v>1417497</v>
      </c>
      <c r="I674" s="3070">
        <v>1417497</v>
      </c>
      <c r="J674" s="3070">
        <v>108.82</v>
      </c>
      <c r="K674" s="3070">
        <v>80.22</v>
      </c>
      <c r="L674" s="3070">
        <v>0</v>
      </c>
      <c r="M674" s="3070">
        <v>0</v>
      </c>
      <c r="N674" s="3070">
        <v>15984.44</v>
      </c>
      <c r="O674" s="3070">
        <v>1739427</v>
      </c>
      <c r="P674" s="3070">
        <v>13026.07</v>
      </c>
      <c r="Q674" s="3070">
        <v>1417497</v>
      </c>
      <c r="R674" s="3070" t="s">
        <v>3227</v>
      </c>
      <c r="S674" s="3070" t="s">
        <v>8744</v>
      </c>
      <c r="T674" s="3070" t="s">
        <v>3246</v>
      </c>
      <c r="U674" s="3070" t="s">
        <v>3539</v>
      </c>
      <c r="V674" s="3070" t="s">
        <v>3230</v>
      </c>
      <c r="Y674" s="3070">
        <v>427497</v>
      </c>
      <c r="Z674" s="3070">
        <v>427497</v>
      </c>
      <c r="AA674" s="3070">
        <v>427497</v>
      </c>
      <c r="AB674" s="3070">
        <v>0</v>
      </c>
      <c r="AC674" s="3070">
        <v>990000</v>
      </c>
      <c r="AD674" s="3070">
        <v>990000</v>
      </c>
      <c r="AE674" s="3070">
        <v>0</v>
      </c>
      <c r="AI674" s="3070" t="s">
        <v>3227</v>
      </c>
      <c r="AJ674" s="3070">
        <v>0</v>
      </c>
      <c r="AK674" s="3070">
        <v>0</v>
      </c>
      <c r="AL674" s="3070">
        <v>0</v>
      </c>
      <c r="AM674" s="3070">
        <v>13026.07</v>
      </c>
      <c r="AN674" s="3070">
        <v>1417497</v>
      </c>
      <c r="AP674" s="3070">
        <v>1417497</v>
      </c>
      <c r="AQ674" s="3072">
        <v>45230</v>
      </c>
      <c r="AT674" s="3073">
        <v>45770</v>
      </c>
      <c r="AV674" s="3074">
        <v>1.3E+17</v>
      </c>
      <c r="AW674" s="3070" t="s">
        <v>5794</v>
      </c>
      <c r="AX674" s="3070" t="s">
        <v>5795</v>
      </c>
      <c r="AY674" s="3070" t="s">
        <v>3648</v>
      </c>
      <c r="BC674" s="3070" t="s">
        <v>3251</v>
      </c>
      <c r="BD674" s="3070" t="s">
        <v>3077</v>
      </c>
      <c r="BI674" s="3070" t="s">
        <v>3295</v>
      </c>
      <c r="BL674" s="3070" t="s">
        <v>8745</v>
      </c>
      <c r="BM674" s="3075">
        <v>44410</v>
      </c>
      <c r="BN674" s="3070">
        <v>-11</v>
      </c>
      <c r="BO674" s="3070" t="s">
        <v>3253</v>
      </c>
      <c r="BR674" s="3070">
        <v>814</v>
      </c>
      <c r="BS674" s="3070" t="s">
        <v>3238</v>
      </c>
      <c r="BZ674" s="3073">
        <v>44145.47152777778</v>
      </c>
      <c r="CA674" s="3070">
        <v>8</v>
      </c>
      <c r="CD674" s="3070" t="s">
        <v>3239</v>
      </c>
      <c r="CF674" s="3070" t="s">
        <v>3091</v>
      </c>
      <c r="CH674" s="3070" t="s">
        <v>3240</v>
      </c>
      <c r="CI674" s="3070">
        <v>0</v>
      </c>
      <c r="CK674" s="3070" t="s">
        <v>3648</v>
      </c>
      <c r="CL674" s="3070" t="s">
        <v>3648</v>
      </c>
      <c r="CM674" s="3070">
        <v>1300455.96</v>
      </c>
      <c r="CV674" s="3070" t="s">
        <v>3246</v>
      </c>
      <c r="CW674" s="3070" t="s">
        <v>8746</v>
      </c>
      <c r="CZ674" s="3070">
        <v>213894.57</v>
      </c>
      <c r="DA674" s="3070">
        <v>159426.93</v>
      </c>
      <c r="DB674" s="3070">
        <v>0</v>
      </c>
      <c r="DC674" s="3070">
        <v>0</v>
      </c>
      <c r="DD674" s="3070">
        <v>3290547602</v>
      </c>
      <c r="DE674" s="3070">
        <v>2764253109</v>
      </c>
      <c r="DF674" s="3070">
        <v>1464966739</v>
      </c>
      <c r="DG674" s="3070">
        <v>14938370</v>
      </c>
      <c r="DH674" s="3070">
        <v>1284348000</v>
      </c>
      <c r="DI674" s="3070">
        <v>1278128000</v>
      </c>
      <c r="DJ674" s="3070">
        <v>6220000</v>
      </c>
      <c r="DK674" s="3070">
        <v>0</v>
      </c>
      <c r="DL674" s="3070">
        <v>0</v>
      </c>
      <c r="DM674" s="3070">
        <v>25491817.620000001</v>
      </c>
      <c r="DN674" s="3070">
        <v>2764253109</v>
      </c>
      <c r="DP674" s="3070">
        <v>2764253109</v>
      </c>
    </row>
    <row r="675" spans="1:120">
      <c r="A675" s="3070">
        <v>674</v>
      </c>
      <c r="B675" s="3070" t="s">
        <v>3224</v>
      </c>
      <c r="C675" s="3070">
        <v>8</v>
      </c>
      <c r="D675" s="3070">
        <v>2</v>
      </c>
      <c r="E675" s="3070">
        <v>1106</v>
      </c>
      <c r="F675" s="3070" t="s">
        <v>8747</v>
      </c>
      <c r="G675" s="3070" t="s">
        <v>8748</v>
      </c>
      <c r="H675" s="3070">
        <v>1146356</v>
      </c>
      <c r="I675" s="3070">
        <v>1146356</v>
      </c>
      <c r="J675" s="3070">
        <v>84.62</v>
      </c>
      <c r="K675" s="3070">
        <v>62.38</v>
      </c>
      <c r="L675" s="3070">
        <v>0</v>
      </c>
      <c r="M675" s="3070">
        <v>0</v>
      </c>
      <c r="N675" s="3070">
        <v>16083.44</v>
      </c>
      <c r="O675" s="3070">
        <v>1360981</v>
      </c>
      <c r="P675" s="3070">
        <v>13547.1</v>
      </c>
      <c r="Q675" s="3070">
        <v>1146356</v>
      </c>
      <c r="R675" s="3070" t="s">
        <v>3227</v>
      </c>
      <c r="S675" s="3070" t="s">
        <v>8749</v>
      </c>
      <c r="T675" s="3070" t="s">
        <v>3425</v>
      </c>
      <c r="V675" s="3070" t="s">
        <v>3230</v>
      </c>
      <c r="Y675" s="3070">
        <v>696356</v>
      </c>
      <c r="Z675" s="3070">
        <v>115636</v>
      </c>
      <c r="AA675" s="3070">
        <v>696356</v>
      </c>
      <c r="AB675" s="3070">
        <v>0</v>
      </c>
      <c r="AC675" s="3070">
        <v>450000</v>
      </c>
      <c r="AD675" s="3070">
        <v>450000</v>
      </c>
      <c r="AE675" s="3070">
        <v>0</v>
      </c>
      <c r="AI675" s="3070" t="s">
        <v>3227</v>
      </c>
      <c r="AJ675" s="3070">
        <v>0</v>
      </c>
      <c r="AK675" s="3070">
        <v>0</v>
      </c>
      <c r="AL675" s="3070">
        <v>0</v>
      </c>
      <c r="AM675" s="3070">
        <v>13547.1</v>
      </c>
      <c r="AN675" s="3070">
        <v>1146356</v>
      </c>
      <c r="AP675" s="3070">
        <v>1146356</v>
      </c>
      <c r="AQ675" s="3072">
        <v>45230</v>
      </c>
      <c r="AT675" s="3073">
        <v>45770</v>
      </c>
      <c r="AV675" s="3074">
        <v>3.21E+17</v>
      </c>
      <c r="AW675" s="3070" t="s">
        <v>8750</v>
      </c>
      <c r="AX675" s="3070" t="s">
        <v>8751</v>
      </c>
      <c r="AY675" s="3070" t="s">
        <v>3429</v>
      </c>
      <c r="BC675" s="3070" t="s">
        <v>8752</v>
      </c>
      <c r="BD675" s="3070" t="s">
        <v>3076</v>
      </c>
      <c r="BI675" s="3070" t="s">
        <v>3235</v>
      </c>
      <c r="BL675" s="3070" t="s">
        <v>8753</v>
      </c>
      <c r="BM675" s="3075">
        <v>44410</v>
      </c>
      <c r="BN675" s="3070">
        <v>-11</v>
      </c>
      <c r="BP675" s="3070" t="s">
        <v>3253</v>
      </c>
      <c r="BR675" s="3070">
        <v>15</v>
      </c>
      <c r="BS675" s="3070" t="s">
        <v>3238</v>
      </c>
      <c r="BT675" s="3070" t="s">
        <v>3481</v>
      </c>
      <c r="BV675" s="3070" t="s">
        <v>8754</v>
      </c>
      <c r="BZ675" s="3073">
        <v>44169.705555555556</v>
      </c>
      <c r="CA675" s="3070">
        <v>8</v>
      </c>
      <c r="CB675" s="3070" t="s">
        <v>3481</v>
      </c>
      <c r="CD675" s="3070" t="s">
        <v>3239</v>
      </c>
      <c r="CF675" s="3070" t="s">
        <v>3091</v>
      </c>
      <c r="CH675" s="3070" t="s">
        <v>3240</v>
      </c>
      <c r="CI675" s="3070">
        <v>0</v>
      </c>
      <c r="CJ675" s="3070" t="s">
        <v>3259</v>
      </c>
      <c r="CK675" s="3070" t="s">
        <v>3429</v>
      </c>
      <c r="CL675" s="3070" t="s">
        <v>3429</v>
      </c>
      <c r="CM675" s="3070">
        <v>1051702.75</v>
      </c>
      <c r="CV675" s="3070" t="s">
        <v>3425</v>
      </c>
      <c r="CW675" s="3070" t="s">
        <v>8755</v>
      </c>
      <c r="CX675" s="3070" t="s">
        <v>3311</v>
      </c>
      <c r="CZ675" s="3070">
        <v>213894.57</v>
      </c>
      <c r="DA675" s="3070">
        <v>159426.93</v>
      </c>
      <c r="DB675" s="3070">
        <v>0</v>
      </c>
      <c r="DC675" s="3070">
        <v>0</v>
      </c>
      <c r="DD675" s="3070">
        <v>3290547602</v>
      </c>
      <c r="DE675" s="3070">
        <v>2764253109</v>
      </c>
      <c r="DF675" s="3070">
        <v>1464966739</v>
      </c>
      <c r="DG675" s="3070">
        <v>14938370</v>
      </c>
      <c r="DH675" s="3070">
        <v>1284348000</v>
      </c>
      <c r="DI675" s="3070">
        <v>1278128000</v>
      </c>
      <c r="DJ675" s="3070">
        <v>6220000</v>
      </c>
      <c r="DK675" s="3070">
        <v>0</v>
      </c>
      <c r="DL675" s="3070">
        <v>0</v>
      </c>
      <c r="DM675" s="3070">
        <v>25491817.620000001</v>
      </c>
      <c r="DN675" s="3070">
        <v>2764253109</v>
      </c>
      <c r="DP675" s="3070">
        <v>2764253109</v>
      </c>
    </row>
    <row r="676" spans="1:120">
      <c r="A676" s="3070">
        <v>675</v>
      </c>
      <c r="B676" s="3070" t="s">
        <v>3224</v>
      </c>
      <c r="C676" s="3070">
        <v>8</v>
      </c>
      <c r="D676" s="3070">
        <v>2</v>
      </c>
      <c r="E676" s="3070">
        <v>1107</v>
      </c>
      <c r="F676" s="3070" t="s">
        <v>8756</v>
      </c>
      <c r="G676" s="3070" t="s">
        <v>8757</v>
      </c>
      <c r="H676" s="3070">
        <v>1110230</v>
      </c>
      <c r="I676" s="3070">
        <v>1110230</v>
      </c>
      <c r="J676" s="3070">
        <v>84.62</v>
      </c>
      <c r="K676" s="3070">
        <v>62.38</v>
      </c>
      <c r="L676" s="3070">
        <v>0</v>
      </c>
      <c r="M676" s="3070">
        <v>0</v>
      </c>
      <c r="N676" s="3070">
        <v>16083.44</v>
      </c>
      <c r="O676" s="3070">
        <v>1360981</v>
      </c>
      <c r="P676" s="3070">
        <v>13120.18</v>
      </c>
      <c r="Q676" s="3070">
        <v>1110230</v>
      </c>
      <c r="R676" s="3070" t="s">
        <v>3227</v>
      </c>
      <c r="S676" s="3070" t="s">
        <v>8758</v>
      </c>
      <c r="T676" s="3070" t="s">
        <v>3246</v>
      </c>
      <c r="U676" s="3070" t="s">
        <v>3247</v>
      </c>
      <c r="V676" s="3070" t="s">
        <v>3230</v>
      </c>
      <c r="Y676" s="3070">
        <v>340230</v>
      </c>
      <c r="Z676" s="3070">
        <v>111023</v>
      </c>
      <c r="AA676" s="3070">
        <v>340230</v>
      </c>
      <c r="AB676" s="3070">
        <v>0</v>
      </c>
      <c r="AC676" s="3070">
        <v>770000</v>
      </c>
      <c r="AD676" s="3070">
        <v>770000</v>
      </c>
      <c r="AE676" s="3070">
        <v>0</v>
      </c>
      <c r="AI676" s="3070" t="s">
        <v>3227</v>
      </c>
      <c r="AJ676" s="3070">
        <v>0</v>
      </c>
      <c r="AK676" s="3070">
        <v>0</v>
      </c>
      <c r="AL676" s="3070">
        <v>0</v>
      </c>
      <c r="AM676" s="3070">
        <v>13120.18</v>
      </c>
      <c r="AN676" s="3070">
        <v>1110230</v>
      </c>
      <c r="AP676" s="3070">
        <v>1110230</v>
      </c>
      <c r="AQ676" s="3072">
        <v>45230</v>
      </c>
      <c r="AT676" s="3073">
        <v>45770</v>
      </c>
      <c r="AV676" s="3070" t="s">
        <v>8759</v>
      </c>
      <c r="AW676" s="3070" t="s">
        <v>8760</v>
      </c>
      <c r="AX676" s="3070" t="s">
        <v>8761</v>
      </c>
      <c r="AY676" s="3070" t="s">
        <v>3337</v>
      </c>
      <c r="BC676" s="3070" t="s">
        <v>3284</v>
      </c>
      <c r="BD676" s="3070" t="s">
        <v>3076</v>
      </c>
      <c r="BI676" s="3070" t="s">
        <v>3235</v>
      </c>
      <c r="BJ676" s="3070" t="s">
        <v>3328</v>
      </c>
      <c r="BL676" s="3070" t="s">
        <v>8762</v>
      </c>
      <c r="BM676" s="3075">
        <v>44410</v>
      </c>
      <c r="BN676" s="3070">
        <v>-11</v>
      </c>
      <c r="BO676" s="3070" t="s">
        <v>3253</v>
      </c>
      <c r="BR676" s="3070">
        <v>843</v>
      </c>
      <c r="BS676" s="3070" t="s">
        <v>3238</v>
      </c>
      <c r="BZ676" s="3073">
        <v>44153.82708333333</v>
      </c>
      <c r="CA676" s="3070">
        <v>8</v>
      </c>
      <c r="CD676" s="3070" t="s">
        <v>3239</v>
      </c>
      <c r="CF676" s="3070" t="s">
        <v>3091</v>
      </c>
      <c r="CH676" s="3070" t="s">
        <v>3240</v>
      </c>
      <c r="CI676" s="3070">
        <v>0</v>
      </c>
      <c r="CK676" s="3070" t="s">
        <v>3337</v>
      </c>
      <c r="CL676" s="3070" t="s">
        <v>3337</v>
      </c>
      <c r="CM676" s="3070">
        <v>1018559.63</v>
      </c>
      <c r="CV676" s="3070" t="s">
        <v>3246</v>
      </c>
      <c r="CW676" s="3070" t="s">
        <v>8763</v>
      </c>
      <c r="CX676" s="3070" t="s">
        <v>3311</v>
      </c>
      <c r="CZ676" s="3070">
        <v>213894.57</v>
      </c>
      <c r="DA676" s="3070">
        <v>159426.93</v>
      </c>
      <c r="DB676" s="3070">
        <v>0</v>
      </c>
      <c r="DC676" s="3070">
        <v>0</v>
      </c>
      <c r="DD676" s="3070">
        <v>3290547602</v>
      </c>
      <c r="DE676" s="3070">
        <v>2764253109</v>
      </c>
      <c r="DF676" s="3070">
        <v>1464966739</v>
      </c>
      <c r="DG676" s="3070">
        <v>14938370</v>
      </c>
      <c r="DH676" s="3070">
        <v>1284348000</v>
      </c>
      <c r="DI676" s="3070">
        <v>1278128000</v>
      </c>
      <c r="DJ676" s="3070">
        <v>6220000</v>
      </c>
      <c r="DK676" s="3070">
        <v>0</v>
      </c>
      <c r="DL676" s="3070">
        <v>0</v>
      </c>
      <c r="DM676" s="3070">
        <v>25491817.620000001</v>
      </c>
      <c r="DN676" s="3070">
        <v>2764253109</v>
      </c>
      <c r="DP676" s="3070">
        <v>2764253109</v>
      </c>
    </row>
    <row r="677" spans="1:120">
      <c r="A677" s="3070">
        <v>676</v>
      </c>
      <c r="B677" s="3070" t="s">
        <v>3224</v>
      </c>
      <c r="C677" s="3070">
        <v>8</v>
      </c>
      <c r="D677" s="3070">
        <v>2</v>
      </c>
      <c r="E677" s="3070">
        <v>1108</v>
      </c>
      <c r="F677" s="3070" t="s">
        <v>8764</v>
      </c>
      <c r="G677" s="3070" t="s">
        <v>8765</v>
      </c>
      <c r="H677" s="3070">
        <v>1556258</v>
      </c>
      <c r="I677" s="3070">
        <v>1556258</v>
      </c>
      <c r="J677" s="3070">
        <v>120.15</v>
      </c>
      <c r="K677" s="3070">
        <v>88.57</v>
      </c>
      <c r="L677" s="3070">
        <v>0</v>
      </c>
      <c r="M677" s="3070">
        <v>0</v>
      </c>
      <c r="N677" s="3070">
        <v>15694.44</v>
      </c>
      <c r="O677" s="3070">
        <v>1885687</v>
      </c>
      <c r="P677" s="3070">
        <v>12952.63</v>
      </c>
      <c r="Q677" s="3070">
        <v>1556258</v>
      </c>
      <c r="R677" s="3070" t="s">
        <v>3227</v>
      </c>
      <c r="S677" s="3070" t="s">
        <v>8766</v>
      </c>
      <c r="T677" s="3070" t="s">
        <v>3494</v>
      </c>
      <c r="V677" s="3070" t="s">
        <v>3230</v>
      </c>
      <c r="Y677" s="3070">
        <v>155626</v>
      </c>
      <c r="Z677" s="3070">
        <v>155626</v>
      </c>
      <c r="AA677" s="3070">
        <v>1556258</v>
      </c>
      <c r="AB677" s="3070">
        <v>0</v>
      </c>
      <c r="AC677" s="3070">
        <v>0</v>
      </c>
      <c r="AD677" s="3070">
        <v>0</v>
      </c>
      <c r="AE677" s="3070">
        <v>0</v>
      </c>
      <c r="AI677" s="3070" t="s">
        <v>3227</v>
      </c>
      <c r="AJ677" s="3070">
        <v>0</v>
      </c>
      <c r="AK677" s="3070">
        <v>0</v>
      </c>
      <c r="AL677" s="3070">
        <v>0</v>
      </c>
      <c r="AM677" s="3070">
        <v>12952.63</v>
      </c>
      <c r="AN677" s="3070">
        <v>1556258</v>
      </c>
      <c r="AP677" s="3070">
        <v>1556258</v>
      </c>
      <c r="AQ677" s="3072">
        <v>45230</v>
      </c>
      <c r="AT677" s="3073">
        <v>45770</v>
      </c>
      <c r="AV677" s="3070" t="s">
        <v>8767</v>
      </c>
      <c r="AW677" s="3070" t="s">
        <v>8768</v>
      </c>
      <c r="AX677" s="3070" t="s">
        <v>8769</v>
      </c>
      <c r="AY677" s="3070" t="s">
        <v>3587</v>
      </c>
      <c r="BA677" s="3070" t="s">
        <v>3590</v>
      </c>
      <c r="BC677" s="3070" t="s">
        <v>8770</v>
      </c>
      <c r="BD677" s="3070" t="s">
        <v>3075</v>
      </c>
      <c r="BI677" s="3070" t="s">
        <v>3235</v>
      </c>
      <c r="BL677" s="3070" t="s">
        <v>8771</v>
      </c>
      <c r="BM677" s="3075">
        <v>44410</v>
      </c>
      <c r="BN677" s="3070">
        <v>-11</v>
      </c>
      <c r="BR677" s="3070">
        <v>19</v>
      </c>
      <c r="BS677" s="3070" t="s">
        <v>3238</v>
      </c>
      <c r="BU677" s="3070" t="s">
        <v>3590</v>
      </c>
      <c r="BV677" s="3070" t="s">
        <v>8772</v>
      </c>
      <c r="BZ677" s="3073">
        <v>44195.662499999999</v>
      </c>
      <c r="CA677" s="3070">
        <v>8</v>
      </c>
      <c r="CD677" s="3070" t="s">
        <v>3239</v>
      </c>
      <c r="CF677" s="3070" t="s">
        <v>3091</v>
      </c>
      <c r="CH677" s="3070" t="s">
        <v>3240</v>
      </c>
      <c r="CI677" s="3070">
        <v>0</v>
      </c>
      <c r="CK677" s="3070" t="s">
        <v>3587</v>
      </c>
      <c r="CL677" s="3070" t="s">
        <v>3590</v>
      </c>
      <c r="CM677" s="3070">
        <v>1427759.63</v>
      </c>
      <c r="CV677" s="3070" t="s">
        <v>3494</v>
      </c>
      <c r="CW677" s="3070" t="s">
        <v>8773</v>
      </c>
      <c r="CZ677" s="3070">
        <v>213894.57</v>
      </c>
      <c r="DA677" s="3070">
        <v>159426.93</v>
      </c>
      <c r="DB677" s="3070">
        <v>0</v>
      </c>
      <c r="DC677" s="3070">
        <v>0</v>
      </c>
      <c r="DD677" s="3070">
        <v>3290547602</v>
      </c>
      <c r="DE677" s="3070">
        <v>2764253109</v>
      </c>
      <c r="DF677" s="3070">
        <v>1464966739</v>
      </c>
      <c r="DG677" s="3070">
        <v>14938370</v>
      </c>
      <c r="DH677" s="3070">
        <v>1284348000</v>
      </c>
      <c r="DI677" s="3070">
        <v>1278128000</v>
      </c>
      <c r="DJ677" s="3070">
        <v>6220000</v>
      </c>
      <c r="DK677" s="3070">
        <v>0</v>
      </c>
      <c r="DL677" s="3070">
        <v>0</v>
      </c>
      <c r="DM677" s="3070">
        <v>25491817.620000001</v>
      </c>
      <c r="DN677" s="3070">
        <v>2764253109</v>
      </c>
      <c r="DP677" s="3070">
        <v>2764253109</v>
      </c>
    </row>
    <row r="678" spans="1:120">
      <c r="A678" s="3070">
        <v>677</v>
      </c>
      <c r="B678" s="3070" t="s">
        <v>3224</v>
      </c>
      <c r="C678" s="3070">
        <v>8</v>
      </c>
      <c r="D678" s="3070">
        <v>1</v>
      </c>
      <c r="E678" s="3070">
        <v>1201</v>
      </c>
      <c r="F678" s="3070" t="s">
        <v>8774</v>
      </c>
      <c r="G678" s="3070" t="s">
        <v>8775</v>
      </c>
      <c r="H678" s="3070">
        <v>1560514</v>
      </c>
      <c r="I678" s="3070">
        <v>1560514</v>
      </c>
      <c r="J678" s="3070">
        <v>120.15</v>
      </c>
      <c r="K678" s="3070">
        <v>88.57</v>
      </c>
      <c r="L678" s="3070">
        <v>0</v>
      </c>
      <c r="M678" s="3070">
        <v>0</v>
      </c>
      <c r="N678" s="3070">
        <v>15944.44</v>
      </c>
      <c r="O678" s="3070">
        <v>1915724</v>
      </c>
      <c r="P678" s="3070">
        <v>12988.05</v>
      </c>
      <c r="Q678" s="3070">
        <v>1560514</v>
      </c>
      <c r="R678" s="3070" t="s">
        <v>3227</v>
      </c>
      <c r="S678" s="3070" t="s">
        <v>8776</v>
      </c>
      <c r="T678" s="3070" t="s">
        <v>3246</v>
      </c>
      <c r="U678" s="3070" t="s">
        <v>3539</v>
      </c>
      <c r="V678" s="3070" t="s">
        <v>3230</v>
      </c>
      <c r="Y678" s="3070">
        <v>630514</v>
      </c>
      <c r="Z678" s="3070">
        <v>630514</v>
      </c>
      <c r="AA678" s="3070">
        <v>630514</v>
      </c>
      <c r="AB678" s="3070">
        <v>0</v>
      </c>
      <c r="AC678" s="3070">
        <v>930000</v>
      </c>
      <c r="AD678" s="3070">
        <v>930000</v>
      </c>
      <c r="AE678" s="3070">
        <v>0</v>
      </c>
      <c r="AI678" s="3070" t="s">
        <v>3227</v>
      </c>
      <c r="AJ678" s="3070">
        <v>0</v>
      </c>
      <c r="AK678" s="3070">
        <v>0</v>
      </c>
      <c r="AL678" s="3070">
        <v>0</v>
      </c>
      <c r="AM678" s="3070">
        <v>12988.05</v>
      </c>
      <c r="AN678" s="3070">
        <v>1560514</v>
      </c>
      <c r="AP678" s="3070">
        <v>1560514</v>
      </c>
      <c r="AQ678" s="3072">
        <v>45230</v>
      </c>
      <c r="AT678" s="3073">
        <v>45770</v>
      </c>
      <c r="AV678" s="3070" t="s">
        <v>8777</v>
      </c>
      <c r="AW678" s="3070" t="s">
        <v>8778</v>
      </c>
      <c r="AX678" s="3070" t="s">
        <v>8779</v>
      </c>
      <c r="AY678" s="3070" t="s">
        <v>3364</v>
      </c>
      <c r="BC678" s="3070" t="s">
        <v>3284</v>
      </c>
      <c r="BD678" s="3070" t="s">
        <v>3075</v>
      </c>
      <c r="BI678" s="3070" t="s">
        <v>3235</v>
      </c>
      <c r="BJ678" s="3070" t="s">
        <v>3296</v>
      </c>
      <c r="BL678" s="3070" t="s">
        <v>8780</v>
      </c>
      <c r="BM678" s="3075">
        <v>44409</v>
      </c>
      <c r="BN678" s="3070">
        <v>-12</v>
      </c>
      <c r="BO678" s="3070" t="s">
        <v>3253</v>
      </c>
      <c r="BR678" s="3070">
        <v>588</v>
      </c>
      <c r="BS678" s="3070" t="s">
        <v>3238</v>
      </c>
      <c r="BZ678" s="3073">
        <v>44142.629166666666</v>
      </c>
      <c r="CA678" s="3070">
        <v>8</v>
      </c>
      <c r="CD678" s="3070" t="s">
        <v>3239</v>
      </c>
      <c r="CF678" s="3070" t="s">
        <v>3091</v>
      </c>
      <c r="CH678" s="3070" t="s">
        <v>3240</v>
      </c>
      <c r="CI678" s="3070">
        <v>0</v>
      </c>
      <c r="CK678" s="3070" t="s">
        <v>3364</v>
      </c>
      <c r="CL678" s="3070" t="s">
        <v>3364</v>
      </c>
      <c r="CM678" s="3070">
        <v>1431664.22</v>
      </c>
      <c r="CV678" s="3070" t="s">
        <v>3246</v>
      </c>
      <c r="CW678" s="3070" t="s">
        <v>8781</v>
      </c>
      <c r="CZ678" s="3070">
        <v>213894.57</v>
      </c>
      <c r="DA678" s="3070">
        <v>159426.93</v>
      </c>
      <c r="DB678" s="3070">
        <v>0</v>
      </c>
      <c r="DC678" s="3070">
        <v>0</v>
      </c>
      <c r="DD678" s="3070">
        <v>3290547602</v>
      </c>
      <c r="DE678" s="3070">
        <v>2764253109</v>
      </c>
      <c r="DF678" s="3070">
        <v>1464966739</v>
      </c>
      <c r="DG678" s="3070">
        <v>14938370</v>
      </c>
      <c r="DH678" s="3070">
        <v>1284348000</v>
      </c>
      <c r="DI678" s="3070">
        <v>1278128000</v>
      </c>
      <c r="DJ678" s="3070">
        <v>6220000</v>
      </c>
      <c r="DK678" s="3070">
        <v>0</v>
      </c>
      <c r="DL678" s="3070">
        <v>0</v>
      </c>
      <c r="DM678" s="3070">
        <v>25491817.620000001</v>
      </c>
      <c r="DN678" s="3070">
        <v>2764253109</v>
      </c>
      <c r="DP678" s="3070">
        <v>2764253109</v>
      </c>
    </row>
    <row r="679" spans="1:120">
      <c r="A679" s="3070">
        <v>678</v>
      </c>
      <c r="B679" s="3070" t="s">
        <v>3224</v>
      </c>
      <c r="C679" s="3070">
        <v>8</v>
      </c>
      <c r="D679" s="3070">
        <v>1</v>
      </c>
      <c r="E679" s="3070">
        <v>1202</v>
      </c>
      <c r="F679" s="3070" t="s">
        <v>8782</v>
      </c>
      <c r="G679" s="3070" t="s">
        <v>8783</v>
      </c>
      <c r="H679" s="3070">
        <v>1114251</v>
      </c>
      <c r="I679" s="3070">
        <v>1114251</v>
      </c>
      <c r="J679" s="3070">
        <v>84.62</v>
      </c>
      <c r="K679" s="3070">
        <v>62.38</v>
      </c>
      <c r="L679" s="3070">
        <v>0</v>
      </c>
      <c r="M679" s="3070">
        <v>0</v>
      </c>
      <c r="N679" s="3070">
        <v>16133.44</v>
      </c>
      <c r="O679" s="3070">
        <v>1365212</v>
      </c>
      <c r="P679" s="3070">
        <v>13167.7</v>
      </c>
      <c r="Q679" s="3070">
        <v>1114251</v>
      </c>
      <c r="R679" s="3070" t="s">
        <v>3227</v>
      </c>
      <c r="S679" s="3070" t="s">
        <v>8784</v>
      </c>
      <c r="T679" s="3070" t="s">
        <v>3258</v>
      </c>
      <c r="U679" s="3070" t="s">
        <v>3259</v>
      </c>
      <c r="V679" s="3070" t="s">
        <v>3230</v>
      </c>
      <c r="Y679" s="3070">
        <v>344251</v>
      </c>
      <c r="Z679" s="3070">
        <v>344251</v>
      </c>
      <c r="AA679" s="3070">
        <v>344251</v>
      </c>
      <c r="AB679" s="3070">
        <v>0</v>
      </c>
      <c r="AC679" s="3070">
        <v>770000</v>
      </c>
      <c r="AD679" s="3070">
        <v>770000</v>
      </c>
      <c r="AE679" s="3070">
        <v>0</v>
      </c>
      <c r="AI679" s="3070" t="s">
        <v>3227</v>
      </c>
      <c r="AJ679" s="3070">
        <v>0</v>
      </c>
      <c r="AK679" s="3070">
        <v>0</v>
      </c>
      <c r="AL679" s="3070">
        <v>0</v>
      </c>
      <c r="AM679" s="3070">
        <v>13167.7</v>
      </c>
      <c r="AN679" s="3070">
        <v>1114251</v>
      </c>
      <c r="AP679" s="3070">
        <v>1114251</v>
      </c>
      <c r="AQ679" s="3072">
        <v>45230</v>
      </c>
      <c r="AT679" s="3073">
        <v>45770</v>
      </c>
      <c r="AV679" s="3074">
        <v>4.11E+17</v>
      </c>
      <c r="AW679" s="3070" t="s">
        <v>8785</v>
      </c>
      <c r="AX679" s="3070" t="s">
        <v>8786</v>
      </c>
      <c r="AY679" s="3070" t="s">
        <v>5921</v>
      </c>
      <c r="BC679" s="3070" t="s">
        <v>3263</v>
      </c>
      <c r="BD679" s="3070" t="s">
        <v>3076</v>
      </c>
      <c r="BI679" s="3070" t="s">
        <v>3235</v>
      </c>
      <c r="BJ679" s="3070" t="s">
        <v>3682</v>
      </c>
      <c r="BL679" s="3070" t="s">
        <v>8787</v>
      </c>
      <c r="BM679" s="3075">
        <v>44409</v>
      </c>
      <c r="BN679" s="3070">
        <v>-12</v>
      </c>
      <c r="BO679" s="3070" t="s">
        <v>3253</v>
      </c>
      <c r="BP679" s="3070" t="s">
        <v>3253</v>
      </c>
      <c r="BR679" s="3070">
        <v>692</v>
      </c>
      <c r="BS679" s="3070" t="s">
        <v>3238</v>
      </c>
      <c r="BZ679" s="3073">
        <v>44142.655555555553</v>
      </c>
      <c r="CA679" s="3070">
        <v>8</v>
      </c>
      <c r="CD679" s="3070" t="s">
        <v>3239</v>
      </c>
      <c r="CF679" s="3070" t="s">
        <v>3091</v>
      </c>
      <c r="CH679" s="3070" t="s">
        <v>3240</v>
      </c>
      <c r="CI679" s="3070">
        <v>0</v>
      </c>
      <c r="CJ679" s="3070" t="s">
        <v>3259</v>
      </c>
      <c r="CK679" s="3070" t="s">
        <v>5921</v>
      </c>
      <c r="CL679" s="3070" t="s">
        <v>5921</v>
      </c>
      <c r="CM679" s="3070">
        <v>1022248.62</v>
      </c>
      <c r="CV679" s="3070" t="s">
        <v>3258</v>
      </c>
      <c r="CW679" s="3070" t="s">
        <v>8788</v>
      </c>
      <c r="CX679" s="3070" t="s">
        <v>3267</v>
      </c>
      <c r="CZ679" s="3070">
        <v>213894.57</v>
      </c>
      <c r="DA679" s="3070">
        <v>159426.93</v>
      </c>
      <c r="DB679" s="3070">
        <v>0</v>
      </c>
      <c r="DC679" s="3070">
        <v>0</v>
      </c>
      <c r="DD679" s="3070">
        <v>3290547602</v>
      </c>
      <c r="DE679" s="3070">
        <v>2764253109</v>
      </c>
      <c r="DF679" s="3070">
        <v>1464966739</v>
      </c>
      <c r="DG679" s="3070">
        <v>14938370</v>
      </c>
      <c r="DH679" s="3070">
        <v>1284348000</v>
      </c>
      <c r="DI679" s="3070">
        <v>1278128000</v>
      </c>
      <c r="DJ679" s="3070">
        <v>6220000</v>
      </c>
      <c r="DK679" s="3070">
        <v>0</v>
      </c>
      <c r="DL679" s="3070">
        <v>0</v>
      </c>
      <c r="DM679" s="3070">
        <v>25491817.620000001</v>
      </c>
      <c r="DN679" s="3070">
        <v>2764253109</v>
      </c>
      <c r="DP679" s="3070">
        <v>2764253109</v>
      </c>
    </row>
    <row r="680" spans="1:120">
      <c r="A680" s="3070">
        <v>679</v>
      </c>
      <c r="B680" s="3070" t="s">
        <v>3224</v>
      </c>
      <c r="C680" s="3070">
        <v>8</v>
      </c>
      <c r="D680" s="3070">
        <v>1</v>
      </c>
      <c r="E680" s="3070">
        <v>1203</v>
      </c>
      <c r="F680" s="3070" t="s">
        <v>8789</v>
      </c>
      <c r="G680" s="3070" t="s">
        <v>8790</v>
      </c>
      <c r="H680" s="3070">
        <v>1114251</v>
      </c>
      <c r="I680" s="3070">
        <v>1114251</v>
      </c>
      <c r="J680" s="3070">
        <v>84.62</v>
      </c>
      <c r="K680" s="3070">
        <v>62.38</v>
      </c>
      <c r="L680" s="3070">
        <v>0</v>
      </c>
      <c r="M680" s="3070">
        <v>0</v>
      </c>
      <c r="N680" s="3070">
        <v>16133.44</v>
      </c>
      <c r="O680" s="3070">
        <v>1365212</v>
      </c>
      <c r="P680" s="3070">
        <v>13167.7</v>
      </c>
      <c r="Q680" s="3070">
        <v>1114251</v>
      </c>
      <c r="R680" s="3070" t="s">
        <v>3227</v>
      </c>
      <c r="S680" s="3070" t="s">
        <v>8791</v>
      </c>
      <c r="T680" s="3070" t="s">
        <v>3246</v>
      </c>
      <c r="U680" s="3070" t="s">
        <v>3259</v>
      </c>
      <c r="V680" s="3070" t="s">
        <v>3230</v>
      </c>
      <c r="Y680" s="3070">
        <v>344251</v>
      </c>
      <c r="Z680" s="3070">
        <v>344251</v>
      </c>
      <c r="AA680" s="3070">
        <v>344251</v>
      </c>
      <c r="AB680" s="3070">
        <v>0</v>
      </c>
      <c r="AC680" s="3070">
        <v>770000</v>
      </c>
      <c r="AD680" s="3070">
        <v>770000</v>
      </c>
      <c r="AE680" s="3070">
        <v>0</v>
      </c>
      <c r="AI680" s="3070" t="s">
        <v>3227</v>
      </c>
      <c r="AJ680" s="3070">
        <v>0</v>
      </c>
      <c r="AK680" s="3070">
        <v>0</v>
      </c>
      <c r="AL680" s="3070">
        <v>0</v>
      </c>
      <c r="AM680" s="3070">
        <v>13167.7</v>
      </c>
      <c r="AN680" s="3070">
        <v>1114251</v>
      </c>
      <c r="AP680" s="3070">
        <v>1114251</v>
      </c>
      <c r="AQ680" s="3072">
        <v>45230</v>
      </c>
      <c r="AT680" s="3073">
        <v>45770</v>
      </c>
      <c r="AV680" s="3074">
        <v>3.21E+17</v>
      </c>
      <c r="AW680" s="3070" t="s">
        <v>8792</v>
      </c>
      <c r="AX680" s="3070" t="s">
        <v>8793</v>
      </c>
      <c r="AY680" s="3070" t="s">
        <v>3283</v>
      </c>
      <c r="BC680" s="3070" t="s">
        <v>3284</v>
      </c>
      <c r="BD680" s="3070" t="s">
        <v>3076</v>
      </c>
      <c r="BI680" s="3070" t="s">
        <v>3235</v>
      </c>
      <c r="BJ680" s="3070" t="s">
        <v>3338</v>
      </c>
      <c r="BL680" s="3070" t="s">
        <v>8794</v>
      </c>
      <c r="BM680" s="3075">
        <v>44409</v>
      </c>
      <c r="BN680" s="3070">
        <v>-12</v>
      </c>
      <c r="BO680" s="3070" t="s">
        <v>3253</v>
      </c>
      <c r="BR680" s="3070">
        <v>303</v>
      </c>
      <c r="BS680" s="3070" t="s">
        <v>3238</v>
      </c>
      <c r="BZ680" s="3073">
        <v>44142.638888888891</v>
      </c>
      <c r="CA680" s="3070">
        <v>8</v>
      </c>
      <c r="CD680" s="3070" t="s">
        <v>3239</v>
      </c>
      <c r="CF680" s="3070" t="s">
        <v>3091</v>
      </c>
      <c r="CH680" s="3070" t="s">
        <v>3240</v>
      </c>
      <c r="CI680" s="3070">
        <v>0</v>
      </c>
      <c r="CK680" s="3070" t="s">
        <v>3283</v>
      </c>
      <c r="CL680" s="3070" t="s">
        <v>3283</v>
      </c>
      <c r="CM680" s="3070">
        <v>1022248.62</v>
      </c>
      <c r="CV680" s="3070" t="s">
        <v>3246</v>
      </c>
      <c r="CW680" s="3070" t="s">
        <v>8795</v>
      </c>
      <c r="CZ680" s="3070">
        <v>213894.57</v>
      </c>
      <c r="DA680" s="3070">
        <v>159426.93</v>
      </c>
      <c r="DB680" s="3070">
        <v>0</v>
      </c>
      <c r="DC680" s="3070">
        <v>0</v>
      </c>
      <c r="DD680" s="3070">
        <v>3290547602</v>
      </c>
      <c r="DE680" s="3070">
        <v>2764253109</v>
      </c>
      <c r="DF680" s="3070">
        <v>1464966739</v>
      </c>
      <c r="DG680" s="3070">
        <v>14938370</v>
      </c>
      <c r="DH680" s="3070">
        <v>1284348000</v>
      </c>
      <c r="DI680" s="3070">
        <v>1278128000</v>
      </c>
      <c r="DJ680" s="3070">
        <v>6220000</v>
      </c>
      <c r="DK680" s="3070">
        <v>0</v>
      </c>
      <c r="DL680" s="3070">
        <v>0</v>
      </c>
      <c r="DM680" s="3070">
        <v>25491817.620000001</v>
      </c>
      <c r="DN680" s="3070">
        <v>2764253109</v>
      </c>
      <c r="DP680" s="3070">
        <v>2764253109</v>
      </c>
    </row>
    <row r="681" spans="1:120">
      <c r="A681" s="3070">
        <v>680</v>
      </c>
      <c r="B681" s="3070" t="s">
        <v>3224</v>
      </c>
      <c r="C681" s="3070">
        <v>8</v>
      </c>
      <c r="D681" s="3070">
        <v>1</v>
      </c>
      <c r="E681" s="3070">
        <v>1204</v>
      </c>
      <c r="F681" s="3070" t="s">
        <v>8796</v>
      </c>
      <c r="G681" s="3070" t="s">
        <v>8797</v>
      </c>
      <c r="H681" s="3070">
        <v>1422669</v>
      </c>
      <c r="I681" s="3070">
        <v>1422669</v>
      </c>
      <c r="J681" s="3070">
        <v>108.82</v>
      </c>
      <c r="K681" s="3070">
        <v>80.22</v>
      </c>
      <c r="L681" s="3070">
        <v>0</v>
      </c>
      <c r="M681" s="3070">
        <v>0</v>
      </c>
      <c r="N681" s="3070">
        <v>16034.44</v>
      </c>
      <c r="O681" s="3070">
        <v>1744868</v>
      </c>
      <c r="P681" s="3070">
        <v>13073.6</v>
      </c>
      <c r="Q681" s="3070">
        <v>1422669</v>
      </c>
      <c r="R681" s="3070" t="s">
        <v>3227</v>
      </c>
      <c r="S681" s="3070" t="s">
        <v>8798</v>
      </c>
      <c r="T681" s="3070" t="s">
        <v>3258</v>
      </c>
      <c r="U681" s="3070" t="s">
        <v>3259</v>
      </c>
      <c r="V681" s="3070" t="s">
        <v>3230</v>
      </c>
      <c r="Y681" s="3070">
        <v>522669</v>
      </c>
      <c r="Z681" s="3070">
        <v>522669</v>
      </c>
      <c r="AA681" s="3070">
        <v>522669</v>
      </c>
      <c r="AB681" s="3070">
        <v>0</v>
      </c>
      <c r="AC681" s="3070">
        <v>900000</v>
      </c>
      <c r="AD681" s="3070">
        <v>900000</v>
      </c>
      <c r="AE681" s="3070">
        <v>0</v>
      </c>
      <c r="AI681" s="3070" t="s">
        <v>3227</v>
      </c>
      <c r="AJ681" s="3070">
        <v>0</v>
      </c>
      <c r="AK681" s="3070">
        <v>0</v>
      </c>
      <c r="AL681" s="3070">
        <v>0</v>
      </c>
      <c r="AM681" s="3070">
        <v>13073.6</v>
      </c>
      <c r="AN681" s="3070">
        <v>1422669</v>
      </c>
      <c r="AP681" s="3070">
        <v>1422669</v>
      </c>
      <c r="AQ681" s="3072">
        <v>45230</v>
      </c>
      <c r="AT681" s="3073">
        <v>45770</v>
      </c>
      <c r="AV681" s="3070" t="s">
        <v>8799</v>
      </c>
      <c r="AW681" s="3070" t="s">
        <v>8800</v>
      </c>
      <c r="AX681" s="3070" t="s">
        <v>8801</v>
      </c>
      <c r="AY681" s="3070" t="s">
        <v>3722</v>
      </c>
      <c r="BC681" s="3070" t="s">
        <v>3263</v>
      </c>
      <c r="BD681" s="3070" t="s">
        <v>3077</v>
      </c>
      <c r="BI681" s="3070" t="s">
        <v>3235</v>
      </c>
      <c r="BJ681" s="3070" t="s">
        <v>3682</v>
      </c>
      <c r="BL681" s="3070" t="s">
        <v>8802</v>
      </c>
      <c r="BM681" s="3075">
        <v>44409</v>
      </c>
      <c r="BN681" s="3070">
        <v>-12</v>
      </c>
      <c r="BO681" s="3070" t="s">
        <v>3253</v>
      </c>
      <c r="BP681" s="3070" t="s">
        <v>3253</v>
      </c>
      <c r="BR681" s="3070">
        <v>75</v>
      </c>
      <c r="BS681" s="3070" t="s">
        <v>3238</v>
      </c>
      <c r="BZ681" s="3073">
        <v>44142.622916666667</v>
      </c>
      <c r="CA681" s="3070">
        <v>8</v>
      </c>
      <c r="CD681" s="3070" t="s">
        <v>3239</v>
      </c>
      <c r="CF681" s="3070" t="s">
        <v>3091</v>
      </c>
      <c r="CH681" s="3070" t="s">
        <v>3240</v>
      </c>
      <c r="CI681" s="3070">
        <v>0</v>
      </c>
      <c r="CJ681" s="3070" t="s">
        <v>3259</v>
      </c>
      <c r="CK681" s="3070" t="s">
        <v>3722</v>
      </c>
      <c r="CL681" s="3070" t="s">
        <v>3722</v>
      </c>
      <c r="CM681" s="3070">
        <v>1305200.92</v>
      </c>
      <c r="CV681" s="3070" t="s">
        <v>3258</v>
      </c>
      <c r="CW681" s="3070" t="s">
        <v>8803</v>
      </c>
      <c r="CX681" s="3070" t="s">
        <v>3267</v>
      </c>
      <c r="CZ681" s="3070">
        <v>213894.57</v>
      </c>
      <c r="DA681" s="3070">
        <v>159426.93</v>
      </c>
      <c r="DB681" s="3070">
        <v>0</v>
      </c>
      <c r="DC681" s="3070">
        <v>0</v>
      </c>
      <c r="DD681" s="3070">
        <v>3290547602</v>
      </c>
      <c r="DE681" s="3070">
        <v>2764253109</v>
      </c>
      <c r="DF681" s="3070">
        <v>1464966739</v>
      </c>
      <c r="DG681" s="3070">
        <v>14938370</v>
      </c>
      <c r="DH681" s="3070">
        <v>1284348000</v>
      </c>
      <c r="DI681" s="3070">
        <v>1278128000</v>
      </c>
      <c r="DJ681" s="3070">
        <v>6220000</v>
      </c>
      <c r="DK681" s="3070">
        <v>0</v>
      </c>
      <c r="DL681" s="3070">
        <v>0</v>
      </c>
      <c r="DM681" s="3070">
        <v>25491817.620000001</v>
      </c>
      <c r="DN681" s="3070">
        <v>2764253109</v>
      </c>
      <c r="DP681" s="3070">
        <v>2764253109</v>
      </c>
    </row>
    <row r="682" spans="1:120">
      <c r="A682" s="3070">
        <v>681</v>
      </c>
      <c r="B682" s="3070" t="s">
        <v>3224</v>
      </c>
      <c r="C682" s="3070">
        <v>8</v>
      </c>
      <c r="D682" s="3070">
        <v>2</v>
      </c>
      <c r="E682" s="3070">
        <v>1205</v>
      </c>
      <c r="F682" s="3070" t="s">
        <v>8804</v>
      </c>
      <c r="G682" s="3070" t="s">
        <v>8805</v>
      </c>
      <c r="H682" s="3070">
        <v>1422669</v>
      </c>
      <c r="I682" s="3070">
        <v>1422669</v>
      </c>
      <c r="J682" s="3070">
        <v>108.82</v>
      </c>
      <c r="K682" s="3070">
        <v>80.22</v>
      </c>
      <c r="L682" s="3070">
        <v>0</v>
      </c>
      <c r="M682" s="3070">
        <v>0</v>
      </c>
      <c r="N682" s="3070">
        <v>16034.44</v>
      </c>
      <c r="O682" s="3070">
        <v>1744868</v>
      </c>
      <c r="P682" s="3070">
        <v>13073.6</v>
      </c>
      <c r="Q682" s="3070">
        <v>1422669</v>
      </c>
      <c r="R682" s="3070" t="s">
        <v>3227</v>
      </c>
      <c r="S682" s="3070" t="s">
        <v>8806</v>
      </c>
      <c r="T682" s="3070" t="s">
        <v>3246</v>
      </c>
      <c r="U682" s="3070" t="s">
        <v>3247</v>
      </c>
      <c r="V682" s="3070" t="s">
        <v>3230</v>
      </c>
      <c r="Y682" s="3070">
        <v>1222669</v>
      </c>
      <c r="Z682" s="3070">
        <v>1222669</v>
      </c>
      <c r="AA682" s="3070">
        <v>1222669</v>
      </c>
      <c r="AB682" s="3070">
        <v>0</v>
      </c>
      <c r="AC682" s="3070">
        <v>200000</v>
      </c>
      <c r="AD682" s="3070">
        <v>200000</v>
      </c>
      <c r="AE682" s="3070">
        <v>0</v>
      </c>
      <c r="AI682" s="3070" t="s">
        <v>3227</v>
      </c>
      <c r="AJ682" s="3070">
        <v>0</v>
      </c>
      <c r="AK682" s="3070">
        <v>0</v>
      </c>
      <c r="AL682" s="3070">
        <v>0</v>
      </c>
      <c r="AM682" s="3070">
        <v>13073.6</v>
      </c>
      <c r="AN682" s="3070">
        <v>1422669</v>
      </c>
      <c r="AP682" s="3070">
        <v>1422669</v>
      </c>
      <c r="AQ682" s="3072">
        <v>45230</v>
      </c>
      <c r="AT682" s="3073">
        <v>45770</v>
      </c>
      <c r="AV682" s="3070" t="s">
        <v>8807</v>
      </c>
      <c r="AW682" s="3070" t="s">
        <v>8808</v>
      </c>
      <c r="AX682" s="3070" t="s">
        <v>8809</v>
      </c>
      <c r="AY682" s="3070" t="s">
        <v>3429</v>
      </c>
      <c r="BC682" s="3070" t="s">
        <v>3284</v>
      </c>
      <c r="BD682" s="3070" t="s">
        <v>3077</v>
      </c>
      <c r="BI682" s="3070" t="s">
        <v>3235</v>
      </c>
      <c r="BJ682" s="3070" t="s">
        <v>3285</v>
      </c>
      <c r="BL682" s="3070" t="s">
        <v>8810</v>
      </c>
      <c r="BM682" s="3075">
        <v>44410</v>
      </c>
      <c r="BN682" s="3070">
        <v>-12</v>
      </c>
      <c r="BO682" s="3070" t="s">
        <v>3253</v>
      </c>
      <c r="BR682" s="3070">
        <v>36</v>
      </c>
      <c r="BS682" s="3070" t="s">
        <v>3238</v>
      </c>
      <c r="BZ682" s="3073">
        <v>44142.603472222225</v>
      </c>
      <c r="CA682" s="3070">
        <v>8</v>
      </c>
      <c r="CD682" s="3070" t="s">
        <v>3239</v>
      </c>
      <c r="CF682" s="3070" t="s">
        <v>3091</v>
      </c>
      <c r="CH682" s="3070" t="s">
        <v>3240</v>
      </c>
      <c r="CI682" s="3070">
        <v>0</v>
      </c>
      <c r="CK682" s="3070" t="s">
        <v>3429</v>
      </c>
      <c r="CL682" s="3070" t="s">
        <v>3429</v>
      </c>
      <c r="CM682" s="3070">
        <v>1305200.92</v>
      </c>
      <c r="CV682" s="3070" t="s">
        <v>3246</v>
      </c>
      <c r="CW682" s="3070" t="s">
        <v>8811</v>
      </c>
      <c r="CX682" s="3070" t="s">
        <v>3267</v>
      </c>
      <c r="CZ682" s="3070">
        <v>213894.57</v>
      </c>
      <c r="DA682" s="3070">
        <v>159426.93</v>
      </c>
      <c r="DB682" s="3070">
        <v>0</v>
      </c>
      <c r="DC682" s="3070">
        <v>0</v>
      </c>
      <c r="DD682" s="3070">
        <v>3290547602</v>
      </c>
      <c r="DE682" s="3070">
        <v>2764253109</v>
      </c>
      <c r="DF682" s="3070">
        <v>1464966739</v>
      </c>
      <c r="DG682" s="3070">
        <v>14938370</v>
      </c>
      <c r="DH682" s="3070">
        <v>1284348000</v>
      </c>
      <c r="DI682" s="3070">
        <v>1278128000</v>
      </c>
      <c r="DJ682" s="3070">
        <v>6220000</v>
      </c>
      <c r="DK682" s="3070">
        <v>0</v>
      </c>
      <c r="DL682" s="3070">
        <v>0</v>
      </c>
      <c r="DM682" s="3070">
        <v>25491817.620000001</v>
      </c>
      <c r="DN682" s="3070">
        <v>2764253109</v>
      </c>
      <c r="DP682" s="3070">
        <v>2764253109</v>
      </c>
    </row>
    <row r="683" spans="1:120">
      <c r="A683" s="3070">
        <v>682</v>
      </c>
      <c r="B683" s="3070" t="s">
        <v>3224</v>
      </c>
      <c r="C683" s="3070">
        <v>8</v>
      </c>
      <c r="D683" s="3070">
        <v>2</v>
      </c>
      <c r="E683" s="3070">
        <v>1206</v>
      </c>
      <c r="F683" s="3070" t="s">
        <v>8812</v>
      </c>
      <c r="G683" s="3070" t="s">
        <v>8813</v>
      </c>
      <c r="H683" s="3070">
        <v>1114251</v>
      </c>
      <c r="I683" s="3070">
        <v>1114251</v>
      </c>
      <c r="J683" s="3070">
        <v>84.62</v>
      </c>
      <c r="K683" s="3070">
        <v>62.38</v>
      </c>
      <c r="L683" s="3070">
        <v>0</v>
      </c>
      <c r="M683" s="3070">
        <v>0</v>
      </c>
      <c r="N683" s="3070">
        <v>16133.44</v>
      </c>
      <c r="O683" s="3070">
        <v>1365212</v>
      </c>
      <c r="P683" s="3070">
        <v>13167.7</v>
      </c>
      <c r="Q683" s="3070">
        <v>1114251</v>
      </c>
      <c r="R683" s="3070" t="s">
        <v>3227</v>
      </c>
      <c r="S683" s="3070" t="s">
        <v>8814</v>
      </c>
      <c r="T683" s="3070" t="s">
        <v>3246</v>
      </c>
      <c r="U683" s="3070" t="s">
        <v>3259</v>
      </c>
      <c r="V683" s="3070" t="s">
        <v>3230</v>
      </c>
      <c r="Y683" s="3070">
        <v>414251</v>
      </c>
      <c r="Z683" s="3070">
        <v>414251</v>
      </c>
      <c r="AA683" s="3070">
        <v>414251</v>
      </c>
      <c r="AB683" s="3070">
        <v>0</v>
      </c>
      <c r="AC683" s="3070">
        <v>700000</v>
      </c>
      <c r="AD683" s="3070">
        <v>700000</v>
      </c>
      <c r="AE683" s="3070">
        <v>0</v>
      </c>
      <c r="AI683" s="3070" t="s">
        <v>3227</v>
      </c>
      <c r="AJ683" s="3070">
        <v>0</v>
      </c>
      <c r="AK683" s="3070">
        <v>0</v>
      </c>
      <c r="AL683" s="3070">
        <v>0</v>
      </c>
      <c r="AM683" s="3070">
        <v>13167.7</v>
      </c>
      <c r="AN683" s="3070">
        <v>1114251</v>
      </c>
      <c r="AP683" s="3070">
        <v>1114251</v>
      </c>
      <c r="AQ683" s="3072">
        <v>45230</v>
      </c>
      <c r="AT683" s="3073">
        <v>45770</v>
      </c>
      <c r="AV683" s="3070" t="s">
        <v>8815</v>
      </c>
      <c r="AW683" s="3070" t="s">
        <v>8816</v>
      </c>
      <c r="AX683" s="3070" t="s">
        <v>8817</v>
      </c>
      <c r="AY683" s="3070" t="s">
        <v>3337</v>
      </c>
      <c r="BC683" s="3070" t="s">
        <v>3284</v>
      </c>
      <c r="BD683" s="3070" t="s">
        <v>3076</v>
      </c>
      <c r="BI683" s="3070" t="s">
        <v>3235</v>
      </c>
      <c r="BJ683" s="3070" t="s">
        <v>3338</v>
      </c>
      <c r="BL683" s="3070" t="s">
        <v>8818</v>
      </c>
      <c r="BM683" s="3075">
        <v>44410</v>
      </c>
      <c r="BN683" s="3070">
        <v>-12</v>
      </c>
      <c r="BO683" s="3070" t="s">
        <v>3253</v>
      </c>
      <c r="BR683" s="3070">
        <v>388</v>
      </c>
      <c r="BS683" s="3070" t="s">
        <v>3238</v>
      </c>
      <c r="BZ683" s="3073">
        <v>44150.745138888888</v>
      </c>
      <c r="CA683" s="3070">
        <v>8</v>
      </c>
      <c r="CD683" s="3070" t="s">
        <v>3239</v>
      </c>
      <c r="CF683" s="3070" t="s">
        <v>3091</v>
      </c>
      <c r="CH683" s="3070" t="s">
        <v>3240</v>
      </c>
      <c r="CI683" s="3070">
        <v>0</v>
      </c>
      <c r="CK683" s="3070" t="s">
        <v>3337</v>
      </c>
      <c r="CL683" s="3070" t="s">
        <v>3337</v>
      </c>
      <c r="CM683" s="3070">
        <v>1022248.62</v>
      </c>
      <c r="CV683" s="3070" t="s">
        <v>3246</v>
      </c>
      <c r="CW683" s="3070" t="s">
        <v>8819</v>
      </c>
      <c r="CZ683" s="3070">
        <v>213894.57</v>
      </c>
      <c r="DA683" s="3070">
        <v>159426.93</v>
      </c>
      <c r="DB683" s="3070">
        <v>0</v>
      </c>
      <c r="DC683" s="3070">
        <v>0</v>
      </c>
      <c r="DD683" s="3070">
        <v>3290547602</v>
      </c>
      <c r="DE683" s="3070">
        <v>2764253109</v>
      </c>
      <c r="DF683" s="3070">
        <v>1464966739</v>
      </c>
      <c r="DG683" s="3070">
        <v>14938370</v>
      </c>
      <c r="DH683" s="3070">
        <v>1284348000</v>
      </c>
      <c r="DI683" s="3070">
        <v>1278128000</v>
      </c>
      <c r="DJ683" s="3070">
        <v>6220000</v>
      </c>
      <c r="DK683" s="3070">
        <v>0</v>
      </c>
      <c r="DL683" s="3070">
        <v>0</v>
      </c>
      <c r="DM683" s="3070">
        <v>25491817.620000001</v>
      </c>
      <c r="DN683" s="3070">
        <v>2764253109</v>
      </c>
      <c r="DP683" s="3070">
        <v>2764253109</v>
      </c>
    </row>
    <row r="684" spans="1:120">
      <c r="A684" s="3070">
        <v>683</v>
      </c>
      <c r="B684" s="3070" t="s">
        <v>3224</v>
      </c>
      <c r="C684" s="3070">
        <v>8</v>
      </c>
      <c r="D684" s="3070">
        <v>2</v>
      </c>
      <c r="E684" s="3070">
        <v>1207</v>
      </c>
      <c r="F684" s="3070" t="s">
        <v>8820</v>
      </c>
      <c r="G684" s="3070" t="s">
        <v>8821</v>
      </c>
      <c r="H684" s="3070">
        <v>1161935</v>
      </c>
      <c r="I684" s="3070">
        <v>1161935</v>
      </c>
      <c r="J684" s="3070">
        <v>84.62</v>
      </c>
      <c r="K684" s="3070">
        <v>62.38</v>
      </c>
      <c r="L684" s="3070">
        <v>0</v>
      </c>
      <c r="M684" s="3070">
        <v>0</v>
      </c>
      <c r="N684" s="3070">
        <v>16133.44</v>
      </c>
      <c r="O684" s="3070">
        <v>1365212</v>
      </c>
      <c r="P684" s="3070">
        <v>13731.21</v>
      </c>
      <c r="Q684" s="3070">
        <v>1161935</v>
      </c>
      <c r="R684" s="3070" t="s">
        <v>3227</v>
      </c>
      <c r="S684" s="3070" t="s">
        <v>8822</v>
      </c>
      <c r="T684" s="3070" t="s">
        <v>3494</v>
      </c>
      <c r="V684" s="3070" t="s">
        <v>3230</v>
      </c>
      <c r="Y684" s="3070">
        <v>116194</v>
      </c>
      <c r="Z684" s="3070">
        <v>116194</v>
      </c>
      <c r="AA684" s="3070">
        <v>1161935</v>
      </c>
      <c r="AB684" s="3070">
        <v>0</v>
      </c>
      <c r="AC684" s="3070">
        <v>0</v>
      </c>
      <c r="AD684" s="3070">
        <v>0</v>
      </c>
      <c r="AE684" s="3070">
        <v>0</v>
      </c>
      <c r="AI684" s="3070" t="s">
        <v>3227</v>
      </c>
      <c r="AJ684" s="3070">
        <v>0</v>
      </c>
      <c r="AK684" s="3070">
        <v>0</v>
      </c>
      <c r="AL684" s="3070">
        <v>0</v>
      </c>
      <c r="AM684" s="3070">
        <v>13731.21</v>
      </c>
      <c r="AN684" s="3070">
        <v>1161935</v>
      </c>
      <c r="AP684" s="3070">
        <v>1161935</v>
      </c>
      <c r="AQ684" s="3072">
        <v>45230</v>
      </c>
      <c r="AT684" s="3073">
        <v>45770</v>
      </c>
      <c r="AV684" s="3074">
        <v>3.21E+17</v>
      </c>
      <c r="AW684" s="3070" t="s">
        <v>8823</v>
      </c>
      <c r="AX684" s="3070" t="s">
        <v>8824</v>
      </c>
      <c r="AY684" s="3070" t="s">
        <v>3262</v>
      </c>
      <c r="BC684" s="3070" t="s">
        <v>4672</v>
      </c>
      <c r="BD684" s="3070" t="s">
        <v>3076</v>
      </c>
      <c r="BI684" s="3070" t="s">
        <v>3235</v>
      </c>
      <c r="BL684" s="3070" t="s">
        <v>8825</v>
      </c>
      <c r="BM684" s="3075">
        <v>44410</v>
      </c>
      <c r="BN684" s="3070">
        <v>-12</v>
      </c>
      <c r="BR684" s="3070">
        <v>18</v>
      </c>
      <c r="BS684" s="3070" t="s">
        <v>3238</v>
      </c>
      <c r="BV684" s="3070" t="s">
        <v>8826</v>
      </c>
      <c r="BZ684" s="3073">
        <v>44183.51458333333</v>
      </c>
      <c r="CA684" s="3070">
        <v>8</v>
      </c>
      <c r="CD684" s="3070" t="s">
        <v>3239</v>
      </c>
      <c r="CF684" s="3070" t="s">
        <v>3091</v>
      </c>
      <c r="CH684" s="3070" t="s">
        <v>3240</v>
      </c>
      <c r="CI684" s="3070">
        <v>0</v>
      </c>
      <c r="CK684" s="3070" t="s">
        <v>3262</v>
      </c>
      <c r="CL684" s="3070" t="s">
        <v>3262</v>
      </c>
      <c r="CM684" s="3070">
        <v>1065995.4099999999</v>
      </c>
      <c r="CV684" s="3070" t="s">
        <v>3494</v>
      </c>
      <c r="CW684" s="3070" t="s">
        <v>8827</v>
      </c>
      <c r="CX684" s="3070" t="s">
        <v>3267</v>
      </c>
      <c r="CZ684" s="3070">
        <v>213894.57</v>
      </c>
      <c r="DA684" s="3070">
        <v>159426.93</v>
      </c>
      <c r="DB684" s="3070">
        <v>0</v>
      </c>
      <c r="DC684" s="3070">
        <v>0</v>
      </c>
      <c r="DD684" s="3070">
        <v>3290547602</v>
      </c>
      <c r="DE684" s="3070">
        <v>2764253109</v>
      </c>
      <c r="DF684" s="3070">
        <v>1464966739</v>
      </c>
      <c r="DG684" s="3070">
        <v>14938370</v>
      </c>
      <c r="DH684" s="3070">
        <v>1284348000</v>
      </c>
      <c r="DI684" s="3070">
        <v>1278128000</v>
      </c>
      <c r="DJ684" s="3070">
        <v>6220000</v>
      </c>
      <c r="DK684" s="3070">
        <v>0</v>
      </c>
      <c r="DL684" s="3070">
        <v>0</v>
      </c>
      <c r="DM684" s="3070">
        <v>25491817.620000001</v>
      </c>
      <c r="DN684" s="3070">
        <v>2764253109</v>
      </c>
      <c r="DP684" s="3070">
        <v>2764253109</v>
      </c>
    </row>
    <row r="685" spans="1:120">
      <c r="A685" s="3070">
        <v>684</v>
      </c>
      <c r="B685" s="3070" t="s">
        <v>3224</v>
      </c>
      <c r="C685" s="3070">
        <v>8</v>
      </c>
      <c r="D685" s="3070">
        <v>2</v>
      </c>
      <c r="E685" s="3070">
        <v>1208</v>
      </c>
      <c r="F685" s="3070" t="s">
        <v>8828</v>
      </c>
      <c r="G685" s="3070" t="s">
        <v>8829</v>
      </c>
      <c r="H685" s="3070">
        <v>1522294</v>
      </c>
      <c r="I685" s="3070">
        <v>1522294</v>
      </c>
      <c r="J685" s="3070">
        <v>120.15</v>
      </c>
      <c r="K685" s="3070">
        <v>88.57</v>
      </c>
      <c r="L685" s="3070">
        <v>0</v>
      </c>
      <c r="M685" s="3070">
        <v>0</v>
      </c>
      <c r="N685" s="3070">
        <v>15744.44</v>
      </c>
      <c r="O685" s="3070">
        <v>1891694</v>
      </c>
      <c r="P685" s="3070">
        <v>12669.95</v>
      </c>
      <c r="Q685" s="3070">
        <v>1522294</v>
      </c>
      <c r="R685" s="3070" t="s">
        <v>3227</v>
      </c>
      <c r="S685" s="3070" t="s">
        <v>8830</v>
      </c>
      <c r="T685" s="3070" t="s">
        <v>3229</v>
      </c>
      <c r="V685" s="3070" t="s">
        <v>3230</v>
      </c>
      <c r="Y685" s="3070">
        <v>456688</v>
      </c>
      <c r="Z685" s="3070">
        <v>456688</v>
      </c>
      <c r="AA685" s="3070">
        <v>1522294</v>
      </c>
      <c r="AB685" s="3070">
        <v>0</v>
      </c>
      <c r="AC685" s="3070">
        <v>0</v>
      </c>
      <c r="AD685" s="3070">
        <v>0</v>
      </c>
      <c r="AE685" s="3070">
        <v>0</v>
      </c>
      <c r="AI685" s="3070" t="s">
        <v>3227</v>
      </c>
      <c r="AJ685" s="3070">
        <v>0</v>
      </c>
      <c r="AK685" s="3070">
        <v>0</v>
      </c>
      <c r="AL685" s="3070">
        <v>0</v>
      </c>
      <c r="AM685" s="3070">
        <v>12669.95</v>
      </c>
      <c r="AN685" s="3070">
        <v>1522294</v>
      </c>
      <c r="AP685" s="3070">
        <v>1522294</v>
      </c>
      <c r="AQ685" s="3072">
        <v>45230</v>
      </c>
      <c r="AT685" s="3073">
        <v>45770</v>
      </c>
      <c r="AV685" s="3070" t="s">
        <v>8831</v>
      </c>
      <c r="AW685" s="3070" t="s">
        <v>8832</v>
      </c>
      <c r="AX685" s="3070" t="s">
        <v>8833</v>
      </c>
      <c r="AY685" s="3070" t="s">
        <v>3375</v>
      </c>
      <c r="BC685" s="3070" t="s">
        <v>3347</v>
      </c>
      <c r="BD685" s="3070" t="s">
        <v>3075</v>
      </c>
      <c r="BI685" s="3070" t="s">
        <v>3235</v>
      </c>
      <c r="BL685" s="3070" t="s">
        <v>8834</v>
      </c>
      <c r="BM685" s="3075">
        <v>44410</v>
      </c>
      <c r="BN685" s="3070">
        <v>-12</v>
      </c>
      <c r="BR685" s="3070">
        <v>752</v>
      </c>
      <c r="BS685" s="3070" t="s">
        <v>3238</v>
      </c>
      <c r="BZ685" s="3073">
        <v>44153.827777777777</v>
      </c>
      <c r="CA685" s="3070">
        <v>8</v>
      </c>
      <c r="CD685" s="3070" t="s">
        <v>3239</v>
      </c>
      <c r="CF685" s="3070" t="s">
        <v>3091</v>
      </c>
      <c r="CH685" s="3070" t="s">
        <v>3240</v>
      </c>
      <c r="CI685" s="3070">
        <v>0</v>
      </c>
      <c r="CK685" s="3070" t="s">
        <v>3375</v>
      </c>
      <c r="CL685" s="3070" t="s">
        <v>3375</v>
      </c>
      <c r="CM685" s="3070">
        <v>1396600</v>
      </c>
      <c r="CV685" s="3070" t="s">
        <v>3229</v>
      </c>
      <c r="CW685" s="3070" t="s">
        <v>8835</v>
      </c>
      <c r="CX685" s="3070" t="s">
        <v>3510</v>
      </c>
      <c r="CZ685" s="3070">
        <v>213894.57</v>
      </c>
      <c r="DA685" s="3070">
        <v>159426.93</v>
      </c>
      <c r="DB685" s="3070">
        <v>0</v>
      </c>
      <c r="DC685" s="3070">
        <v>0</v>
      </c>
      <c r="DD685" s="3070">
        <v>3290547602</v>
      </c>
      <c r="DE685" s="3070">
        <v>2764253109</v>
      </c>
      <c r="DF685" s="3070">
        <v>1464966739</v>
      </c>
      <c r="DG685" s="3070">
        <v>14938370</v>
      </c>
      <c r="DH685" s="3070">
        <v>1284348000</v>
      </c>
      <c r="DI685" s="3070">
        <v>1278128000</v>
      </c>
      <c r="DJ685" s="3070">
        <v>6220000</v>
      </c>
      <c r="DK685" s="3070">
        <v>0</v>
      </c>
      <c r="DL685" s="3070">
        <v>0</v>
      </c>
      <c r="DM685" s="3070">
        <v>25491817.620000001</v>
      </c>
      <c r="DN685" s="3070">
        <v>2764253109</v>
      </c>
      <c r="DP685" s="3070">
        <v>2764253109</v>
      </c>
    </row>
    <row r="686" spans="1:120">
      <c r="A686" s="3070">
        <v>685</v>
      </c>
      <c r="B686" s="3070" t="s">
        <v>3224</v>
      </c>
      <c r="C686" s="3070">
        <v>8</v>
      </c>
      <c r="D686" s="3070">
        <v>1</v>
      </c>
      <c r="E686" s="3070">
        <v>1301</v>
      </c>
      <c r="F686" s="3070" t="s">
        <v>8836</v>
      </c>
      <c r="G686" s="3070" t="s">
        <v>8837</v>
      </c>
      <c r="H686" s="3070">
        <v>1560514</v>
      </c>
      <c r="I686" s="3070">
        <v>1560514</v>
      </c>
      <c r="J686" s="3070">
        <v>120.15</v>
      </c>
      <c r="K686" s="3070">
        <v>88.57</v>
      </c>
      <c r="L686" s="3070">
        <v>0</v>
      </c>
      <c r="M686" s="3070">
        <v>0</v>
      </c>
      <c r="N686" s="3070">
        <v>15944.44</v>
      </c>
      <c r="O686" s="3070">
        <v>1915724</v>
      </c>
      <c r="P686" s="3070">
        <v>12988.05</v>
      </c>
      <c r="Q686" s="3070">
        <v>1560514</v>
      </c>
      <c r="R686" s="3070" t="s">
        <v>3227</v>
      </c>
      <c r="S686" s="3070" t="s">
        <v>8838</v>
      </c>
      <c r="T686" s="3070" t="s">
        <v>3258</v>
      </c>
      <c r="U686" s="3070" t="s">
        <v>3259</v>
      </c>
      <c r="V686" s="3070" t="s">
        <v>3230</v>
      </c>
      <c r="Y686" s="3070">
        <v>560514</v>
      </c>
      <c r="Z686" s="3070">
        <v>560514</v>
      </c>
      <c r="AA686" s="3070">
        <v>560514</v>
      </c>
      <c r="AB686" s="3070">
        <v>0</v>
      </c>
      <c r="AC686" s="3070">
        <v>1000000</v>
      </c>
      <c r="AD686" s="3070">
        <v>1000000</v>
      </c>
      <c r="AE686" s="3070">
        <v>0</v>
      </c>
      <c r="AI686" s="3070" t="s">
        <v>3227</v>
      </c>
      <c r="AJ686" s="3070">
        <v>0</v>
      </c>
      <c r="AK686" s="3070">
        <v>0</v>
      </c>
      <c r="AL686" s="3070">
        <v>0</v>
      </c>
      <c r="AM686" s="3070">
        <v>12988.05</v>
      </c>
      <c r="AN686" s="3070">
        <v>1560514</v>
      </c>
      <c r="AP686" s="3070">
        <v>1560514</v>
      </c>
      <c r="AQ686" s="3072">
        <v>45230</v>
      </c>
      <c r="AT686" s="3073">
        <v>45770</v>
      </c>
      <c r="AV686" s="3070" t="s">
        <v>8839</v>
      </c>
      <c r="AW686" s="3070" t="s">
        <v>8840</v>
      </c>
      <c r="AX686" s="3070" t="s">
        <v>8841</v>
      </c>
      <c r="AY686" s="3070" t="s">
        <v>3337</v>
      </c>
      <c r="BC686" s="3070" t="s">
        <v>3263</v>
      </c>
      <c r="BD686" s="3070" t="s">
        <v>3075</v>
      </c>
      <c r="BI686" s="3070" t="s">
        <v>3235</v>
      </c>
      <c r="BJ686" s="3070" t="s">
        <v>3236</v>
      </c>
      <c r="BL686" s="3070" t="s">
        <v>8842</v>
      </c>
      <c r="BM686" s="3075">
        <v>44409</v>
      </c>
      <c r="BN686" s="3070">
        <v>-13</v>
      </c>
      <c r="BO686" s="3070" t="s">
        <v>3253</v>
      </c>
      <c r="BP686" s="3070" t="s">
        <v>3253</v>
      </c>
      <c r="BR686" s="3070">
        <v>0</v>
      </c>
      <c r="BS686" s="3070" t="s">
        <v>3238</v>
      </c>
      <c r="BZ686" s="3073">
        <v>44153.863194444442</v>
      </c>
      <c r="CA686" s="3070">
        <v>8</v>
      </c>
      <c r="CD686" s="3070" t="s">
        <v>3239</v>
      </c>
      <c r="CF686" s="3070" t="s">
        <v>3091</v>
      </c>
      <c r="CH686" s="3070" t="s">
        <v>3240</v>
      </c>
      <c r="CI686" s="3070">
        <v>0</v>
      </c>
      <c r="CJ686" s="3070" t="s">
        <v>3259</v>
      </c>
      <c r="CK686" s="3070" t="s">
        <v>3337</v>
      </c>
      <c r="CL686" s="3070" t="s">
        <v>3337</v>
      </c>
      <c r="CM686" s="3070">
        <v>1431664.22</v>
      </c>
      <c r="CV686" s="3070" t="s">
        <v>3258</v>
      </c>
      <c r="CW686" s="3070" t="s">
        <v>8843</v>
      </c>
      <c r="CX686" s="3070" t="s">
        <v>3311</v>
      </c>
      <c r="CZ686" s="3070">
        <v>213894.57</v>
      </c>
      <c r="DA686" s="3070">
        <v>159426.93</v>
      </c>
      <c r="DB686" s="3070">
        <v>0</v>
      </c>
      <c r="DC686" s="3070">
        <v>0</v>
      </c>
      <c r="DD686" s="3070">
        <v>3290547602</v>
      </c>
      <c r="DE686" s="3070">
        <v>2764253109</v>
      </c>
      <c r="DF686" s="3070">
        <v>1464966739</v>
      </c>
      <c r="DG686" s="3070">
        <v>14938370</v>
      </c>
      <c r="DH686" s="3070">
        <v>1284348000</v>
      </c>
      <c r="DI686" s="3070">
        <v>1278128000</v>
      </c>
      <c r="DJ686" s="3070">
        <v>6220000</v>
      </c>
      <c r="DK686" s="3070">
        <v>0</v>
      </c>
      <c r="DL686" s="3070">
        <v>0</v>
      </c>
      <c r="DM686" s="3070">
        <v>25491817.620000001</v>
      </c>
      <c r="DN686" s="3070">
        <v>2764253109</v>
      </c>
      <c r="DP686" s="3070">
        <v>2764253109</v>
      </c>
    </row>
    <row r="687" spans="1:120">
      <c r="A687" s="3070">
        <v>686</v>
      </c>
      <c r="B687" s="3070" t="s">
        <v>3224</v>
      </c>
      <c r="C687" s="3070">
        <v>8</v>
      </c>
      <c r="D687" s="3070">
        <v>1</v>
      </c>
      <c r="E687" s="3070">
        <v>1302</v>
      </c>
      <c r="F687" s="3070" t="s">
        <v>8844</v>
      </c>
      <c r="G687" s="3070" t="s">
        <v>8845</v>
      </c>
      <c r="H687" s="3070">
        <v>1149519</v>
      </c>
      <c r="I687" s="3070">
        <v>1149519</v>
      </c>
      <c r="J687" s="3070">
        <v>84.62</v>
      </c>
      <c r="K687" s="3070">
        <v>62.38</v>
      </c>
      <c r="L687" s="3070">
        <v>0</v>
      </c>
      <c r="M687" s="3070">
        <v>0</v>
      </c>
      <c r="N687" s="3070">
        <v>16133.44</v>
      </c>
      <c r="O687" s="3070">
        <v>1365212</v>
      </c>
      <c r="P687" s="3070">
        <v>13584.48</v>
      </c>
      <c r="Q687" s="3070">
        <v>1149519</v>
      </c>
      <c r="R687" s="3070" t="s">
        <v>3227</v>
      </c>
      <c r="S687" s="3070" t="s">
        <v>8846</v>
      </c>
      <c r="T687" s="3070" t="s">
        <v>3258</v>
      </c>
      <c r="U687" s="3070" t="s">
        <v>3259</v>
      </c>
      <c r="V687" s="3070" t="s">
        <v>3230</v>
      </c>
      <c r="Y687" s="3070">
        <v>509519</v>
      </c>
      <c r="Z687" s="3070">
        <v>509519</v>
      </c>
      <c r="AA687" s="3070">
        <v>509519</v>
      </c>
      <c r="AB687" s="3070">
        <v>0</v>
      </c>
      <c r="AC687" s="3070">
        <v>640000</v>
      </c>
      <c r="AD687" s="3070">
        <v>640000</v>
      </c>
      <c r="AE687" s="3070">
        <v>0</v>
      </c>
      <c r="AI687" s="3070" t="s">
        <v>3227</v>
      </c>
      <c r="AJ687" s="3070">
        <v>0</v>
      </c>
      <c r="AK687" s="3070">
        <v>0</v>
      </c>
      <c r="AL687" s="3070">
        <v>0</v>
      </c>
      <c r="AM687" s="3070">
        <v>13584.48</v>
      </c>
      <c r="AN687" s="3070">
        <v>1149519</v>
      </c>
      <c r="AP687" s="3070">
        <v>1149519</v>
      </c>
      <c r="AQ687" s="3072">
        <v>45230</v>
      </c>
      <c r="AT687" s="3073">
        <v>45770</v>
      </c>
      <c r="AV687" s="3070" t="s">
        <v>8847</v>
      </c>
      <c r="AW687" s="3070" t="s">
        <v>8848</v>
      </c>
      <c r="AX687" s="3070" t="s">
        <v>8849</v>
      </c>
      <c r="AY687" s="3070" t="s">
        <v>3393</v>
      </c>
      <c r="BA687" s="3070" t="s">
        <v>3393</v>
      </c>
      <c r="BC687" s="3070" t="s">
        <v>4619</v>
      </c>
      <c r="BD687" s="3070" t="s">
        <v>3076</v>
      </c>
      <c r="BI687" s="3070" t="s">
        <v>3235</v>
      </c>
      <c r="BL687" s="3070" t="s">
        <v>8850</v>
      </c>
      <c r="BM687" s="3075">
        <v>44409</v>
      </c>
      <c r="BN687" s="3070">
        <v>-13</v>
      </c>
      <c r="BO687" s="3070" t="s">
        <v>3253</v>
      </c>
      <c r="BP687" s="3070" t="s">
        <v>3253</v>
      </c>
      <c r="BR687" s="3070">
        <v>18</v>
      </c>
      <c r="BS687" s="3070" t="s">
        <v>3238</v>
      </c>
      <c r="BU687" s="3070" t="s">
        <v>3393</v>
      </c>
      <c r="BV687" s="3070" t="s">
        <v>8851</v>
      </c>
      <c r="BZ687" s="3073">
        <v>44177.690972222219</v>
      </c>
      <c r="CA687" s="3070">
        <v>8</v>
      </c>
      <c r="CD687" s="3070" t="s">
        <v>3239</v>
      </c>
      <c r="CF687" s="3070" t="s">
        <v>3091</v>
      </c>
      <c r="CH687" s="3070" t="s">
        <v>3240</v>
      </c>
      <c r="CI687" s="3070">
        <v>0</v>
      </c>
      <c r="CJ687" s="3070" t="s">
        <v>3259</v>
      </c>
      <c r="CK687" s="3070" t="s">
        <v>3393</v>
      </c>
      <c r="CL687" s="3070" t="s">
        <v>3393</v>
      </c>
      <c r="CM687" s="3070">
        <v>1054604.5900000001</v>
      </c>
      <c r="CV687" s="3070" t="s">
        <v>3258</v>
      </c>
      <c r="CW687" s="3070" t="s">
        <v>8852</v>
      </c>
      <c r="CX687" s="3070" t="s">
        <v>3510</v>
      </c>
      <c r="CZ687" s="3070">
        <v>213894.57</v>
      </c>
      <c r="DA687" s="3070">
        <v>159426.93</v>
      </c>
      <c r="DB687" s="3070">
        <v>0</v>
      </c>
      <c r="DC687" s="3070">
        <v>0</v>
      </c>
      <c r="DD687" s="3070">
        <v>3290547602</v>
      </c>
      <c r="DE687" s="3070">
        <v>2764253109</v>
      </c>
      <c r="DF687" s="3070">
        <v>1464966739</v>
      </c>
      <c r="DG687" s="3070">
        <v>14938370</v>
      </c>
      <c r="DH687" s="3070">
        <v>1284348000</v>
      </c>
      <c r="DI687" s="3070">
        <v>1278128000</v>
      </c>
      <c r="DJ687" s="3070">
        <v>6220000</v>
      </c>
      <c r="DK687" s="3070">
        <v>0</v>
      </c>
      <c r="DL687" s="3070">
        <v>0</v>
      </c>
      <c r="DM687" s="3070">
        <v>25491817.620000001</v>
      </c>
      <c r="DN687" s="3070">
        <v>2764253109</v>
      </c>
      <c r="DP687" s="3070">
        <v>2764253109</v>
      </c>
    </row>
    <row r="688" spans="1:120">
      <c r="A688" s="3070">
        <v>687</v>
      </c>
      <c r="B688" s="3070" t="s">
        <v>3224</v>
      </c>
      <c r="C688" s="3070">
        <v>8</v>
      </c>
      <c r="D688" s="3070">
        <v>1</v>
      </c>
      <c r="E688" s="3070">
        <v>1303</v>
      </c>
      <c r="F688" s="3070" t="s">
        <v>8853</v>
      </c>
      <c r="G688" s="3070" t="s">
        <v>8854</v>
      </c>
      <c r="H688" s="3070">
        <v>1091966</v>
      </c>
      <c r="I688" s="3070">
        <v>1091966</v>
      </c>
      <c r="J688" s="3070">
        <v>84.62</v>
      </c>
      <c r="K688" s="3070">
        <v>62.38</v>
      </c>
      <c r="L688" s="3070">
        <v>0</v>
      </c>
      <c r="M688" s="3070">
        <v>0</v>
      </c>
      <c r="N688" s="3070">
        <v>16133.44</v>
      </c>
      <c r="O688" s="3070">
        <v>1365212</v>
      </c>
      <c r="P688" s="3070">
        <v>12904.35</v>
      </c>
      <c r="Q688" s="3070">
        <v>1091966</v>
      </c>
      <c r="R688" s="3070" t="s">
        <v>3227</v>
      </c>
      <c r="S688" s="3070" t="s">
        <v>8855</v>
      </c>
      <c r="T688" s="3070" t="s">
        <v>3246</v>
      </c>
      <c r="U688" s="3070" t="s">
        <v>3247</v>
      </c>
      <c r="V688" s="3070" t="s">
        <v>3230</v>
      </c>
      <c r="Y688" s="3070">
        <v>361966</v>
      </c>
      <c r="Z688" s="3070">
        <v>361966</v>
      </c>
      <c r="AA688" s="3070">
        <v>361966</v>
      </c>
      <c r="AB688" s="3070">
        <v>0</v>
      </c>
      <c r="AC688" s="3070">
        <v>730000</v>
      </c>
      <c r="AD688" s="3070">
        <v>730000</v>
      </c>
      <c r="AE688" s="3070">
        <v>0</v>
      </c>
      <c r="AI688" s="3070" t="s">
        <v>3227</v>
      </c>
      <c r="AJ688" s="3070">
        <v>0</v>
      </c>
      <c r="AK688" s="3070">
        <v>0</v>
      </c>
      <c r="AL688" s="3070">
        <v>0</v>
      </c>
      <c r="AM688" s="3070">
        <v>12904.35</v>
      </c>
      <c r="AN688" s="3070">
        <v>1091966</v>
      </c>
      <c r="AP688" s="3070">
        <v>1091966</v>
      </c>
      <c r="AQ688" s="3072">
        <v>45230</v>
      </c>
      <c r="AT688" s="3073">
        <v>45770</v>
      </c>
      <c r="AV688" s="3074">
        <v>3.21E+17</v>
      </c>
      <c r="AW688" s="3070" t="s">
        <v>8856</v>
      </c>
      <c r="AX688" s="3070" t="s">
        <v>8857</v>
      </c>
      <c r="AY688" s="3070" t="s">
        <v>3429</v>
      </c>
      <c r="BC688" s="3070" t="s">
        <v>3507</v>
      </c>
      <c r="BD688" s="3070" t="s">
        <v>3076</v>
      </c>
      <c r="BI688" s="3070" t="s">
        <v>3235</v>
      </c>
      <c r="BL688" s="3070" t="s">
        <v>8858</v>
      </c>
      <c r="BM688" s="3075">
        <v>44409</v>
      </c>
      <c r="BN688" s="3070">
        <v>-13</v>
      </c>
      <c r="BO688" s="3070" t="s">
        <v>3253</v>
      </c>
      <c r="BR688" s="3070">
        <v>835</v>
      </c>
      <c r="BS688" s="3070" t="s">
        <v>3238</v>
      </c>
      <c r="BZ688" s="3073">
        <v>44142.624305555553</v>
      </c>
      <c r="CA688" s="3070">
        <v>8</v>
      </c>
      <c r="CD688" s="3070" t="s">
        <v>3239</v>
      </c>
      <c r="CF688" s="3070" t="s">
        <v>3091</v>
      </c>
      <c r="CH688" s="3070" t="s">
        <v>3240</v>
      </c>
      <c r="CI688" s="3070">
        <v>0</v>
      </c>
      <c r="CK688" s="3070" t="s">
        <v>3429</v>
      </c>
      <c r="CL688" s="3070" t="s">
        <v>3429</v>
      </c>
      <c r="CM688" s="3070">
        <v>1001803.67</v>
      </c>
      <c r="CV688" s="3070" t="s">
        <v>3246</v>
      </c>
      <c r="CW688" s="3070" t="s">
        <v>8859</v>
      </c>
      <c r="CX688" s="3070" t="s">
        <v>3510</v>
      </c>
      <c r="CZ688" s="3070">
        <v>213894.57</v>
      </c>
      <c r="DA688" s="3070">
        <v>159426.93</v>
      </c>
      <c r="DB688" s="3070">
        <v>0</v>
      </c>
      <c r="DC688" s="3070">
        <v>0</v>
      </c>
      <c r="DD688" s="3070">
        <v>3290547602</v>
      </c>
      <c r="DE688" s="3070">
        <v>2764253109</v>
      </c>
      <c r="DF688" s="3070">
        <v>1464966739</v>
      </c>
      <c r="DG688" s="3070">
        <v>14938370</v>
      </c>
      <c r="DH688" s="3070">
        <v>1284348000</v>
      </c>
      <c r="DI688" s="3070">
        <v>1278128000</v>
      </c>
      <c r="DJ688" s="3070">
        <v>6220000</v>
      </c>
      <c r="DK688" s="3070">
        <v>0</v>
      </c>
      <c r="DL688" s="3070">
        <v>0</v>
      </c>
      <c r="DM688" s="3070">
        <v>25491817.620000001</v>
      </c>
      <c r="DN688" s="3070">
        <v>2764253109</v>
      </c>
      <c r="DP688" s="3070">
        <v>2764253109</v>
      </c>
    </row>
    <row r="689" spans="1:120">
      <c r="A689" s="3070">
        <v>688</v>
      </c>
      <c r="B689" s="3070" t="s">
        <v>3224</v>
      </c>
      <c r="C689" s="3070">
        <v>8</v>
      </c>
      <c r="D689" s="3070">
        <v>1</v>
      </c>
      <c r="E689" s="3070">
        <v>1304</v>
      </c>
      <c r="F689" s="3070" t="s">
        <v>8860</v>
      </c>
      <c r="G689" s="3070" t="s">
        <v>8861</v>
      </c>
      <c r="H689" s="3070">
        <v>1492881</v>
      </c>
      <c r="I689" s="3070">
        <v>1492881</v>
      </c>
      <c r="J689" s="3070">
        <v>108.82</v>
      </c>
      <c r="K689" s="3070">
        <v>80.22</v>
      </c>
      <c r="L689" s="3070">
        <v>0</v>
      </c>
      <c r="M689" s="3070">
        <v>0</v>
      </c>
      <c r="N689" s="3070">
        <v>16034.44</v>
      </c>
      <c r="O689" s="3070">
        <v>1744868</v>
      </c>
      <c r="P689" s="3070">
        <v>13718.81</v>
      </c>
      <c r="Q689" s="3070">
        <v>1492881</v>
      </c>
      <c r="R689" s="3070" t="s">
        <v>3227</v>
      </c>
      <c r="S689" s="3070" t="s">
        <v>8862</v>
      </c>
      <c r="T689" s="3070" t="s">
        <v>3258</v>
      </c>
      <c r="U689" s="3070" t="s">
        <v>3259</v>
      </c>
      <c r="V689" s="3070" t="s">
        <v>3230</v>
      </c>
      <c r="Y689" s="3070">
        <v>502881</v>
      </c>
      <c r="Z689" s="3070">
        <v>179146</v>
      </c>
      <c r="AA689" s="3070">
        <v>502881</v>
      </c>
      <c r="AB689" s="3070">
        <v>0</v>
      </c>
      <c r="AC689" s="3070">
        <v>990000</v>
      </c>
      <c r="AD689" s="3070">
        <v>990000</v>
      </c>
      <c r="AE689" s="3070">
        <v>0</v>
      </c>
      <c r="AI689" s="3070" t="s">
        <v>3227</v>
      </c>
      <c r="AJ689" s="3070">
        <v>0</v>
      </c>
      <c r="AK689" s="3070">
        <v>0</v>
      </c>
      <c r="AL689" s="3070">
        <v>0</v>
      </c>
      <c r="AM689" s="3070">
        <v>13718.81</v>
      </c>
      <c r="AN689" s="3070">
        <v>1492881</v>
      </c>
      <c r="AP689" s="3070">
        <v>1492881</v>
      </c>
      <c r="AQ689" s="3072">
        <v>45230</v>
      </c>
      <c r="AT689" s="3073">
        <v>45770</v>
      </c>
      <c r="AV689" s="3074">
        <v>3.21E+17</v>
      </c>
      <c r="AW689" s="3070" t="s">
        <v>8863</v>
      </c>
      <c r="AX689" s="3070" t="s">
        <v>8864</v>
      </c>
      <c r="AY689" s="3070" t="s">
        <v>3411</v>
      </c>
      <c r="BC689" s="3070" t="s">
        <v>3982</v>
      </c>
      <c r="BD689" s="3070" t="s">
        <v>3077</v>
      </c>
      <c r="BI689" s="3070" t="s">
        <v>3235</v>
      </c>
      <c r="BL689" s="3070" t="s">
        <v>8865</v>
      </c>
      <c r="BM689" s="3075">
        <v>44409</v>
      </c>
      <c r="BN689" s="3070">
        <v>-13</v>
      </c>
      <c r="BO689" s="3070" t="s">
        <v>3253</v>
      </c>
      <c r="BP689" s="3070" t="s">
        <v>3253</v>
      </c>
      <c r="BR689" s="3070">
        <v>16</v>
      </c>
      <c r="BS689" s="3070" t="s">
        <v>3238</v>
      </c>
      <c r="BT689" s="3070" t="s">
        <v>3481</v>
      </c>
      <c r="BV689" s="3070" t="s">
        <v>8866</v>
      </c>
      <c r="BZ689" s="3073">
        <v>44184.817361111112</v>
      </c>
      <c r="CA689" s="3070">
        <v>8</v>
      </c>
      <c r="CB689" s="3070" t="s">
        <v>3481</v>
      </c>
      <c r="CD689" s="3070" t="s">
        <v>3239</v>
      </c>
      <c r="CF689" s="3070" t="s">
        <v>3091</v>
      </c>
      <c r="CH689" s="3070" t="s">
        <v>3240</v>
      </c>
      <c r="CI689" s="3070">
        <v>0</v>
      </c>
      <c r="CJ689" s="3070" t="s">
        <v>3259</v>
      </c>
      <c r="CK689" s="3070" t="s">
        <v>3411</v>
      </c>
      <c r="CL689" s="3070" t="s">
        <v>3411</v>
      </c>
      <c r="CM689" s="3070">
        <v>1369615.6</v>
      </c>
      <c r="CV689" s="3070" t="s">
        <v>3258</v>
      </c>
      <c r="CW689" s="3070" t="s">
        <v>8867</v>
      </c>
      <c r="CZ689" s="3070">
        <v>213894.57</v>
      </c>
      <c r="DA689" s="3070">
        <v>159426.93</v>
      </c>
      <c r="DB689" s="3070">
        <v>0</v>
      </c>
      <c r="DC689" s="3070">
        <v>0</v>
      </c>
      <c r="DD689" s="3070">
        <v>3290547602</v>
      </c>
      <c r="DE689" s="3070">
        <v>2764253109</v>
      </c>
      <c r="DF689" s="3070">
        <v>1464966739</v>
      </c>
      <c r="DG689" s="3070">
        <v>14938370</v>
      </c>
      <c r="DH689" s="3070">
        <v>1284348000</v>
      </c>
      <c r="DI689" s="3070">
        <v>1278128000</v>
      </c>
      <c r="DJ689" s="3070">
        <v>6220000</v>
      </c>
      <c r="DK689" s="3070">
        <v>0</v>
      </c>
      <c r="DL689" s="3070">
        <v>0</v>
      </c>
      <c r="DM689" s="3070">
        <v>25491817.620000001</v>
      </c>
      <c r="DN689" s="3070">
        <v>2764253109</v>
      </c>
      <c r="DP689" s="3070">
        <v>2764253109</v>
      </c>
    </row>
    <row r="690" spans="1:120">
      <c r="A690" s="3070">
        <v>689</v>
      </c>
      <c r="B690" s="3070" t="s">
        <v>3224</v>
      </c>
      <c r="C690" s="3070">
        <v>8</v>
      </c>
      <c r="D690" s="3070">
        <v>2</v>
      </c>
      <c r="E690" s="3070">
        <v>1305</v>
      </c>
      <c r="F690" s="3070" t="s">
        <v>8868</v>
      </c>
      <c r="G690" s="3070" t="s">
        <v>8869</v>
      </c>
      <c r="H690" s="3070">
        <v>1422669</v>
      </c>
      <c r="I690" s="3070">
        <v>1422669</v>
      </c>
      <c r="J690" s="3070">
        <v>108.82</v>
      </c>
      <c r="K690" s="3070">
        <v>80.22</v>
      </c>
      <c r="L690" s="3070">
        <v>0</v>
      </c>
      <c r="M690" s="3070">
        <v>0</v>
      </c>
      <c r="N690" s="3070">
        <v>16034.44</v>
      </c>
      <c r="O690" s="3070">
        <v>1744868</v>
      </c>
      <c r="P690" s="3070">
        <v>13073.6</v>
      </c>
      <c r="Q690" s="3070">
        <v>1422669</v>
      </c>
      <c r="R690" s="3070" t="s">
        <v>3227</v>
      </c>
      <c r="S690" s="3070" t="s">
        <v>8870</v>
      </c>
      <c r="T690" s="3070" t="s">
        <v>3246</v>
      </c>
      <c r="U690" s="3070" t="s">
        <v>3539</v>
      </c>
      <c r="V690" s="3070" t="s">
        <v>3230</v>
      </c>
      <c r="Y690" s="3070">
        <v>382669</v>
      </c>
      <c r="Z690" s="3070">
        <v>382669</v>
      </c>
      <c r="AA690" s="3070">
        <v>722669</v>
      </c>
      <c r="AB690" s="3070">
        <v>0</v>
      </c>
      <c r="AC690" s="3070">
        <v>700000</v>
      </c>
      <c r="AD690" s="3070">
        <v>700000</v>
      </c>
      <c r="AE690" s="3070">
        <v>0</v>
      </c>
      <c r="AI690" s="3070" t="s">
        <v>3227</v>
      </c>
      <c r="AJ690" s="3070">
        <v>0</v>
      </c>
      <c r="AK690" s="3070">
        <v>0</v>
      </c>
      <c r="AL690" s="3070">
        <v>0</v>
      </c>
      <c r="AM690" s="3070">
        <v>13073.6</v>
      </c>
      <c r="AN690" s="3070">
        <v>1422669</v>
      </c>
      <c r="AP690" s="3070">
        <v>1422669</v>
      </c>
      <c r="AQ690" s="3072">
        <v>45230</v>
      </c>
      <c r="AT690" s="3073">
        <v>45770</v>
      </c>
      <c r="AV690" s="3070" t="s">
        <v>8871</v>
      </c>
      <c r="AW690" s="3070" t="s">
        <v>8872</v>
      </c>
      <c r="AX690" s="3070" t="s">
        <v>8873</v>
      </c>
      <c r="AY690" s="3070" t="s">
        <v>3648</v>
      </c>
      <c r="BC690" s="3070" t="s">
        <v>3284</v>
      </c>
      <c r="BD690" s="3070" t="s">
        <v>3077</v>
      </c>
      <c r="BI690" s="3070" t="s">
        <v>3235</v>
      </c>
      <c r="BJ690" s="3070" t="s">
        <v>3338</v>
      </c>
      <c r="BL690" s="3070" t="s">
        <v>8874</v>
      </c>
      <c r="BM690" s="3075">
        <v>44410</v>
      </c>
      <c r="BN690" s="3070">
        <v>-13</v>
      </c>
      <c r="BO690" s="3070" t="s">
        <v>3253</v>
      </c>
      <c r="BR690" s="3070">
        <v>341</v>
      </c>
      <c r="BS690" s="3070" t="s">
        <v>3238</v>
      </c>
      <c r="BZ690" s="3073">
        <v>44142.615972222222</v>
      </c>
      <c r="CA690" s="3070">
        <v>8</v>
      </c>
      <c r="CD690" s="3070" t="s">
        <v>3239</v>
      </c>
      <c r="CF690" s="3070" t="s">
        <v>3091</v>
      </c>
      <c r="CH690" s="3070" t="s">
        <v>3240</v>
      </c>
      <c r="CI690" s="3070">
        <v>0</v>
      </c>
      <c r="CK690" s="3070" t="s">
        <v>3648</v>
      </c>
      <c r="CL690" s="3070" t="s">
        <v>3648</v>
      </c>
      <c r="CM690" s="3070">
        <v>1305200.9099999999</v>
      </c>
      <c r="CV690" s="3070" t="s">
        <v>3246</v>
      </c>
      <c r="CW690" s="3070" t="s">
        <v>8875</v>
      </c>
      <c r="CZ690" s="3070">
        <v>213894.57</v>
      </c>
      <c r="DA690" s="3070">
        <v>159426.93</v>
      </c>
      <c r="DB690" s="3070">
        <v>0</v>
      </c>
      <c r="DC690" s="3070">
        <v>0</v>
      </c>
      <c r="DD690" s="3070">
        <v>3290547602</v>
      </c>
      <c r="DE690" s="3070">
        <v>2764253109</v>
      </c>
      <c r="DF690" s="3070">
        <v>1464966739</v>
      </c>
      <c r="DG690" s="3070">
        <v>14938370</v>
      </c>
      <c r="DH690" s="3070">
        <v>1284348000</v>
      </c>
      <c r="DI690" s="3070">
        <v>1278128000</v>
      </c>
      <c r="DJ690" s="3070">
        <v>6220000</v>
      </c>
      <c r="DK690" s="3070">
        <v>0</v>
      </c>
      <c r="DL690" s="3070">
        <v>0</v>
      </c>
      <c r="DM690" s="3070">
        <v>25491817.620000001</v>
      </c>
      <c r="DN690" s="3070">
        <v>2764253109</v>
      </c>
      <c r="DP690" s="3070">
        <v>2764253109</v>
      </c>
    </row>
    <row r="691" spans="1:120">
      <c r="A691" s="3070">
        <v>690</v>
      </c>
      <c r="B691" s="3070" t="s">
        <v>3224</v>
      </c>
      <c r="C691" s="3070">
        <v>8</v>
      </c>
      <c r="D691" s="3070">
        <v>2</v>
      </c>
      <c r="E691" s="3070">
        <v>1306</v>
      </c>
      <c r="F691" s="3070" t="s">
        <v>8876</v>
      </c>
      <c r="G691" s="3070" t="s">
        <v>8877</v>
      </c>
      <c r="H691" s="3070">
        <v>1174341</v>
      </c>
      <c r="I691" s="3070">
        <v>1174341</v>
      </c>
      <c r="J691" s="3070">
        <v>84.62</v>
      </c>
      <c r="K691" s="3070">
        <v>62.38</v>
      </c>
      <c r="L691" s="3070">
        <v>0</v>
      </c>
      <c r="M691" s="3070">
        <v>0</v>
      </c>
      <c r="N691" s="3070">
        <v>16133.44</v>
      </c>
      <c r="O691" s="3070">
        <v>1365212</v>
      </c>
      <c r="P691" s="3070">
        <v>13877.82</v>
      </c>
      <c r="Q691" s="3070">
        <v>1174341</v>
      </c>
      <c r="R691" s="3070" t="s">
        <v>3227</v>
      </c>
      <c r="S691" s="3070" t="s">
        <v>8878</v>
      </c>
      <c r="T691" s="3070" t="s">
        <v>3246</v>
      </c>
      <c r="U691" s="3070" t="s">
        <v>3247</v>
      </c>
      <c r="V691" s="3070" t="s">
        <v>3230</v>
      </c>
      <c r="Y691" s="3070">
        <v>574341</v>
      </c>
      <c r="Z691" s="3070">
        <v>574341</v>
      </c>
      <c r="AA691" s="3070">
        <v>574341</v>
      </c>
      <c r="AB691" s="3070">
        <v>0</v>
      </c>
      <c r="AC691" s="3070">
        <v>600000</v>
      </c>
      <c r="AD691" s="3070">
        <v>600000</v>
      </c>
      <c r="AE691" s="3070">
        <v>0</v>
      </c>
      <c r="AI691" s="3070" t="s">
        <v>3227</v>
      </c>
      <c r="AJ691" s="3070">
        <v>0</v>
      </c>
      <c r="AK691" s="3070">
        <v>0</v>
      </c>
      <c r="AL691" s="3070">
        <v>0</v>
      </c>
      <c r="AM691" s="3070">
        <v>13877.82</v>
      </c>
      <c r="AN691" s="3070">
        <v>1174341</v>
      </c>
      <c r="AP691" s="3070">
        <v>1174341</v>
      </c>
      <c r="AQ691" s="3072">
        <v>45230</v>
      </c>
      <c r="AT691" s="3073">
        <v>45770</v>
      </c>
      <c r="AV691" s="3070" t="s">
        <v>8879</v>
      </c>
      <c r="AW691" s="3070" t="s">
        <v>8880</v>
      </c>
      <c r="AX691" s="3070" t="s">
        <v>8881</v>
      </c>
      <c r="AY691" s="3070" t="s">
        <v>3233</v>
      </c>
      <c r="BC691" s="3070" t="s">
        <v>8882</v>
      </c>
      <c r="BD691" s="3070" t="s">
        <v>3076</v>
      </c>
      <c r="BI691" s="3070" t="s">
        <v>3235</v>
      </c>
      <c r="BJ691" s="3070" t="s">
        <v>3296</v>
      </c>
      <c r="BL691" s="3070" t="s">
        <v>8883</v>
      </c>
      <c r="BM691" s="3075">
        <v>44410</v>
      </c>
      <c r="BN691" s="3070">
        <v>-13</v>
      </c>
      <c r="BO691" s="3070" t="s">
        <v>3253</v>
      </c>
      <c r="BR691" s="3070">
        <v>0</v>
      </c>
      <c r="BS691" s="3070" t="s">
        <v>3238</v>
      </c>
      <c r="BZ691" s="3073">
        <v>44161.379861111112</v>
      </c>
      <c r="CA691" s="3070">
        <v>8</v>
      </c>
      <c r="CD691" s="3070" t="s">
        <v>3239</v>
      </c>
      <c r="CF691" s="3070" t="s">
        <v>3091</v>
      </c>
      <c r="CH691" s="3070" t="s">
        <v>3240</v>
      </c>
      <c r="CI691" s="3070">
        <v>0</v>
      </c>
      <c r="CK691" s="3070" t="s">
        <v>3233</v>
      </c>
      <c r="CL691" s="3070" t="s">
        <v>3233</v>
      </c>
      <c r="CM691" s="3070">
        <v>1077377.06</v>
      </c>
      <c r="CV691" s="3070" t="s">
        <v>3246</v>
      </c>
      <c r="CW691" s="3070" t="s">
        <v>8884</v>
      </c>
      <c r="CZ691" s="3070">
        <v>213894.57</v>
      </c>
      <c r="DA691" s="3070">
        <v>159426.93</v>
      </c>
      <c r="DB691" s="3070">
        <v>0</v>
      </c>
      <c r="DC691" s="3070">
        <v>0</v>
      </c>
      <c r="DD691" s="3070">
        <v>3290547602</v>
      </c>
      <c r="DE691" s="3070">
        <v>2764253109</v>
      </c>
      <c r="DF691" s="3070">
        <v>1464966739</v>
      </c>
      <c r="DG691" s="3070">
        <v>14938370</v>
      </c>
      <c r="DH691" s="3070">
        <v>1284348000</v>
      </c>
      <c r="DI691" s="3070">
        <v>1278128000</v>
      </c>
      <c r="DJ691" s="3070">
        <v>6220000</v>
      </c>
      <c r="DK691" s="3070">
        <v>0</v>
      </c>
      <c r="DL691" s="3070">
        <v>0</v>
      </c>
      <c r="DM691" s="3070">
        <v>25491817.620000001</v>
      </c>
      <c r="DN691" s="3070">
        <v>2764253109</v>
      </c>
      <c r="DP691" s="3070">
        <v>2764253109</v>
      </c>
    </row>
    <row r="692" spans="1:120">
      <c r="A692" s="3070">
        <v>691</v>
      </c>
      <c r="B692" s="3070" t="s">
        <v>3224</v>
      </c>
      <c r="C692" s="3070">
        <v>8</v>
      </c>
      <c r="D692" s="3070">
        <v>2</v>
      </c>
      <c r="E692" s="3070">
        <v>1307</v>
      </c>
      <c r="F692" s="3070" t="s">
        <v>8885</v>
      </c>
      <c r="G692" s="3070" t="s">
        <v>8886</v>
      </c>
      <c r="H692" s="3070">
        <v>1114251</v>
      </c>
      <c r="I692" s="3070">
        <v>1114251</v>
      </c>
      <c r="J692" s="3070">
        <v>84.62</v>
      </c>
      <c r="K692" s="3070">
        <v>62.38</v>
      </c>
      <c r="L692" s="3070">
        <v>0</v>
      </c>
      <c r="M692" s="3070">
        <v>0</v>
      </c>
      <c r="N692" s="3070">
        <v>16133.44</v>
      </c>
      <c r="O692" s="3070">
        <v>1365212</v>
      </c>
      <c r="P692" s="3070">
        <v>13167.7</v>
      </c>
      <c r="Q692" s="3070">
        <v>1114251</v>
      </c>
      <c r="R692" s="3070" t="s">
        <v>3227</v>
      </c>
      <c r="S692" s="3070" t="s">
        <v>8887</v>
      </c>
      <c r="T692" s="3070" t="s">
        <v>3246</v>
      </c>
      <c r="U692" s="3070" t="s">
        <v>3247</v>
      </c>
      <c r="V692" s="3070" t="s">
        <v>3230</v>
      </c>
      <c r="Y692" s="3070">
        <v>344251</v>
      </c>
      <c r="Z692" s="3070">
        <v>344251</v>
      </c>
      <c r="AA692" s="3070">
        <v>344251</v>
      </c>
      <c r="AB692" s="3070">
        <v>0</v>
      </c>
      <c r="AC692" s="3070">
        <v>770000</v>
      </c>
      <c r="AD692" s="3070">
        <v>770000</v>
      </c>
      <c r="AE692" s="3070">
        <v>0</v>
      </c>
      <c r="AI692" s="3070" t="s">
        <v>3227</v>
      </c>
      <c r="AJ692" s="3070">
        <v>0</v>
      </c>
      <c r="AK692" s="3070">
        <v>0</v>
      </c>
      <c r="AL692" s="3070">
        <v>0</v>
      </c>
      <c r="AM692" s="3070">
        <v>13167.7</v>
      </c>
      <c r="AN692" s="3070">
        <v>1114251</v>
      </c>
      <c r="AP692" s="3070">
        <v>1114251</v>
      </c>
      <c r="AQ692" s="3072">
        <v>45230</v>
      </c>
      <c r="AT692" s="3073">
        <v>45770</v>
      </c>
      <c r="AV692" s="3074">
        <v>3.21E+17</v>
      </c>
      <c r="AW692" s="3070" t="s">
        <v>8888</v>
      </c>
      <c r="AX692" s="3070" t="s">
        <v>8889</v>
      </c>
      <c r="AY692" s="3070" t="s">
        <v>3607</v>
      </c>
      <c r="BC692" s="3070" t="s">
        <v>3284</v>
      </c>
      <c r="BD692" s="3070" t="s">
        <v>3076</v>
      </c>
      <c r="BI692" s="3070" t="s">
        <v>3235</v>
      </c>
      <c r="BJ692" s="3070" t="s">
        <v>3338</v>
      </c>
      <c r="BL692" s="3070" t="s">
        <v>8890</v>
      </c>
      <c r="BM692" s="3075">
        <v>44410</v>
      </c>
      <c r="BN692" s="3070">
        <v>-13</v>
      </c>
      <c r="BO692" s="3070" t="s">
        <v>3253</v>
      </c>
      <c r="BR692" s="3070">
        <v>453</v>
      </c>
      <c r="BS692" s="3070" t="s">
        <v>3238</v>
      </c>
      <c r="BZ692" s="3073">
        <v>44148.776388888888</v>
      </c>
      <c r="CA692" s="3070">
        <v>8</v>
      </c>
      <c r="CD692" s="3070" t="s">
        <v>3239</v>
      </c>
      <c r="CF692" s="3070" t="s">
        <v>3091</v>
      </c>
      <c r="CH692" s="3070" t="s">
        <v>3240</v>
      </c>
      <c r="CI692" s="3070">
        <v>0</v>
      </c>
      <c r="CK692" s="3070" t="s">
        <v>3607</v>
      </c>
      <c r="CL692" s="3070" t="s">
        <v>3607</v>
      </c>
      <c r="CM692" s="3070">
        <v>1022248.62</v>
      </c>
      <c r="CV692" s="3070" t="s">
        <v>3246</v>
      </c>
      <c r="CW692" s="3070" t="s">
        <v>8891</v>
      </c>
      <c r="CX692" s="3070" t="s">
        <v>3510</v>
      </c>
      <c r="CZ692" s="3070">
        <v>213894.57</v>
      </c>
      <c r="DA692" s="3070">
        <v>159426.93</v>
      </c>
      <c r="DB692" s="3070">
        <v>0</v>
      </c>
      <c r="DC692" s="3070">
        <v>0</v>
      </c>
      <c r="DD692" s="3070">
        <v>3290547602</v>
      </c>
      <c r="DE692" s="3070">
        <v>2764253109</v>
      </c>
      <c r="DF692" s="3070">
        <v>1464966739</v>
      </c>
      <c r="DG692" s="3070">
        <v>14938370</v>
      </c>
      <c r="DH692" s="3070">
        <v>1284348000</v>
      </c>
      <c r="DI692" s="3070">
        <v>1278128000</v>
      </c>
      <c r="DJ692" s="3070">
        <v>6220000</v>
      </c>
      <c r="DK692" s="3070">
        <v>0</v>
      </c>
      <c r="DL692" s="3070">
        <v>0</v>
      </c>
      <c r="DM692" s="3070">
        <v>25491817.620000001</v>
      </c>
      <c r="DN692" s="3070">
        <v>2764253109</v>
      </c>
      <c r="DP692" s="3070">
        <v>2764253109</v>
      </c>
    </row>
    <row r="693" spans="1:120">
      <c r="A693" s="3070">
        <v>692</v>
      </c>
      <c r="B693" s="3070" t="s">
        <v>3224</v>
      </c>
      <c r="C693" s="3070">
        <v>8</v>
      </c>
      <c r="D693" s="3070">
        <v>2</v>
      </c>
      <c r="E693" s="3070">
        <v>1308</v>
      </c>
      <c r="F693" s="3070" t="s">
        <v>8892</v>
      </c>
      <c r="G693" s="3070" t="s">
        <v>8893</v>
      </c>
      <c r="H693" s="3070">
        <v>1537671</v>
      </c>
      <c r="I693" s="3070">
        <v>1537671</v>
      </c>
      <c r="J693" s="3070">
        <v>120.15</v>
      </c>
      <c r="K693" s="3070">
        <v>88.57</v>
      </c>
      <c r="L693" s="3070">
        <v>0</v>
      </c>
      <c r="M693" s="3070">
        <v>0</v>
      </c>
      <c r="N693" s="3070">
        <v>15744.44</v>
      </c>
      <c r="O693" s="3070">
        <v>1891694</v>
      </c>
      <c r="P693" s="3070">
        <v>12797.93</v>
      </c>
      <c r="Q693" s="3070">
        <v>1537671</v>
      </c>
      <c r="R693" s="3070" t="s">
        <v>3227</v>
      </c>
      <c r="S693" s="3070" t="s">
        <v>8894</v>
      </c>
      <c r="T693" s="3070" t="s">
        <v>3246</v>
      </c>
      <c r="U693" s="3070" t="s">
        <v>3259</v>
      </c>
      <c r="V693" s="3070" t="s">
        <v>3230</v>
      </c>
      <c r="Y693" s="3070">
        <v>807671</v>
      </c>
      <c r="Z693" s="3070">
        <v>807671</v>
      </c>
      <c r="AA693" s="3070">
        <v>807671</v>
      </c>
      <c r="AB693" s="3070">
        <v>0</v>
      </c>
      <c r="AC693" s="3070">
        <v>730000</v>
      </c>
      <c r="AD693" s="3070">
        <v>730000</v>
      </c>
      <c r="AE693" s="3070">
        <v>0</v>
      </c>
      <c r="AI693" s="3070" t="s">
        <v>3227</v>
      </c>
      <c r="AJ693" s="3070">
        <v>0</v>
      </c>
      <c r="AK693" s="3070">
        <v>0</v>
      </c>
      <c r="AL693" s="3070">
        <v>0</v>
      </c>
      <c r="AM693" s="3070">
        <v>12797.93</v>
      </c>
      <c r="AN693" s="3070">
        <v>1537671</v>
      </c>
      <c r="AP693" s="3070">
        <v>1537671</v>
      </c>
      <c r="AQ693" s="3072">
        <v>45230</v>
      </c>
      <c r="AT693" s="3073">
        <v>45770</v>
      </c>
      <c r="AV693" s="3070" t="s">
        <v>8895</v>
      </c>
      <c r="AW693" s="3070" t="s">
        <v>8896</v>
      </c>
      <c r="AX693" s="3070" t="s">
        <v>8897</v>
      </c>
      <c r="AY693" s="3070" t="s">
        <v>3318</v>
      </c>
      <c r="BC693" s="3070" t="s">
        <v>3284</v>
      </c>
      <c r="BD693" s="3070" t="s">
        <v>3075</v>
      </c>
      <c r="BI693" s="3070" t="s">
        <v>3295</v>
      </c>
      <c r="BJ693" s="3070" t="s">
        <v>3598</v>
      </c>
      <c r="BL693" s="3070" t="s">
        <v>8898</v>
      </c>
      <c r="BM693" s="3075">
        <v>44410</v>
      </c>
      <c r="BN693" s="3070">
        <v>-13</v>
      </c>
      <c r="BO693" s="3070" t="s">
        <v>3253</v>
      </c>
      <c r="BR693" s="3070">
        <v>378</v>
      </c>
      <c r="BS693" s="3070" t="s">
        <v>3238</v>
      </c>
      <c r="BZ693" s="3073">
        <v>44143.732638888891</v>
      </c>
      <c r="CA693" s="3070">
        <v>8</v>
      </c>
      <c r="CD693" s="3070" t="s">
        <v>3239</v>
      </c>
      <c r="CF693" s="3070" t="s">
        <v>3091</v>
      </c>
      <c r="CH693" s="3070" t="s">
        <v>3240</v>
      </c>
      <c r="CI693" s="3070">
        <v>0</v>
      </c>
      <c r="CK693" s="3070" t="s">
        <v>3318</v>
      </c>
      <c r="CL693" s="3070" t="s">
        <v>3318</v>
      </c>
      <c r="CM693" s="3070">
        <v>1410707.33</v>
      </c>
      <c r="CV693" s="3070" t="s">
        <v>3246</v>
      </c>
      <c r="CW693" s="3070" t="s">
        <v>8899</v>
      </c>
      <c r="CZ693" s="3070">
        <v>213894.57</v>
      </c>
      <c r="DA693" s="3070">
        <v>159426.93</v>
      </c>
      <c r="DB693" s="3070">
        <v>0</v>
      </c>
      <c r="DC693" s="3070">
        <v>0</v>
      </c>
      <c r="DD693" s="3070">
        <v>3290547602</v>
      </c>
      <c r="DE693" s="3070">
        <v>2764253109</v>
      </c>
      <c r="DF693" s="3070">
        <v>1464966739</v>
      </c>
      <c r="DG693" s="3070">
        <v>14938370</v>
      </c>
      <c r="DH693" s="3070">
        <v>1284348000</v>
      </c>
      <c r="DI693" s="3070">
        <v>1278128000</v>
      </c>
      <c r="DJ693" s="3070">
        <v>6220000</v>
      </c>
      <c r="DK693" s="3070">
        <v>0</v>
      </c>
      <c r="DL693" s="3070">
        <v>0</v>
      </c>
      <c r="DM693" s="3070">
        <v>25491817.620000001</v>
      </c>
      <c r="DN693" s="3070">
        <v>2764253109</v>
      </c>
      <c r="DP693" s="3070">
        <v>2764253109</v>
      </c>
    </row>
    <row r="694" spans="1:120">
      <c r="A694" s="3070">
        <v>693</v>
      </c>
      <c r="B694" s="3070" t="s">
        <v>3224</v>
      </c>
      <c r="C694" s="3070">
        <v>8</v>
      </c>
      <c r="D694" s="3070">
        <v>1</v>
      </c>
      <c r="E694" s="3070">
        <v>1401</v>
      </c>
      <c r="F694" s="3070" t="s">
        <v>8900</v>
      </c>
      <c r="G694" s="3070" t="s">
        <v>8901</v>
      </c>
      <c r="H694" s="3070">
        <v>1547380</v>
      </c>
      <c r="I694" s="3070">
        <v>1547380</v>
      </c>
      <c r="J694" s="3070">
        <v>120.15</v>
      </c>
      <c r="K694" s="3070">
        <v>88.57</v>
      </c>
      <c r="L694" s="3070">
        <v>0</v>
      </c>
      <c r="M694" s="3070">
        <v>0</v>
      </c>
      <c r="N694" s="3070">
        <v>15844.44</v>
      </c>
      <c r="O694" s="3070">
        <v>1903709</v>
      </c>
      <c r="P694" s="3070">
        <v>12878.73</v>
      </c>
      <c r="Q694" s="3070">
        <v>1547380</v>
      </c>
      <c r="R694" s="3070" t="s">
        <v>3227</v>
      </c>
      <c r="S694" s="3070" t="s">
        <v>8902</v>
      </c>
      <c r="T694" s="3070" t="s">
        <v>3494</v>
      </c>
      <c r="V694" s="3070" t="s">
        <v>3230</v>
      </c>
      <c r="Y694" s="3070">
        <v>154738</v>
      </c>
      <c r="Z694" s="3070">
        <v>154738</v>
      </c>
      <c r="AA694" s="3070">
        <v>1547380</v>
      </c>
      <c r="AB694" s="3070">
        <v>0</v>
      </c>
      <c r="AC694" s="3070">
        <v>0</v>
      </c>
      <c r="AD694" s="3070">
        <v>0</v>
      </c>
      <c r="AE694" s="3070">
        <v>0</v>
      </c>
      <c r="AI694" s="3070" t="s">
        <v>3227</v>
      </c>
      <c r="AJ694" s="3070">
        <v>0</v>
      </c>
      <c r="AK694" s="3070">
        <v>0</v>
      </c>
      <c r="AL694" s="3070">
        <v>0</v>
      </c>
      <c r="AM694" s="3070">
        <v>12878.73</v>
      </c>
      <c r="AN694" s="3070">
        <v>1547380</v>
      </c>
      <c r="AP694" s="3070">
        <v>1547380</v>
      </c>
      <c r="AQ694" s="3072">
        <v>45230</v>
      </c>
      <c r="AT694" s="3073">
        <v>45770</v>
      </c>
      <c r="AV694" s="3074">
        <v>3.21E+17</v>
      </c>
      <c r="AW694" s="3070" t="s">
        <v>8903</v>
      </c>
      <c r="AX694" s="3070" t="s">
        <v>8904</v>
      </c>
      <c r="AY694" s="3070" t="s">
        <v>3892</v>
      </c>
      <c r="BA694" s="3070" t="s">
        <v>4527</v>
      </c>
      <c r="BC694" s="3070" t="s">
        <v>8905</v>
      </c>
      <c r="BD694" s="3070" t="s">
        <v>3075</v>
      </c>
      <c r="BI694" s="3070" t="s">
        <v>3235</v>
      </c>
      <c r="BL694" s="3070" t="s">
        <v>8906</v>
      </c>
      <c r="BM694" s="3075">
        <v>44409</v>
      </c>
      <c r="BN694" s="3070">
        <v>-14</v>
      </c>
      <c r="BR694" s="3070">
        <v>22</v>
      </c>
      <c r="BS694" s="3070" t="s">
        <v>3238</v>
      </c>
      <c r="BU694" s="3070" t="s">
        <v>4527</v>
      </c>
      <c r="BV694" s="3070" t="s">
        <v>8907</v>
      </c>
      <c r="BZ694" s="3073">
        <v>44196.623611111114</v>
      </c>
      <c r="CA694" s="3070">
        <v>8</v>
      </c>
      <c r="CD694" s="3070" t="s">
        <v>3239</v>
      </c>
      <c r="CF694" s="3070" t="s">
        <v>3091</v>
      </c>
      <c r="CH694" s="3070" t="s">
        <v>3240</v>
      </c>
      <c r="CI694" s="3070">
        <v>0</v>
      </c>
      <c r="CK694" s="3070" t="s">
        <v>3892</v>
      </c>
      <c r="CL694" s="3070" t="s">
        <v>4056</v>
      </c>
      <c r="CM694" s="3070">
        <v>1419614.68</v>
      </c>
      <c r="CV694" s="3070" t="s">
        <v>3494</v>
      </c>
      <c r="CW694" s="3070" t="s">
        <v>8908</v>
      </c>
      <c r="CX694" s="3070" t="s">
        <v>3267</v>
      </c>
      <c r="CZ694" s="3070">
        <v>213894.57</v>
      </c>
      <c r="DA694" s="3070">
        <v>159426.93</v>
      </c>
      <c r="DB694" s="3070">
        <v>0</v>
      </c>
      <c r="DC694" s="3070">
        <v>0</v>
      </c>
      <c r="DD694" s="3070">
        <v>3290547602</v>
      </c>
      <c r="DE694" s="3070">
        <v>2764253109</v>
      </c>
      <c r="DF694" s="3070">
        <v>1464966739</v>
      </c>
      <c r="DG694" s="3070">
        <v>14938370</v>
      </c>
      <c r="DH694" s="3070">
        <v>1284348000</v>
      </c>
      <c r="DI694" s="3070">
        <v>1278128000</v>
      </c>
      <c r="DJ694" s="3070">
        <v>6220000</v>
      </c>
      <c r="DK694" s="3070">
        <v>0</v>
      </c>
      <c r="DL694" s="3070">
        <v>0</v>
      </c>
      <c r="DM694" s="3070">
        <v>25491817.620000001</v>
      </c>
      <c r="DN694" s="3070">
        <v>2764253109</v>
      </c>
      <c r="DP694" s="3070">
        <v>2764253109</v>
      </c>
    </row>
    <row r="695" spans="1:120">
      <c r="A695" s="3070">
        <v>694</v>
      </c>
      <c r="B695" s="3070" t="s">
        <v>3224</v>
      </c>
      <c r="C695" s="3070">
        <v>8</v>
      </c>
      <c r="D695" s="3070">
        <v>1</v>
      </c>
      <c r="E695" s="3070">
        <v>1402</v>
      </c>
      <c r="F695" s="3070" t="s">
        <v>8909</v>
      </c>
      <c r="G695" s="3070" t="s">
        <v>8910</v>
      </c>
      <c r="H695" s="3070">
        <v>1154136</v>
      </c>
      <c r="I695" s="3070">
        <v>1154136</v>
      </c>
      <c r="J695" s="3070">
        <v>84.62</v>
      </c>
      <c r="K695" s="3070">
        <v>62.38</v>
      </c>
      <c r="L695" s="3070">
        <v>0</v>
      </c>
      <c r="M695" s="3070">
        <v>0</v>
      </c>
      <c r="N695" s="3070">
        <v>16033.44</v>
      </c>
      <c r="O695" s="3070">
        <v>1356750</v>
      </c>
      <c r="P695" s="3070">
        <v>13639.05</v>
      </c>
      <c r="Q695" s="3070">
        <v>1154136</v>
      </c>
      <c r="R695" s="3070" t="s">
        <v>3227</v>
      </c>
      <c r="S695" s="3070" t="s">
        <v>8911</v>
      </c>
      <c r="T695" s="3070" t="s">
        <v>3258</v>
      </c>
      <c r="U695" s="3070" t="s">
        <v>3259</v>
      </c>
      <c r="V695" s="3070" t="s">
        <v>3230</v>
      </c>
      <c r="Y695" s="3070">
        <v>354136</v>
      </c>
      <c r="Z695" s="3070">
        <v>354136</v>
      </c>
      <c r="AA695" s="3070">
        <v>354136</v>
      </c>
      <c r="AB695" s="3070">
        <v>0</v>
      </c>
      <c r="AC695" s="3070">
        <v>800000</v>
      </c>
      <c r="AD695" s="3070">
        <v>800000</v>
      </c>
      <c r="AE695" s="3070">
        <v>0</v>
      </c>
      <c r="AI695" s="3070" t="s">
        <v>3227</v>
      </c>
      <c r="AJ695" s="3070">
        <v>0</v>
      </c>
      <c r="AK695" s="3070">
        <v>0</v>
      </c>
      <c r="AL695" s="3070">
        <v>0</v>
      </c>
      <c r="AM695" s="3070">
        <v>13639.05</v>
      </c>
      <c r="AN695" s="3070">
        <v>1154136</v>
      </c>
      <c r="AP695" s="3070">
        <v>1154136</v>
      </c>
      <c r="AQ695" s="3072">
        <v>45230</v>
      </c>
      <c r="AT695" s="3073">
        <v>45770</v>
      </c>
      <c r="AV695" s="3074">
        <v>3.2E+17</v>
      </c>
      <c r="AW695" s="3070" t="s">
        <v>8912</v>
      </c>
      <c r="AX695" s="3070" t="s">
        <v>8913</v>
      </c>
      <c r="AY695" s="3070" t="s">
        <v>3262</v>
      </c>
      <c r="BA695" s="3070" t="s">
        <v>3262</v>
      </c>
      <c r="BC695" s="3070" t="s">
        <v>3553</v>
      </c>
      <c r="BD695" s="3070" t="s">
        <v>3076</v>
      </c>
      <c r="BI695" s="3070" t="s">
        <v>3235</v>
      </c>
      <c r="BL695" s="3070" t="s">
        <v>8914</v>
      </c>
      <c r="BM695" s="3075">
        <v>44409</v>
      </c>
      <c r="BN695" s="3070">
        <v>-14</v>
      </c>
      <c r="BO695" s="3070" t="s">
        <v>3253</v>
      </c>
      <c r="BP695" s="3070" t="s">
        <v>3253</v>
      </c>
      <c r="BR695" s="3070">
        <v>20</v>
      </c>
      <c r="BS695" s="3070" t="s">
        <v>3238</v>
      </c>
      <c r="BU695" s="3070" t="s">
        <v>3262</v>
      </c>
      <c r="BV695" s="3070" t="s">
        <v>8915</v>
      </c>
      <c r="BZ695" s="3073">
        <v>44186.413888888892</v>
      </c>
      <c r="CA695" s="3070">
        <v>8</v>
      </c>
      <c r="CD695" s="3070" t="s">
        <v>3239</v>
      </c>
      <c r="CF695" s="3070" t="s">
        <v>3091</v>
      </c>
      <c r="CH695" s="3070" t="s">
        <v>3240</v>
      </c>
      <c r="CI695" s="3070">
        <v>0</v>
      </c>
      <c r="CJ695" s="3070" t="s">
        <v>3259</v>
      </c>
      <c r="CK695" s="3070" t="s">
        <v>3262</v>
      </c>
      <c r="CL695" s="3070" t="s">
        <v>3262</v>
      </c>
      <c r="CM695" s="3070">
        <v>1058840.3700000001</v>
      </c>
      <c r="CV695" s="3070" t="s">
        <v>3258</v>
      </c>
      <c r="CW695" s="3070" t="s">
        <v>8916</v>
      </c>
      <c r="CZ695" s="3070">
        <v>213894.57</v>
      </c>
      <c r="DA695" s="3070">
        <v>159426.93</v>
      </c>
      <c r="DB695" s="3070">
        <v>0</v>
      </c>
      <c r="DC695" s="3070">
        <v>0</v>
      </c>
      <c r="DD695" s="3070">
        <v>3290547602</v>
      </c>
      <c r="DE695" s="3070">
        <v>2764253109</v>
      </c>
      <c r="DF695" s="3070">
        <v>1464966739</v>
      </c>
      <c r="DG695" s="3070">
        <v>14938370</v>
      </c>
      <c r="DH695" s="3070">
        <v>1284348000</v>
      </c>
      <c r="DI695" s="3070">
        <v>1278128000</v>
      </c>
      <c r="DJ695" s="3070">
        <v>6220000</v>
      </c>
      <c r="DK695" s="3070">
        <v>0</v>
      </c>
      <c r="DL695" s="3070">
        <v>0</v>
      </c>
      <c r="DM695" s="3070">
        <v>25491817.620000001</v>
      </c>
      <c r="DN695" s="3070">
        <v>2764253109</v>
      </c>
      <c r="DP695" s="3070">
        <v>2764253109</v>
      </c>
    </row>
    <row r="696" spans="1:120">
      <c r="A696" s="3070">
        <v>695</v>
      </c>
      <c r="B696" s="3070" t="s">
        <v>3224</v>
      </c>
      <c r="C696" s="3070">
        <v>8</v>
      </c>
      <c r="D696" s="3070">
        <v>1</v>
      </c>
      <c r="E696" s="3070">
        <v>1403</v>
      </c>
      <c r="F696" s="3070" t="s">
        <v>8917</v>
      </c>
      <c r="G696" s="3070" t="s">
        <v>8918</v>
      </c>
      <c r="H696" s="3070">
        <v>1154136</v>
      </c>
      <c r="I696" s="3070">
        <v>1154136</v>
      </c>
      <c r="J696" s="3070">
        <v>84.62</v>
      </c>
      <c r="K696" s="3070">
        <v>62.38</v>
      </c>
      <c r="L696" s="3070">
        <v>0</v>
      </c>
      <c r="M696" s="3070">
        <v>0</v>
      </c>
      <c r="N696" s="3070">
        <v>16033.44</v>
      </c>
      <c r="O696" s="3070">
        <v>1356750</v>
      </c>
      <c r="P696" s="3070">
        <v>13639.05</v>
      </c>
      <c r="Q696" s="3070">
        <v>1154136</v>
      </c>
      <c r="R696" s="3070" t="s">
        <v>3227</v>
      </c>
      <c r="S696" s="3070" t="s">
        <v>8919</v>
      </c>
      <c r="T696" s="3070" t="s">
        <v>3229</v>
      </c>
      <c r="V696" s="3070" t="s">
        <v>3230</v>
      </c>
      <c r="Y696" s="3070">
        <v>346241</v>
      </c>
      <c r="Z696" s="3070">
        <v>138496</v>
      </c>
      <c r="AA696" s="3070">
        <v>1154136</v>
      </c>
      <c r="AB696" s="3070">
        <v>0</v>
      </c>
      <c r="AC696" s="3070">
        <v>0</v>
      </c>
      <c r="AD696" s="3070">
        <v>0</v>
      </c>
      <c r="AE696" s="3070">
        <v>0</v>
      </c>
      <c r="AI696" s="3070" t="s">
        <v>3227</v>
      </c>
      <c r="AJ696" s="3070">
        <v>0</v>
      </c>
      <c r="AK696" s="3070">
        <v>0</v>
      </c>
      <c r="AL696" s="3070">
        <v>0</v>
      </c>
      <c r="AM696" s="3070">
        <v>13639.05</v>
      </c>
      <c r="AN696" s="3070">
        <v>1154136</v>
      </c>
      <c r="AP696" s="3070">
        <v>1154136</v>
      </c>
      <c r="AQ696" s="3072">
        <v>45230</v>
      </c>
      <c r="AT696" s="3073">
        <v>45770</v>
      </c>
      <c r="AV696" s="3070" t="s">
        <v>8920</v>
      </c>
      <c r="AW696" s="3070" t="s">
        <v>8921</v>
      </c>
      <c r="AX696" s="3070" t="s">
        <v>8922</v>
      </c>
      <c r="AY696" s="3070" t="s">
        <v>4618</v>
      </c>
      <c r="BC696" s="3070" t="s">
        <v>8923</v>
      </c>
      <c r="BD696" s="3070" t="s">
        <v>3076</v>
      </c>
      <c r="BI696" s="3070" t="s">
        <v>3235</v>
      </c>
      <c r="BL696" s="3070" t="s">
        <v>8924</v>
      </c>
      <c r="BM696" s="3075">
        <v>44409</v>
      </c>
      <c r="BN696" s="3070">
        <v>-14</v>
      </c>
      <c r="BR696" s="3070">
        <v>13</v>
      </c>
      <c r="BS696" s="3070" t="s">
        <v>3238</v>
      </c>
      <c r="BT696" s="3070" t="s">
        <v>3481</v>
      </c>
      <c r="BV696" s="3070" t="s">
        <v>8925</v>
      </c>
      <c r="BZ696" s="3073">
        <v>44172.792361111111</v>
      </c>
      <c r="CA696" s="3070">
        <v>8</v>
      </c>
      <c r="CB696" s="3070" t="s">
        <v>3481</v>
      </c>
      <c r="CD696" s="3070" t="s">
        <v>3239</v>
      </c>
      <c r="CF696" s="3070" t="s">
        <v>3091</v>
      </c>
      <c r="CH696" s="3070" t="s">
        <v>3240</v>
      </c>
      <c r="CI696" s="3070">
        <v>0</v>
      </c>
      <c r="CK696" s="3070" t="s">
        <v>4618</v>
      </c>
      <c r="CL696" s="3070" t="s">
        <v>4618</v>
      </c>
      <c r="CM696" s="3070">
        <v>1058840.3700000001</v>
      </c>
      <c r="CV696" s="3070" t="s">
        <v>3229</v>
      </c>
      <c r="CW696" s="3070" t="s">
        <v>8926</v>
      </c>
      <c r="CZ696" s="3070">
        <v>213894.57</v>
      </c>
      <c r="DA696" s="3070">
        <v>159426.93</v>
      </c>
      <c r="DB696" s="3070">
        <v>0</v>
      </c>
      <c r="DC696" s="3070">
        <v>0</v>
      </c>
      <c r="DD696" s="3070">
        <v>3290547602</v>
      </c>
      <c r="DE696" s="3070">
        <v>2764253109</v>
      </c>
      <c r="DF696" s="3070">
        <v>1464966739</v>
      </c>
      <c r="DG696" s="3070">
        <v>14938370</v>
      </c>
      <c r="DH696" s="3070">
        <v>1284348000</v>
      </c>
      <c r="DI696" s="3070">
        <v>1278128000</v>
      </c>
      <c r="DJ696" s="3070">
        <v>6220000</v>
      </c>
      <c r="DK696" s="3070">
        <v>0</v>
      </c>
      <c r="DL696" s="3070">
        <v>0</v>
      </c>
      <c r="DM696" s="3070">
        <v>25491817.620000001</v>
      </c>
      <c r="DN696" s="3070">
        <v>2764253109</v>
      </c>
      <c r="DP696" s="3070">
        <v>2764253109</v>
      </c>
    </row>
    <row r="697" spans="1:120">
      <c r="A697" s="3070">
        <v>696</v>
      </c>
      <c r="B697" s="3070" t="s">
        <v>3224</v>
      </c>
      <c r="C697" s="3070">
        <v>8</v>
      </c>
      <c r="D697" s="3070">
        <v>1</v>
      </c>
      <c r="E697" s="3070">
        <v>1404</v>
      </c>
      <c r="F697" s="3070" t="s">
        <v>8927</v>
      </c>
      <c r="G697" s="3070" t="s">
        <v>8928</v>
      </c>
      <c r="H697" s="3070">
        <v>1482852</v>
      </c>
      <c r="I697" s="3070">
        <v>1482852</v>
      </c>
      <c r="J697" s="3070">
        <v>108.82</v>
      </c>
      <c r="K697" s="3070">
        <v>80.22</v>
      </c>
      <c r="L697" s="3070">
        <v>0</v>
      </c>
      <c r="M697" s="3070">
        <v>0</v>
      </c>
      <c r="N697" s="3070">
        <v>15934.44</v>
      </c>
      <c r="O697" s="3070">
        <v>1733986</v>
      </c>
      <c r="P697" s="3070">
        <v>13626.65</v>
      </c>
      <c r="Q697" s="3070">
        <v>1482852</v>
      </c>
      <c r="R697" s="3070" t="s">
        <v>3227</v>
      </c>
      <c r="S697" s="3070" t="s">
        <v>8929</v>
      </c>
      <c r="T697" s="3070" t="s">
        <v>3494</v>
      </c>
      <c r="V697" s="3070" t="s">
        <v>3230</v>
      </c>
      <c r="Y697" s="3070">
        <v>148285</v>
      </c>
      <c r="Z697" s="3070">
        <v>148285</v>
      </c>
      <c r="AA697" s="3070">
        <v>1482852</v>
      </c>
      <c r="AB697" s="3070">
        <v>0</v>
      </c>
      <c r="AC697" s="3070">
        <v>0</v>
      </c>
      <c r="AD697" s="3070">
        <v>0</v>
      </c>
      <c r="AE697" s="3070">
        <v>0</v>
      </c>
      <c r="AI697" s="3070" t="s">
        <v>3227</v>
      </c>
      <c r="AJ697" s="3070">
        <v>0</v>
      </c>
      <c r="AK697" s="3070">
        <v>0</v>
      </c>
      <c r="AL697" s="3070">
        <v>0</v>
      </c>
      <c r="AM697" s="3070">
        <v>13626.65</v>
      </c>
      <c r="AN697" s="3070">
        <v>1482852</v>
      </c>
      <c r="AP697" s="3070">
        <v>1482852</v>
      </c>
      <c r="AQ697" s="3072">
        <v>45230</v>
      </c>
      <c r="AT697" s="3073">
        <v>45770</v>
      </c>
      <c r="AV697" s="3070" t="s">
        <v>8930</v>
      </c>
      <c r="AW697" s="3070" t="s">
        <v>8931</v>
      </c>
      <c r="AX697" s="3070" t="s">
        <v>8932</v>
      </c>
      <c r="AY697" s="3070" t="s">
        <v>3892</v>
      </c>
      <c r="BC697" s="3070" t="s">
        <v>4117</v>
      </c>
      <c r="BD697" s="3070" t="s">
        <v>3077</v>
      </c>
      <c r="BI697" s="3070" t="s">
        <v>3235</v>
      </c>
      <c r="BL697" s="3070" t="s">
        <v>8933</v>
      </c>
      <c r="BM697" s="3075">
        <v>44409</v>
      </c>
      <c r="BN697" s="3070">
        <v>-14</v>
      </c>
      <c r="BR697" s="3070">
        <v>20</v>
      </c>
      <c r="BS697" s="3070" t="s">
        <v>3238</v>
      </c>
      <c r="BZ697" s="3073">
        <v>44190.734722222223</v>
      </c>
      <c r="CA697" s="3070">
        <v>8</v>
      </c>
      <c r="CD697" s="3070" t="s">
        <v>3239</v>
      </c>
      <c r="CF697" s="3070" t="s">
        <v>3091</v>
      </c>
      <c r="CH697" s="3070" t="s">
        <v>3240</v>
      </c>
      <c r="CI697" s="3070">
        <v>0</v>
      </c>
      <c r="CK697" s="3070" t="s">
        <v>4056</v>
      </c>
      <c r="CL697" s="3070" t="s">
        <v>4056</v>
      </c>
      <c r="CM697" s="3070">
        <v>1360414.68</v>
      </c>
      <c r="CV697" s="3070" t="s">
        <v>3494</v>
      </c>
      <c r="CW697" s="3070" t="s">
        <v>8934</v>
      </c>
      <c r="CZ697" s="3070">
        <v>213894.57</v>
      </c>
      <c r="DA697" s="3070">
        <v>159426.93</v>
      </c>
      <c r="DB697" s="3070">
        <v>0</v>
      </c>
      <c r="DC697" s="3070">
        <v>0</v>
      </c>
      <c r="DD697" s="3070">
        <v>3290547602</v>
      </c>
      <c r="DE697" s="3070">
        <v>2764253109</v>
      </c>
      <c r="DF697" s="3070">
        <v>1464966739</v>
      </c>
      <c r="DG697" s="3070">
        <v>14938370</v>
      </c>
      <c r="DH697" s="3070">
        <v>1284348000</v>
      </c>
      <c r="DI697" s="3070">
        <v>1278128000</v>
      </c>
      <c r="DJ697" s="3070">
        <v>6220000</v>
      </c>
      <c r="DK697" s="3070">
        <v>0</v>
      </c>
      <c r="DL697" s="3070">
        <v>0</v>
      </c>
      <c r="DM697" s="3070">
        <v>25491817.620000001</v>
      </c>
      <c r="DN697" s="3070">
        <v>2764253109</v>
      </c>
      <c r="DP697" s="3070">
        <v>2764253109</v>
      </c>
    </row>
    <row r="698" spans="1:120">
      <c r="A698" s="3070">
        <v>697</v>
      </c>
      <c r="B698" s="3070" t="s">
        <v>3224</v>
      </c>
      <c r="C698" s="3070">
        <v>8</v>
      </c>
      <c r="D698" s="3070">
        <v>2</v>
      </c>
      <c r="E698" s="3070">
        <v>1405</v>
      </c>
      <c r="F698" s="3070" t="s">
        <v>8935</v>
      </c>
      <c r="G698" s="3070" t="s">
        <v>8936</v>
      </c>
      <c r="H698" s="3070">
        <v>1482852</v>
      </c>
      <c r="I698" s="3070">
        <v>1482852</v>
      </c>
      <c r="J698" s="3070">
        <v>108.82</v>
      </c>
      <c r="K698" s="3070">
        <v>80.22</v>
      </c>
      <c r="L698" s="3070">
        <v>0</v>
      </c>
      <c r="M698" s="3070">
        <v>0</v>
      </c>
      <c r="N698" s="3070">
        <v>15934.44</v>
      </c>
      <c r="O698" s="3070">
        <v>1733986</v>
      </c>
      <c r="P698" s="3070">
        <v>13626.65</v>
      </c>
      <c r="Q698" s="3070">
        <v>1482852</v>
      </c>
      <c r="R698" s="3070" t="s">
        <v>3227</v>
      </c>
      <c r="S698" s="3070" t="s">
        <v>8937</v>
      </c>
      <c r="T698" s="3070" t="s">
        <v>3494</v>
      </c>
      <c r="V698" s="3070" t="s">
        <v>3230</v>
      </c>
      <c r="Y698" s="3070">
        <v>148285</v>
      </c>
      <c r="Z698" s="3070">
        <v>148285</v>
      </c>
      <c r="AA698" s="3070">
        <v>1482852</v>
      </c>
      <c r="AB698" s="3070">
        <v>0</v>
      </c>
      <c r="AC698" s="3070">
        <v>0</v>
      </c>
      <c r="AD698" s="3070">
        <v>0</v>
      </c>
      <c r="AE698" s="3070">
        <v>0</v>
      </c>
      <c r="AI698" s="3070" t="s">
        <v>3227</v>
      </c>
      <c r="AJ698" s="3070">
        <v>0</v>
      </c>
      <c r="AK698" s="3070">
        <v>0</v>
      </c>
      <c r="AL698" s="3070">
        <v>0</v>
      </c>
      <c r="AM698" s="3070">
        <v>13626.65</v>
      </c>
      <c r="AN698" s="3070">
        <v>1482852</v>
      </c>
      <c r="AP698" s="3070">
        <v>1482852</v>
      </c>
      <c r="AQ698" s="3072">
        <v>45230</v>
      </c>
      <c r="AT698" s="3073">
        <v>45770</v>
      </c>
      <c r="AV698" s="3074">
        <v>3.21E+17</v>
      </c>
      <c r="AW698" s="3070" t="s">
        <v>8938</v>
      </c>
      <c r="AX698" s="3070" t="s">
        <v>8939</v>
      </c>
      <c r="AY698" s="3070" t="s">
        <v>3346</v>
      </c>
      <c r="BC698" s="3070" t="s">
        <v>4117</v>
      </c>
      <c r="BD698" s="3070" t="s">
        <v>3077</v>
      </c>
      <c r="BI698" s="3070" t="s">
        <v>3235</v>
      </c>
      <c r="BL698" s="3070" t="s">
        <v>8940</v>
      </c>
      <c r="BM698" s="3075">
        <v>44410</v>
      </c>
      <c r="BN698" s="3070">
        <v>-14</v>
      </c>
      <c r="BR698" s="3070">
        <v>18</v>
      </c>
      <c r="BS698" s="3070" t="s">
        <v>3238</v>
      </c>
      <c r="BV698" s="3070" t="s">
        <v>8941</v>
      </c>
      <c r="BZ698" s="3073">
        <v>44185.554166666669</v>
      </c>
      <c r="CA698" s="3070">
        <v>8</v>
      </c>
      <c r="CD698" s="3070" t="s">
        <v>3239</v>
      </c>
      <c r="CF698" s="3070" t="s">
        <v>3091</v>
      </c>
      <c r="CH698" s="3070" t="s">
        <v>3240</v>
      </c>
      <c r="CI698" s="3070">
        <v>0</v>
      </c>
      <c r="CK698" s="3070" t="s">
        <v>3346</v>
      </c>
      <c r="CL698" s="3070" t="s">
        <v>3346</v>
      </c>
      <c r="CM698" s="3070">
        <v>1360414.68</v>
      </c>
      <c r="CV698" s="3070" t="s">
        <v>3494</v>
      </c>
      <c r="CW698" s="3070" t="s">
        <v>8942</v>
      </c>
      <c r="CZ698" s="3070">
        <v>213894.57</v>
      </c>
      <c r="DA698" s="3070">
        <v>159426.93</v>
      </c>
      <c r="DB698" s="3070">
        <v>0</v>
      </c>
      <c r="DC698" s="3070">
        <v>0</v>
      </c>
      <c r="DD698" s="3070">
        <v>3290547602</v>
      </c>
      <c r="DE698" s="3070">
        <v>2764253109</v>
      </c>
      <c r="DF698" s="3070">
        <v>1464966739</v>
      </c>
      <c r="DG698" s="3070">
        <v>14938370</v>
      </c>
      <c r="DH698" s="3070">
        <v>1284348000</v>
      </c>
      <c r="DI698" s="3070">
        <v>1278128000</v>
      </c>
      <c r="DJ698" s="3070">
        <v>6220000</v>
      </c>
      <c r="DK698" s="3070">
        <v>0</v>
      </c>
      <c r="DL698" s="3070">
        <v>0</v>
      </c>
      <c r="DM698" s="3070">
        <v>25491817.620000001</v>
      </c>
      <c r="DN698" s="3070">
        <v>2764253109</v>
      </c>
      <c r="DP698" s="3070">
        <v>2764253109</v>
      </c>
    </row>
    <row r="699" spans="1:120">
      <c r="A699" s="3070">
        <v>698</v>
      </c>
      <c r="B699" s="3070" t="s">
        <v>3224</v>
      </c>
      <c r="C699" s="3070">
        <v>8</v>
      </c>
      <c r="D699" s="3070">
        <v>2</v>
      </c>
      <c r="E699" s="3070">
        <v>1406</v>
      </c>
      <c r="F699" s="3070" t="s">
        <v>8943</v>
      </c>
      <c r="G699" s="3070" t="s">
        <v>8944</v>
      </c>
      <c r="H699" s="3070">
        <v>1154136</v>
      </c>
      <c r="I699" s="3070">
        <v>1154136</v>
      </c>
      <c r="J699" s="3070">
        <v>84.62</v>
      </c>
      <c r="K699" s="3070">
        <v>62.38</v>
      </c>
      <c r="L699" s="3070">
        <v>0</v>
      </c>
      <c r="M699" s="3070">
        <v>0</v>
      </c>
      <c r="N699" s="3070">
        <v>16033.44</v>
      </c>
      <c r="O699" s="3070">
        <v>1356750</v>
      </c>
      <c r="P699" s="3070">
        <v>13639.05</v>
      </c>
      <c r="Q699" s="3070">
        <v>1154136</v>
      </c>
      <c r="R699" s="3070" t="s">
        <v>3227</v>
      </c>
      <c r="S699" s="3070" t="s">
        <v>8945</v>
      </c>
      <c r="T699" s="3070" t="s">
        <v>3246</v>
      </c>
      <c r="U699" s="3070" t="s">
        <v>3259</v>
      </c>
      <c r="V699" s="3070" t="s">
        <v>3230</v>
      </c>
      <c r="Y699" s="3070">
        <v>354136</v>
      </c>
      <c r="Z699" s="3070">
        <v>354136</v>
      </c>
      <c r="AA699" s="3070">
        <v>354136</v>
      </c>
      <c r="AB699" s="3070">
        <v>0</v>
      </c>
      <c r="AC699" s="3070">
        <v>800000</v>
      </c>
      <c r="AD699" s="3070">
        <v>800000</v>
      </c>
      <c r="AE699" s="3070">
        <v>0</v>
      </c>
      <c r="AI699" s="3070" t="s">
        <v>3227</v>
      </c>
      <c r="AJ699" s="3070">
        <v>0</v>
      </c>
      <c r="AK699" s="3070">
        <v>0</v>
      </c>
      <c r="AL699" s="3070">
        <v>0</v>
      </c>
      <c r="AM699" s="3070">
        <v>13639.05</v>
      </c>
      <c r="AN699" s="3070">
        <v>1154136</v>
      </c>
      <c r="AP699" s="3070">
        <v>1154136</v>
      </c>
      <c r="AQ699" s="3072">
        <v>45230</v>
      </c>
      <c r="AT699" s="3073">
        <v>45770</v>
      </c>
      <c r="AV699" s="3074">
        <v>3.21E+17</v>
      </c>
      <c r="AW699" s="3070" t="s">
        <v>8946</v>
      </c>
      <c r="AX699" s="3070" t="s">
        <v>8947</v>
      </c>
      <c r="AY699" s="3070" t="s">
        <v>3981</v>
      </c>
      <c r="BA699" s="3070" t="s">
        <v>3986</v>
      </c>
      <c r="BC699" s="3070" t="s">
        <v>8076</v>
      </c>
      <c r="BD699" s="3070" t="s">
        <v>3076</v>
      </c>
      <c r="BI699" s="3070" t="s">
        <v>3235</v>
      </c>
      <c r="BL699" s="3070" t="s">
        <v>8948</v>
      </c>
      <c r="BM699" s="3075">
        <v>44410</v>
      </c>
      <c r="BN699" s="3070">
        <v>-14</v>
      </c>
      <c r="BO699" s="3070" t="s">
        <v>3253</v>
      </c>
      <c r="BR699" s="3070">
        <v>19</v>
      </c>
      <c r="BS699" s="3070" t="s">
        <v>3238</v>
      </c>
      <c r="BU699" s="3070" t="s">
        <v>3986</v>
      </c>
      <c r="BV699" s="3070" t="s">
        <v>8949</v>
      </c>
      <c r="BZ699" s="3073">
        <v>44191.677777777775</v>
      </c>
      <c r="CA699" s="3070">
        <v>8</v>
      </c>
      <c r="CD699" s="3070" t="s">
        <v>3239</v>
      </c>
      <c r="CF699" s="3070" t="s">
        <v>3091</v>
      </c>
      <c r="CH699" s="3070" t="s">
        <v>3240</v>
      </c>
      <c r="CI699" s="3070">
        <v>0</v>
      </c>
      <c r="CK699" s="3070" t="s">
        <v>3986</v>
      </c>
      <c r="CL699" s="3070" t="s">
        <v>3986</v>
      </c>
      <c r="CM699" s="3070">
        <v>1058840.3700000001</v>
      </c>
      <c r="CV699" s="3070" t="s">
        <v>3246</v>
      </c>
      <c r="CW699" s="3070" t="s">
        <v>8950</v>
      </c>
      <c r="CZ699" s="3070">
        <v>213894.57</v>
      </c>
      <c r="DA699" s="3070">
        <v>159426.93</v>
      </c>
      <c r="DB699" s="3070">
        <v>0</v>
      </c>
      <c r="DC699" s="3070">
        <v>0</v>
      </c>
      <c r="DD699" s="3070">
        <v>3290547602</v>
      </c>
      <c r="DE699" s="3070">
        <v>2764253109</v>
      </c>
      <c r="DF699" s="3070">
        <v>1464966739</v>
      </c>
      <c r="DG699" s="3070">
        <v>14938370</v>
      </c>
      <c r="DH699" s="3070">
        <v>1284348000</v>
      </c>
      <c r="DI699" s="3070">
        <v>1278128000</v>
      </c>
      <c r="DJ699" s="3070">
        <v>6220000</v>
      </c>
      <c r="DK699" s="3070">
        <v>0</v>
      </c>
      <c r="DL699" s="3070">
        <v>0</v>
      </c>
      <c r="DM699" s="3070">
        <v>25491817.620000001</v>
      </c>
      <c r="DN699" s="3070">
        <v>2764253109</v>
      </c>
      <c r="DP699" s="3070">
        <v>2764253109</v>
      </c>
    </row>
    <row r="700" spans="1:120">
      <c r="A700" s="3070">
        <v>699</v>
      </c>
      <c r="B700" s="3070" t="s">
        <v>3224</v>
      </c>
      <c r="C700" s="3070">
        <v>8</v>
      </c>
      <c r="D700" s="3070">
        <v>2</v>
      </c>
      <c r="E700" s="3070">
        <v>1407</v>
      </c>
      <c r="F700" s="3070" t="s">
        <v>8951</v>
      </c>
      <c r="G700" s="3070" t="s">
        <v>8952</v>
      </c>
      <c r="H700" s="3070">
        <v>1154136</v>
      </c>
      <c r="I700" s="3070">
        <v>1154136</v>
      </c>
      <c r="J700" s="3070">
        <v>84.62</v>
      </c>
      <c r="K700" s="3070">
        <v>62.38</v>
      </c>
      <c r="L700" s="3070">
        <v>0</v>
      </c>
      <c r="M700" s="3070">
        <v>0</v>
      </c>
      <c r="N700" s="3070">
        <v>16033.44</v>
      </c>
      <c r="O700" s="3070">
        <v>1356750</v>
      </c>
      <c r="P700" s="3070">
        <v>13639.05</v>
      </c>
      <c r="Q700" s="3070">
        <v>1154136</v>
      </c>
      <c r="R700" s="3070" t="s">
        <v>3227</v>
      </c>
      <c r="S700" s="3070" t="s">
        <v>8953</v>
      </c>
      <c r="T700" s="3070" t="s">
        <v>3425</v>
      </c>
      <c r="V700" s="3070" t="s">
        <v>3230</v>
      </c>
      <c r="Y700" s="3070">
        <v>654136</v>
      </c>
      <c r="Z700" s="3070">
        <v>415414</v>
      </c>
      <c r="AA700" s="3070">
        <v>654136</v>
      </c>
      <c r="AB700" s="3070">
        <v>0</v>
      </c>
      <c r="AC700" s="3070">
        <v>500000</v>
      </c>
      <c r="AD700" s="3070">
        <v>500000</v>
      </c>
      <c r="AE700" s="3070">
        <v>0</v>
      </c>
      <c r="AI700" s="3070" t="s">
        <v>3227</v>
      </c>
      <c r="AJ700" s="3070">
        <v>0</v>
      </c>
      <c r="AK700" s="3070">
        <v>0</v>
      </c>
      <c r="AL700" s="3070">
        <v>0</v>
      </c>
      <c r="AM700" s="3070">
        <v>13639.05</v>
      </c>
      <c r="AN700" s="3070">
        <v>1154136</v>
      </c>
      <c r="AP700" s="3070">
        <v>1154136</v>
      </c>
      <c r="AQ700" s="3072">
        <v>45230</v>
      </c>
      <c r="AT700" s="3073">
        <v>45770</v>
      </c>
      <c r="AV700" s="3070" t="s">
        <v>8954</v>
      </c>
      <c r="AW700" s="3070" t="s">
        <v>8955</v>
      </c>
      <c r="AX700" s="3070" t="s">
        <v>8956</v>
      </c>
      <c r="AY700" s="3070" t="s">
        <v>3981</v>
      </c>
      <c r="BC700" s="3070" t="s">
        <v>8957</v>
      </c>
      <c r="BD700" s="3070" t="s">
        <v>3076</v>
      </c>
      <c r="BI700" s="3070" t="s">
        <v>4630</v>
      </c>
      <c r="BL700" s="3070" t="s">
        <v>8958</v>
      </c>
      <c r="BM700" s="3075">
        <v>44410</v>
      </c>
      <c r="BN700" s="3070">
        <v>-14</v>
      </c>
      <c r="BP700" s="3070" t="s">
        <v>3253</v>
      </c>
      <c r="BR700" s="3070">
        <v>20</v>
      </c>
      <c r="BS700" s="3070" t="s">
        <v>3238</v>
      </c>
      <c r="BT700" s="3070" t="s">
        <v>3481</v>
      </c>
      <c r="BV700" s="3070" t="s">
        <v>8959</v>
      </c>
      <c r="BZ700" s="3073">
        <v>44190.706944444442</v>
      </c>
      <c r="CA700" s="3070">
        <v>8</v>
      </c>
      <c r="CB700" s="3070" t="s">
        <v>3481</v>
      </c>
      <c r="CD700" s="3070" t="s">
        <v>3239</v>
      </c>
      <c r="CF700" s="3070" t="s">
        <v>3091</v>
      </c>
      <c r="CH700" s="3070" t="s">
        <v>3240</v>
      </c>
      <c r="CI700" s="3070">
        <v>0</v>
      </c>
      <c r="CK700" s="3070" t="s">
        <v>3985</v>
      </c>
      <c r="CL700" s="3070" t="s">
        <v>3986</v>
      </c>
      <c r="CM700" s="3070">
        <v>1058840.3700000001</v>
      </c>
      <c r="CV700" s="3070" t="s">
        <v>3425</v>
      </c>
      <c r="CW700" s="3070" t="s">
        <v>8960</v>
      </c>
      <c r="CZ700" s="3070">
        <v>213894.57</v>
      </c>
      <c r="DA700" s="3070">
        <v>159426.93</v>
      </c>
      <c r="DB700" s="3070">
        <v>0</v>
      </c>
      <c r="DC700" s="3070">
        <v>0</v>
      </c>
      <c r="DD700" s="3070">
        <v>3290547602</v>
      </c>
      <c r="DE700" s="3070">
        <v>2764253109</v>
      </c>
      <c r="DF700" s="3070">
        <v>1464966739</v>
      </c>
      <c r="DG700" s="3070">
        <v>14938370</v>
      </c>
      <c r="DH700" s="3070">
        <v>1284348000</v>
      </c>
      <c r="DI700" s="3070">
        <v>1278128000</v>
      </c>
      <c r="DJ700" s="3070">
        <v>6220000</v>
      </c>
      <c r="DK700" s="3070">
        <v>0</v>
      </c>
      <c r="DL700" s="3070">
        <v>0</v>
      </c>
      <c r="DM700" s="3070">
        <v>25491817.620000001</v>
      </c>
      <c r="DN700" s="3070">
        <v>2764253109</v>
      </c>
      <c r="DP700" s="3070">
        <v>2764253109</v>
      </c>
    </row>
    <row r="701" spans="1:120">
      <c r="A701" s="3070">
        <v>700</v>
      </c>
      <c r="B701" s="3070" t="s">
        <v>3224</v>
      </c>
      <c r="C701" s="3070">
        <v>8</v>
      </c>
      <c r="D701" s="3070">
        <v>2</v>
      </c>
      <c r="E701" s="3070">
        <v>1408</v>
      </c>
      <c r="F701" s="3070" t="s">
        <v>8961</v>
      </c>
      <c r="G701" s="3070" t="s">
        <v>8962</v>
      </c>
      <c r="H701" s="3070">
        <v>1387021</v>
      </c>
      <c r="I701" s="3070">
        <v>1387021</v>
      </c>
      <c r="J701" s="3070">
        <v>120.15</v>
      </c>
      <c r="K701" s="3070">
        <v>88.57</v>
      </c>
      <c r="L701" s="3070">
        <v>0</v>
      </c>
      <c r="M701" s="3070">
        <v>0</v>
      </c>
      <c r="N701" s="3070">
        <v>15644.44</v>
      </c>
      <c r="O701" s="3070">
        <v>1879679</v>
      </c>
      <c r="P701" s="3070">
        <v>11544.08</v>
      </c>
      <c r="Q701" s="3070">
        <v>1387021</v>
      </c>
      <c r="R701" s="3070" t="s">
        <v>3227</v>
      </c>
      <c r="S701" s="3070" t="s">
        <v>8963</v>
      </c>
      <c r="T701" s="3070" t="s">
        <v>3991</v>
      </c>
      <c r="V701" s="3070" t="s">
        <v>3230</v>
      </c>
      <c r="Y701" s="3070">
        <v>416106</v>
      </c>
      <c r="Z701" s="3070">
        <v>416106</v>
      </c>
      <c r="AA701" s="3070">
        <v>1387021</v>
      </c>
      <c r="AB701" s="3070">
        <v>0</v>
      </c>
      <c r="AC701" s="3070">
        <v>0</v>
      </c>
      <c r="AD701" s="3070">
        <v>0</v>
      </c>
      <c r="AE701" s="3070">
        <v>0</v>
      </c>
      <c r="AI701" s="3070" t="s">
        <v>3227</v>
      </c>
      <c r="AJ701" s="3070">
        <v>0</v>
      </c>
      <c r="AK701" s="3070">
        <v>0</v>
      </c>
      <c r="AL701" s="3070">
        <v>0</v>
      </c>
      <c r="AM701" s="3070">
        <v>11544.08</v>
      </c>
      <c r="AN701" s="3070">
        <v>1387021</v>
      </c>
      <c r="AP701" s="3070">
        <v>1387021</v>
      </c>
      <c r="AQ701" s="3072">
        <v>45230</v>
      </c>
      <c r="AT701" s="3073">
        <v>45770</v>
      </c>
      <c r="AV701" s="3070" t="s">
        <v>8964</v>
      </c>
      <c r="AW701" s="3070" t="s">
        <v>8965</v>
      </c>
      <c r="AX701" s="3070" t="s">
        <v>8966</v>
      </c>
      <c r="AY701" s="3070" t="s">
        <v>3587</v>
      </c>
      <c r="BA701" s="3070" t="s">
        <v>3587</v>
      </c>
      <c r="BC701" s="3070" t="s">
        <v>8967</v>
      </c>
      <c r="BD701" s="3070" t="s">
        <v>3075</v>
      </c>
      <c r="BI701" s="3070" t="s">
        <v>3235</v>
      </c>
      <c r="BL701" s="3070" t="s">
        <v>8968</v>
      </c>
      <c r="BM701" s="3075">
        <v>44410</v>
      </c>
      <c r="BN701" s="3070">
        <v>-14</v>
      </c>
      <c r="BR701" s="3070">
        <v>19</v>
      </c>
      <c r="BS701" s="3070" t="s">
        <v>3238</v>
      </c>
      <c r="BU701" s="3070" t="s">
        <v>3587</v>
      </c>
      <c r="BZ701" s="3073">
        <v>44225.688194444447</v>
      </c>
      <c r="CA701" s="3070">
        <v>8</v>
      </c>
      <c r="CD701" s="3070" t="s">
        <v>3239</v>
      </c>
      <c r="CF701" s="3070" t="s">
        <v>3091</v>
      </c>
      <c r="CH701" s="3070" t="s">
        <v>3240</v>
      </c>
      <c r="CI701" s="3070">
        <v>0</v>
      </c>
      <c r="CK701" s="3070" t="s">
        <v>4462</v>
      </c>
      <c r="CL701" s="3070" t="s">
        <v>3590</v>
      </c>
      <c r="CM701" s="3070">
        <v>1272496.33</v>
      </c>
      <c r="CV701" s="3070" t="s">
        <v>3494</v>
      </c>
      <c r="CW701" s="3070" t="s">
        <v>8969</v>
      </c>
      <c r="CX701" s="3070" t="s">
        <v>3242</v>
      </c>
      <c r="CZ701" s="3070">
        <v>213894.57</v>
      </c>
      <c r="DA701" s="3070">
        <v>159426.93</v>
      </c>
      <c r="DB701" s="3070">
        <v>0</v>
      </c>
      <c r="DC701" s="3070">
        <v>0</v>
      </c>
      <c r="DD701" s="3070">
        <v>3290547602</v>
      </c>
      <c r="DE701" s="3070">
        <v>2764253109</v>
      </c>
      <c r="DF701" s="3070">
        <v>1464966739</v>
      </c>
      <c r="DG701" s="3070">
        <v>14938370</v>
      </c>
      <c r="DH701" s="3070">
        <v>1284348000</v>
      </c>
      <c r="DI701" s="3070">
        <v>1278128000</v>
      </c>
      <c r="DJ701" s="3070">
        <v>6220000</v>
      </c>
      <c r="DK701" s="3070">
        <v>0</v>
      </c>
      <c r="DL701" s="3070">
        <v>0</v>
      </c>
      <c r="DM701" s="3070">
        <v>25491817.620000001</v>
      </c>
      <c r="DN701" s="3070">
        <v>2764253109</v>
      </c>
      <c r="DP701" s="3070">
        <v>2764253109</v>
      </c>
    </row>
    <row r="702" spans="1:120">
      <c r="A702" s="3070">
        <v>701</v>
      </c>
      <c r="B702" s="3070" t="s">
        <v>3224</v>
      </c>
      <c r="C702" s="3070">
        <v>8</v>
      </c>
      <c r="D702" s="3070">
        <v>1</v>
      </c>
      <c r="E702" s="3070">
        <v>1501</v>
      </c>
      <c r="F702" s="3070" t="s">
        <v>8970</v>
      </c>
      <c r="G702" s="3070" t="s">
        <v>8971</v>
      </c>
      <c r="H702" s="3070">
        <v>1554803</v>
      </c>
      <c r="I702" s="3070">
        <v>1554803</v>
      </c>
      <c r="J702" s="3070">
        <v>120.15</v>
      </c>
      <c r="K702" s="3070">
        <v>88.57</v>
      </c>
      <c r="L702" s="3070">
        <v>0</v>
      </c>
      <c r="M702" s="3070">
        <v>0</v>
      </c>
      <c r="N702" s="3070">
        <v>15894.44</v>
      </c>
      <c r="O702" s="3070">
        <v>1909717</v>
      </c>
      <c r="P702" s="3070">
        <v>12940.52</v>
      </c>
      <c r="Q702" s="3070">
        <v>1554803</v>
      </c>
      <c r="R702" s="3070" t="s">
        <v>3227</v>
      </c>
      <c r="S702" s="3070" t="s">
        <v>8972</v>
      </c>
      <c r="T702" s="3070" t="s">
        <v>3246</v>
      </c>
      <c r="U702" s="3070" t="s">
        <v>3259</v>
      </c>
      <c r="V702" s="3070" t="s">
        <v>3230</v>
      </c>
      <c r="Y702" s="3070">
        <v>474803</v>
      </c>
      <c r="Z702" s="3070">
        <v>474803</v>
      </c>
      <c r="AA702" s="3070">
        <v>474803</v>
      </c>
      <c r="AB702" s="3070">
        <v>0</v>
      </c>
      <c r="AC702" s="3070">
        <v>1080000</v>
      </c>
      <c r="AD702" s="3070">
        <v>1080000</v>
      </c>
      <c r="AE702" s="3070">
        <v>0</v>
      </c>
      <c r="AI702" s="3070" t="s">
        <v>3227</v>
      </c>
      <c r="AJ702" s="3070">
        <v>0</v>
      </c>
      <c r="AK702" s="3070">
        <v>0</v>
      </c>
      <c r="AL702" s="3070">
        <v>0</v>
      </c>
      <c r="AM702" s="3070">
        <v>12940.52</v>
      </c>
      <c r="AN702" s="3070">
        <v>1554803</v>
      </c>
      <c r="AP702" s="3070">
        <v>1554803</v>
      </c>
      <c r="AQ702" s="3072">
        <v>45230</v>
      </c>
      <c r="AT702" s="3073">
        <v>45770</v>
      </c>
      <c r="AV702" s="3074">
        <v>3.21E+17</v>
      </c>
      <c r="AW702" s="3070" t="s">
        <v>8973</v>
      </c>
      <c r="AX702" s="3070" t="s">
        <v>8974</v>
      </c>
      <c r="AY702" s="3070" t="s">
        <v>5921</v>
      </c>
      <c r="BC702" s="3070" t="s">
        <v>3284</v>
      </c>
      <c r="BD702" s="3070" t="s">
        <v>3075</v>
      </c>
      <c r="BI702" s="3070" t="s">
        <v>3235</v>
      </c>
      <c r="BJ702" s="3070" t="s">
        <v>3236</v>
      </c>
      <c r="BL702" s="3070" t="s">
        <v>8975</v>
      </c>
      <c r="BM702" s="3075">
        <v>44409</v>
      </c>
      <c r="BN702" s="3070">
        <v>-15</v>
      </c>
      <c r="BO702" s="3070" t="s">
        <v>3253</v>
      </c>
      <c r="BR702" s="3070">
        <v>264</v>
      </c>
      <c r="BS702" s="3070" t="s">
        <v>3238</v>
      </c>
      <c r="BZ702" s="3073">
        <v>44142.6</v>
      </c>
      <c r="CA702" s="3070">
        <v>8</v>
      </c>
      <c r="CD702" s="3070" t="s">
        <v>3239</v>
      </c>
      <c r="CF702" s="3070" t="s">
        <v>3091</v>
      </c>
      <c r="CH702" s="3070" t="s">
        <v>3240</v>
      </c>
      <c r="CI702" s="3070">
        <v>0</v>
      </c>
      <c r="CK702" s="3070" t="s">
        <v>5921</v>
      </c>
      <c r="CL702" s="3070" t="s">
        <v>5921</v>
      </c>
      <c r="CM702" s="3070">
        <v>1426424.77</v>
      </c>
      <c r="CV702" s="3070" t="s">
        <v>3246</v>
      </c>
      <c r="CW702" s="3070" t="s">
        <v>8976</v>
      </c>
      <c r="CZ702" s="3070">
        <v>213894.57</v>
      </c>
      <c r="DA702" s="3070">
        <v>159426.93</v>
      </c>
      <c r="DB702" s="3070">
        <v>0</v>
      </c>
      <c r="DC702" s="3070">
        <v>0</v>
      </c>
      <c r="DD702" s="3070">
        <v>3290547602</v>
      </c>
      <c r="DE702" s="3070">
        <v>2764253109</v>
      </c>
      <c r="DF702" s="3070">
        <v>1464966739</v>
      </c>
      <c r="DG702" s="3070">
        <v>14938370</v>
      </c>
      <c r="DH702" s="3070">
        <v>1284348000</v>
      </c>
      <c r="DI702" s="3070">
        <v>1278128000</v>
      </c>
      <c r="DJ702" s="3070">
        <v>6220000</v>
      </c>
      <c r="DK702" s="3070">
        <v>0</v>
      </c>
      <c r="DL702" s="3070">
        <v>0</v>
      </c>
      <c r="DM702" s="3070">
        <v>25491817.620000001</v>
      </c>
      <c r="DN702" s="3070">
        <v>2764253109</v>
      </c>
      <c r="DP702" s="3070">
        <v>2764253109</v>
      </c>
    </row>
    <row r="703" spans="1:120">
      <c r="A703" s="3070">
        <v>702</v>
      </c>
      <c r="B703" s="3070" t="s">
        <v>3224</v>
      </c>
      <c r="C703" s="3070">
        <v>8</v>
      </c>
      <c r="D703" s="3070">
        <v>1</v>
      </c>
      <c r="E703" s="3070">
        <v>1502</v>
      </c>
      <c r="F703" s="3070" t="s">
        <v>8977</v>
      </c>
      <c r="G703" s="3070" t="s">
        <v>8978</v>
      </c>
      <c r="H703" s="3070">
        <v>1110230</v>
      </c>
      <c r="I703" s="3070">
        <v>1110230</v>
      </c>
      <c r="J703" s="3070">
        <v>84.62</v>
      </c>
      <c r="K703" s="3070">
        <v>62.38</v>
      </c>
      <c r="L703" s="3070">
        <v>0</v>
      </c>
      <c r="M703" s="3070">
        <v>0</v>
      </c>
      <c r="N703" s="3070">
        <v>16083.44</v>
      </c>
      <c r="O703" s="3070">
        <v>1360981</v>
      </c>
      <c r="P703" s="3070">
        <v>13120.18</v>
      </c>
      <c r="Q703" s="3070">
        <v>1110230</v>
      </c>
      <c r="R703" s="3070" t="s">
        <v>3227</v>
      </c>
      <c r="S703" s="3070" t="s">
        <v>8979</v>
      </c>
      <c r="T703" s="3070" t="s">
        <v>3258</v>
      </c>
      <c r="U703" s="3070" t="s">
        <v>3259</v>
      </c>
      <c r="V703" s="3070" t="s">
        <v>3230</v>
      </c>
      <c r="Y703" s="3070">
        <v>340230</v>
      </c>
      <c r="Z703" s="3070">
        <v>340230</v>
      </c>
      <c r="AA703" s="3070">
        <v>340230</v>
      </c>
      <c r="AB703" s="3070">
        <v>0</v>
      </c>
      <c r="AC703" s="3070">
        <v>770000</v>
      </c>
      <c r="AD703" s="3070">
        <v>770000</v>
      </c>
      <c r="AE703" s="3070">
        <v>0</v>
      </c>
      <c r="AI703" s="3070" t="s">
        <v>3227</v>
      </c>
      <c r="AJ703" s="3070">
        <v>0</v>
      </c>
      <c r="AK703" s="3070">
        <v>0</v>
      </c>
      <c r="AL703" s="3070">
        <v>0</v>
      </c>
      <c r="AM703" s="3070">
        <v>13120.18</v>
      </c>
      <c r="AN703" s="3070">
        <v>1110230</v>
      </c>
      <c r="AP703" s="3070">
        <v>1110230</v>
      </c>
      <c r="AQ703" s="3072">
        <v>45230</v>
      </c>
      <c r="AT703" s="3073">
        <v>45770</v>
      </c>
      <c r="AV703" s="3074">
        <v>3.21E+17</v>
      </c>
      <c r="AW703" s="3070" t="s">
        <v>8980</v>
      </c>
      <c r="AX703" s="3070" t="s">
        <v>8981</v>
      </c>
      <c r="AY703" s="3070" t="s">
        <v>3656</v>
      </c>
      <c r="BC703" s="3070" t="s">
        <v>3263</v>
      </c>
      <c r="BD703" s="3070" t="s">
        <v>3076</v>
      </c>
      <c r="BI703" s="3070" t="s">
        <v>3235</v>
      </c>
      <c r="BJ703" s="3070" t="s">
        <v>3296</v>
      </c>
      <c r="BL703" s="3070" t="s">
        <v>8982</v>
      </c>
      <c r="BM703" s="3075">
        <v>44409</v>
      </c>
      <c r="BN703" s="3070">
        <v>-15</v>
      </c>
      <c r="BO703" s="3070" t="s">
        <v>3253</v>
      </c>
      <c r="BP703" s="3070" t="s">
        <v>3253</v>
      </c>
      <c r="BR703" s="3070">
        <v>882</v>
      </c>
      <c r="BS703" s="3070" t="s">
        <v>3238</v>
      </c>
      <c r="BZ703" s="3073">
        <v>44142.595833333333</v>
      </c>
      <c r="CA703" s="3070">
        <v>8</v>
      </c>
      <c r="CD703" s="3070" t="s">
        <v>3239</v>
      </c>
      <c r="CF703" s="3070" t="s">
        <v>3091</v>
      </c>
      <c r="CH703" s="3070" t="s">
        <v>3240</v>
      </c>
      <c r="CI703" s="3070">
        <v>0</v>
      </c>
      <c r="CJ703" s="3070" t="s">
        <v>3259</v>
      </c>
      <c r="CK703" s="3070" t="s">
        <v>3656</v>
      </c>
      <c r="CL703" s="3070" t="s">
        <v>3656</v>
      </c>
      <c r="CM703" s="3070">
        <v>1018559.63</v>
      </c>
      <c r="CV703" s="3070" t="s">
        <v>3258</v>
      </c>
      <c r="CW703" s="3070" t="s">
        <v>8983</v>
      </c>
      <c r="CX703" s="3070" t="s">
        <v>3242</v>
      </c>
      <c r="CZ703" s="3070">
        <v>213894.57</v>
      </c>
      <c r="DA703" s="3070">
        <v>159426.93</v>
      </c>
      <c r="DB703" s="3070">
        <v>0</v>
      </c>
      <c r="DC703" s="3070">
        <v>0</v>
      </c>
      <c r="DD703" s="3070">
        <v>3290547602</v>
      </c>
      <c r="DE703" s="3070">
        <v>2764253109</v>
      </c>
      <c r="DF703" s="3070">
        <v>1464966739</v>
      </c>
      <c r="DG703" s="3070">
        <v>14938370</v>
      </c>
      <c r="DH703" s="3070">
        <v>1284348000</v>
      </c>
      <c r="DI703" s="3070">
        <v>1278128000</v>
      </c>
      <c r="DJ703" s="3070">
        <v>6220000</v>
      </c>
      <c r="DK703" s="3070">
        <v>0</v>
      </c>
      <c r="DL703" s="3070">
        <v>0</v>
      </c>
      <c r="DM703" s="3070">
        <v>25491817.620000001</v>
      </c>
      <c r="DN703" s="3070">
        <v>2764253109</v>
      </c>
      <c r="DP703" s="3070">
        <v>2764253109</v>
      </c>
    </row>
    <row r="704" spans="1:120">
      <c r="A704" s="3070">
        <v>703</v>
      </c>
      <c r="B704" s="3070" t="s">
        <v>3224</v>
      </c>
      <c r="C704" s="3070">
        <v>8</v>
      </c>
      <c r="D704" s="3070">
        <v>1</v>
      </c>
      <c r="E704" s="3070">
        <v>1503</v>
      </c>
      <c r="F704" s="3070" t="s">
        <v>8984</v>
      </c>
      <c r="G704" s="3070" t="s">
        <v>8985</v>
      </c>
      <c r="H704" s="3070">
        <v>1168035</v>
      </c>
      <c r="I704" s="3070">
        <v>1168035</v>
      </c>
      <c r="J704" s="3070">
        <v>84.62</v>
      </c>
      <c r="K704" s="3070">
        <v>62.38</v>
      </c>
      <c r="L704" s="3070">
        <v>0</v>
      </c>
      <c r="M704" s="3070">
        <v>0</v>
      </c>
      <c r="N704" s="3070">
        <v>16083.44</v>
      </c>
      <c r="O704" s="3070">
        <v>1360981</v>
      </c>
      <c r="P704" s="3070">
        <v>13803.3</v>
      </c>
      <c r="Q704" s="3070">
        <v>1168035</v>
      </c>
      <c r="R704" s="3070" t="s">
        <v>3227</v>
      </c>
      <c r="S704" s="3070" t="s">
        <v>8986</v>
      </c>
      <c r="T704" s="3070" t="s">
        <v>3246</v>
      </c>
      <c r="U704" s="3070" t="s">
        <v>3259</v>
      </c>
      <c r="V704" s="3070" t="s">
        <v>3230</v>
      </c>
      <c r="Y704" s="3070">
        <v>358035</v>
      </c>
      <c r="Z704" s="3070">
        <v>116804</v>
      </c>
      <c r="AA704" s="3070">
        <v>358035</v>
      </c>
      <c r="AB704" s="3070">
        <v>0</v>
      </c>
      <c r="AC704" s="3070">
        <v>810000</v>
      </c>
      <c r="AD704" s="3070">
        <v>810000</v>
      </c>
      <c r="AE704" s="3070">
        <v>0</v>
      </c>
      <c r="AI704" s="3070" t="s">
        <v>3227</v>
      </c>
      <c r="AJ704" s="3070">
        <v>0</v>
      </c>
      <c r="AK704" s="3070">
        <v>0</v>
      </c>
      <c r="AL704" s="3070">
        <v>0</v>
      </c>
      <c r="AM704" s="3070">
        <v>13803.3</v>
      </c>
      <c r="AN704" s="3070">
        <v>1168035</v>
      </c>
      <c r="AP704" s="3070">
        <v>1168035</v>
      </c>
      <c r="AQ704" s="3072">
        <v>45230</v>
      </c>
      <c r="AT704" s="3073">
        <v>45770</v>
      </c>
      <c r="AV704" s="3070" t="s">
        <v>8987</v>
      </c>
      <c r="AW704" s="3070" t="s">
        <v>8988</v>
      </c>
      <c r="AX704" s="3070" t="s">
        <v>8989</v>
      </c>
      <c r="AY704" s="3070" t="s">
        <v>3497</v>
      </c>
      <c r="BA704" s="3070" t="s">
        <v>3497</v>
      </c>
      <c r="BC704" s="3070" t="s">
        <v>7045</v>
      </c>
      <c r="BD704" s="3070" t="s">
        <v>3076</v>
      </c>
      <c r="BI704" s="3070" t="s">
        <v>3235</v>
      </c>
      <c r="BL704" s="3070" t="s">
        <v>8990</v>
      </c>
      <c r="BM704" s="3075">
        <v>44409</v>
      </c>
      <c r="BN704" s="3070">
        <v>-15</v>
      </c>
      <c r="BO704" s="3070" t="s">
        <v>3253</v>
      </c>
      <c r="BR704" s="3070">
        <v>13</v>
      </c>
      <c r="BS704" s="3070" t="s">
        <v>3238</v>
      </c>
      <c r="BT704" s="3070" t="s">
        <v>3481</v>
      </c>
      <c r="BU704" s="3070" t="s">
        <v>3497</v>
      </c>
      <c r="BZ704" s="3073">
        <v>44168.818055555559</v>
      </c>
      <c r="CA704" s="3070">
        <v>8</v>
      </c>
      <c r="CB704" s="3070" t="s">
        <v>3481</v>
      </c>
      <c r="CD704" s="3070" t="s">
        <v>3239</v>
      </c>
      <c r="CF704" s="3070" t="s">
        <v>3091</v>
      </c>
      <c r="CH704" s="3070" t="s">
        <v>3240</v>
      </c>
      <c r="CI704" s="3070">
        <v>0</v>
      </c>
      <c r="CK704" s="3070" t="s">
        <v>3497</v>
      </c>
      <c r="CL704" s="3070" t="s">
        <v>3497</v>
      </c>
      <c r="CM704" s="3070">
        <v>1071591.74</v>
      </c>
      <c r="CV704" s="3070" t="s">
        <v>3246</v>
      </c>
      <c r="CW704" s="3070" t="s">
        <v>8991</v>
      </c>
      <c r="CX704" s="3070" t="s">
        <v>3267</v>
      </c>
      <c r="CZ704" s="3070">
        <v>213894.57</v>
      </c>
      <c r="DA704" s="3070">
        <v>159426.93</v>
      </c>
      <c r="DB704" s="3070">
        <v>0</v>
      </c>
      <c r="DC704" s="3070">
        <v>0</v>
      </c>
      <c r="DD704" s="3070">
        <v>3290547602</v>
      </c>
      <c r="DE704" s="3070">
        <v>2764253109</v>
      </c>
      <c r="DF704" s="3070">
        <v>1464966739</v>
      </c>
      <c r="DG704" s="3070">
        <v>14938370</v>
      </c>
      <c r="DH704" s="3070">
        <v>1284348000</v>
      </c>
      <c r="DI704" s="3070">
        <v>1278128000</v>
      </c>
      <c r="DJ704" s="3070">
        <v>6220000</v>
      </c>
      <c r="DK704" s="3070">
        <v>0</v>
      </c>
      <c r="DL704" s="3070">
        <v>0</v>
      </c>
      <c r="DM704" s="3070">
        <v>25491817.620000001</v>
      </c>
      <c r="DN704" s="3070">
        <v>2764253109</v>
      </c>
      <c r="DP704" s="3070">
        <v>2764253109</v>
      </c>
    </row>
    <row r="705" spans="1:120">
      <c r="A705" s="3070">
        <v>704</v>
      </c>
      <c r="B705" s="3070" t="s">
        <v>3224</v>
      </c>
      <c r="C705" s="3070">
        <v>8</v>
      </c>
      <c r="D705" s="3070">
        <v>1</v>
      </c>
      <c r="E705" s="3070">
        <v>1504</v>
      </c>
      <c r="F705" s="3070" t="s">
        <v>8992</v>
      </c>
      <c r="G705" s="3070" t="s">
        <v>8993</v>
      </c>
      <c r="H705" s="3070">
        <v>1417497</v>
      </c>
      <c r="I705" s="3070">
        <v>1417497</v>
      </c>
      <c r="J705" s="3070">
        <v>108.82</v>
      </c>
      <c r="K705" s="3070">
        <v>80.22</v>
      </c>
      <c r="L705" s="3070">
        <v>0</v>
      </c>
      <c r="M705" s="3070">
        <v>0</v>
      </c>
      <c r="N705" s="3070">
        <v>15984.44</v>
      </c>
      <c r="O705" s="3070">
        <v>1739427</v>
      </c>
      <c r="P705" s="3070">
        <v>13026.07</v>
      </c>
      <c r="Q705" s="3070">
        <v>1417497</v>
      </c>
      <c r="R705" s="3070" t="s">
        <v>3227</v>
      </c>
      <c r="S705" s="3070" t="s">
        <v>8994</v>
      </c>
      <c r="T705" s="3070" t="s">
        <v>3246</v>
      </c>
      <c r="U705" s="3070" t="s">
        <v>3247</v>
      </c>
      <c r="V705" s="3070" t="s">
        <v>3230</v>
      </c>
      <c r="Y705" s="3070">
        <v>427497</v>
      </c>
      <c r="Z705" s="3070">
        <v>427497</v>
      </c>
      <c r="AA705" s="3070">
        <v>427497</v>
      </c>
      <c r="AB705" s="3070">
        <v>0</v>
      </c>
      <c r="AC705" s="3070">
        <v>990000</v>
      </c>
      <c r="AD705" s="3070">
        <v>990000</v>
      </c>
      <c r="AE705" s="3070">
        <v>0</v>
      </c>
      <c r="AI705" s="3070" t="s">
        <v>3227</v>
      </c>
      <c r="AJ705" s="3070">
        <v>0</v>
      </c>
      <c r="AK705" s="3070">
        <v>0</v>
      </c>
      <c r="AL705" s="3070">
        <v>0</v>
      </c>
      <c r="AM705" s="3070">
        <v>13026.07</v>
      </c>
      <c r="AN705" s="3070">
        <v>1417497</v>
      </c>
      <c r="AP705" s="3070">
        <v>1417497</v>
      </c>
      <c r="AQ705" s="3072">
        <v>45230</v>
      </c>
      <c r="AT705" s="3073">
        <v>45770</v>
      </c>
      <c r="AV705" s="3074">
        <v>3.21E+17</v>
      </c>
      <c r="AW705" s="3070" t="s">
        <v>8995</v>
      </c>
      <c r="AX705" s="3070" t="s">
        <v>8996</v>
      </c>
      <c r="AY705" s="3070" t="s">
        <v>3429</v>
      </c>
      <c r="BC705" s="3070" t="s">
        <v>3284</v>
      </c>
      <c r="BD705" s="3070" t="s">
        <v>3077</v>
      </c>
      <c r="BI705" s="3070" t="s">
        <v>3235</v>
      </c>
      <c r="BJ705" s="3070" t="s">
        <v>3338</v>
      </c>
      <c r="BL705" s="3070" t="s">
        <v>8997</v>
      </c>
      <c r="BM705" s="3075">
        <v>44409</v>
      </c>
      <c r="BN705" s="3070">
        <v>-15</v>
      </c>
      <c r="BO705" s="3070" t="s">
        <v>3253</v>
      </c>
      <c r="BR705" s="3070">
        <v>293</v>
      </c>
      <c r="BS705" s="3070" t="s">
        <v>3238</v>
      </c>
      <c r="BZ705" s="3073">
        <v>44142.648611111108</v>
      </c>
      <c r="CA705" s="3070">
        <v>8</v>
      </c>
      <c r="CD705" s="3070" t="s">
        <v>3239</v>
      </c>
      <c r="CF705" s="3070" t="s">
        <v>3091</v>
      </c>
      <c r="CH705" s="3070" t="s">
        <v>3240</v>
      </c>
      <c r="CI705" s="3070">
        <v>0</v>
      </c>
      <c r="CK705" s="3070" t="s">
        <v>3429</v>
      </c>
      <c r="CL705" s="3070" t="s">
        <v>3429</v>
      </c>
      <c r="CM705" s="3070">
        <v>1300455.96</v>
      </c>
      <c r="CV705" s="3070" t="s">
        <v>3246</v>
      </c>
      <c r="CW705" s="3070" t="s">
        <v>8998</v>
      </c>
      <c r="CZ705" s="3070">
        <v>213894.57</v>
      </c>
      <c r="DA705" s="3070">
        <v>159426.93</v>
      </c>
      <c r="DB705" s="3070">
        <v>0</v>
      </c>
      <c r="DC705" s="3070">
        <v>0</v>
      </c>
      <c r="DD705" s="3070">
        <v>3290547602</v>
      </c>
      <c r="DE705" s="3070">
        <v>2764253109</v>
      </c>
      <c r="DF705" s="3070">
        <v>1464966739</v>
      </c>
      <c r="DG705" s="3070">
        <v>14938370</v>
      </c>
      <c r="DH705" s="3070">
        <v>1284348000</v>
      </c>
      <c r="DI705" s="3070">
        <v>1278128000</v>
      </c>
      <c r="DJ705" s="3070">
        <v>6220000</v>
      </c>
      <c r="DK705" s="3070">
        <v>0</v>
      </c>
      <c r="DL705" s="3070">
        <v>0</v>
      </c>
      <c r="DM705" s="3070">
        <v>25491817.620000001</v>
      </c>
      <c r="DN705" s="3070">
        <v>2764253109</v>
      </c>
      <c r="DP705" s="3070">
        <v>2764253109</v>
      </c>
    </row>
    <row r="706" spans="1:120">
      <c r="A706" s="3070">
        <v>705</v>
      </c>
      <c r="B706" s="3070" t="s">
        <v>3224</v>
      </c>
      <c r="C706" s="3070">
        <v>8</v>
      </c>
      <c r="D706" s="3070">
        <v>2</v>
      </c>
      <c r="E706" s="3070">
        <v>1505</v>
      </c>
      <c r="F706" s="3070" t="s">
        <v>8999</v>
      </c>
      <c r="G706" s="3070" t="s">
        <v>9000</v>
      </c>
      <c r="H706" s="3070">
        <v>1417497</v>
      </c>
      <c r="I706" s="3070">
        <v>1417497</v>
      </c>
      <c r="J706" s="3070">
        <v>108.82</v>
      </c>
      <c r="K706" s="3070">
        <v>80.22</v>
      </c>
      <c r="L706" s="3070">
        <v>0</v>
      </c>
      <c r="M706" s="3070">
        <v>0</v>
      </c>
      <c r="N706" s="3070">
        <v>15984.44</v>
      </c>
      <c r="O706" s="3070">
        <v>1739427</v>
      </c>
      <c r="P706" s="3070">
        <v>13026.07</v>
      </c>
      <c r="Q706" s="3070">
        <v>1417497</v>
      </c>
      <c r="R706" s="3070" t="s">
        <v>3227</v>
      </c>
      <c r="S706" s="3070" t="s">
        <v>9001</v>
      </c>
      <c r="T706" s="3070" t="s">
        <v>3246</v>
      </c>
      <c r="U706" s="3070" t="s">
        <v>3279</v>
      </c>
      <c r="V706" s="3070" t="s">
        <v>3230</v>
      </c>
      <c r="Y706" s="3070">
        <v>717497</v>
      </c>
      <c r="Z706" s="3070">
        <v>717497</v>
      </c>
      <c r="AA706" s="3070">
        <v>717497</v>
      </c>
      <c r="AB706" s="3070">
        <v>0</v>
      </c>
      <c r="AC706" s="3070">
        <v>700000</v>
      </c>
      <c r="AD706" s="3070">
        <v>700000</v>
      </c>
      <c r="AE706" s="3070">
        <v>0</v>
      </c>
      <c r="AI706" s="3070" t="s">
        <v>3227</v>
      </c>
      <c r="AJ706" s="3070">
        <v>0</v>
      </c>
      <c r="AK706" s="3070">
        <v>0</v>
      </c>
      <c r="AL706" s="3070">
        <v>0</v>
      </c>
      <c r="AM706" s="3070">
        <v>13026.07</v>
      </c>
      <c r="AN706" s="3070">
        <v>1417497</v>
      </c>
      <c r="AP706" s="3070">
        <v>1417497</v>
      </c>
      <c r="AQ706" s="3072">
        <v>45230</v>
      </c>
      <c r="AT706" s="3073">
        <v>45770</v>
      </c>
      <c r="AV706" s="3070" t="s">
        <v>9002</v>
      </c>
      <c r="AW706" s="3070" t="s">
        <v>9003</v>
      </c>
      <c r="AX706" s="3070" t="s">
        <v>9004</v>
      </c>
      <c r="AY706" s="3070" t="s">
        <v>3262</v>
      </c>
      <c r="BC706" s="3070" t="s">
        <v>3284</v>
      </c>
      <c r="BD706" s="3070" t="s">
        <v>3077</v>
      </c>
      <c r="BI706" s="3070" t="s">
        <v>3235</v>
      </c>
      <c r="BJ706" s="3070" t="s">
        <v>3338</v>
      </c>
      <c r="BL706" s="3070" t="s">
        <v>9005</v>
      </c>
      <c r="BM706" s="3075">
        <v>44410</v>
      </c>
      <c r="BN706" s="3070">
        <v>-15</v>
      </c>
      <c r="BO706" s="3070" t="s">
        <v>3253</v>
      </c>
      <c r="BR706" s="3070">
        <v>304</v>
      </c>
      <c r="BS706" s="3070" t="s">
        <v>3238</v>
      </c>
      <c r="BZ706" s="3073">
        <v>44150.631249999999</v>
      </c>
      <c r="CA706" s="3070">
        <v>8</v>
      </c>
      <c r="CD706" s="3070" t="s">
        <v>3239</v>
      </c>
      <c r="CF706" s="3070" t="s">
        <v>3091</v>
      </c>
      <c r="CH706" s="3070" t="s">
        <v>3240</v>
      </c>
      <c r="CI706" s="3070">
        <v>0</v>
      </c>
      <c r="CK706" s="3070" t="s">
        <v>3262</v>
      </c>
      <c r="CL706" s="3070" t="s">
        <v>3262</v>
      </c>
      <c r="CM706" s="3070">
        <v>1300455.96</v>
      </c>
      <c r="CV706" s="3070" t="s">
        <v>3246</v>
      </c>
      <c r="CW706" s="3070" t="s">
        <v>9006</v>
      </c>
      <c r="CZ706" s="3070">
        <v>213894.57</v>
      </c>
      <c r="DA706" s="3070">
        <v>159426.93</v>
      </c>
      <c r="DB706" s="3070">
        <v>0</v>
      </c>
      <c r="DC706" s="3070">
        <v>0</v>
      </c>
      <c r="DD706" s="3070">
        <v>3290547602</v>
      </c>
      <c r="DE706" s="3070">
        <v>2764253109</v>
      </c>
      <c r="DF706" s="3070">
        <v>1464966739</v>
      </c>
      <c r="DG706" s="3070">
        <v>14938370</v>
      </c>
      <c r="DH706" s="3070">
        <v>1284348000</v>
      </c>
      <c r="DI706" s="3070">
        <v>1278128000</v>
      </c>
      <c r="DJ706" s="3070">
        <v>6220000</v>
      </c>
      <c r="DK706" s="3070">
        <v>0</v>
      </c>
      <c r="DL706" s="3070">
        <v>0</v>
      </c>
      <c r="DM706" s="3070">
        <v>25491817.620000001</v>
      </c>
      <c r="DN706" s="3070">
        <v>2764253109</v>
      </c>
      <c r="DP706" s="3070">
        <v>2764253109</v>
      </c>
    </row>
    <row r="707" spans="1:120">
      <c r="A707" s="3070">
        <v>706</v>
      </c>
      <c r="B707" s="3070" t="s">
        <v>3224</v>
      </c>
      <c r="C707" s="3070">
        <v>8</v>
      </c>
      <c r="D707" s="3070">
        <v>2</v>
      </c>
      <c r="E707" s="3070">
        <v>1506</v>
      </c>
      <c r="F707" s="3070" t="s">
        <v>9007</v>
      </c>
      <c r="G707" s="3070" t="s">
        <v>9008</v>
      </c>
      <c r="H707" s="3070">
        <v>1110230</v>
      </c>
      <c r="I707" s="3070">
        <v>1110230</v>
      </c>
      <c r="J707" s="3070">
        <v>84.62</v>
      </c>
      <c r="K707" s="3070">
        <v>62.38</v>
      </c>
      <c r="L707" s="3070">
        <v>0</v>
      </c>
      <c r="M707" s="3070">
        <v>0</v>
      </c>
      <c r="N707" s="3070">
        <v>16083.44</v>
      </c>
      <c r="O707" s="3070">
        <v>1360981</v>
      </c>
      <c r="P707" s="3070">
        <v>13120.18</v>
      </c>
      <c r="Q707" s="3070">
        <v>1110230</v>
      </c>
      <c r="R707" s="3070" t="s">
        <v>3227</v>
      </c>
      <c r="S707" s="3070" t="s">
        <v>9009</v>
      </c>
      <c r="T707" s="3070" t="s">
        <v>3258</v>
      </c>
      <c r="U707" s="3070" t="s">
        <v>3259</v>
      </c>
      <c r="V707" s="3070" t="s">
        <v>3230</v>
      </c>
      <c r="Y707" s="3070">
        <v>340230</v>
      </c>
      <c r="Z707" s="3070">
        <v>340230</v>
      </c>
      <c r="AA707" s="3070">
        <v>340230</v>
      </c>
      <c r="AB707" s="3070">
        <v>0</v>
      </c>
      <c r="AC707" s="3070">
        <v>770000</v>
      </c>
      <c r="AD707" s="3070">
        <v>770000</v>
      </c>
      <c r="AE707" s="3070">
        <v>0</v>
      </c>
      <c r="AI707" s="3070" t="s">
        <v>3227</v>
      </c>
      <c r="AJ707" s="3070">
        <v>0</v>
      </c>
      <c r="AK707" s="3070">
        <v>0</v>
      </c>
      <c r="AL707" s="3070">
        <v>0</v>
      </c>
      <c r="AM707" s="3070">
        <v>13120.18</v>
      </c>
      <c r="AN707" s="3070">
        <v>1110230</v>
      </c>
      <c r="AP707" s="3070">
        <v>1110230</v>
      </c>
      <c r="AQ707" s="3072">
        <v>45230</v>
      </c>
      <c r="AT707" s="3073">
        <v>45770</v>
      </c>
      <c r="AV707" s="3074">
        <v>3.21E+17</v>
      </c>
      <c r="AW707" s="3070" t="s">
        <v>9010</v>
      </c>
      <c r="AX707" s="3070" t="s">
        <v>9011</v>
      </c>
      <c r="AY707" s="3070" t="s">
        <v>3375</v>
      </c>
      <c r="BC707" s="3070" t="s">
        <v>3263</v>
      </c>
      <c r="BD707" s="3070" t="s">
        <v>3076</v>
      </c>
      <c r="BI707" s="3070" t="s">
        <v>3235</v>
      </c>
      <c r="BJ707" s="3070" t="s">
        <v>3338</v>
      </c>
      <c r="BL707" s="3070" t="s">
        <v>9012</v>
      </c>
      <c r="BM707" s="3075">
        <v>44410</v>
      </c>
      <c r="BN707" s="3070">
        <v>-15</v>
      </c>
      <c r="BO707" s="3070" t="s">
        <v>3253</v>
      </c>
      <c r="BP707" s="3070" t="s">
        <v>3253</v>
      </c>
      <c r="BR707" s="3070">
        <v>366</v>
      </c>
      <c r="BS707" s="3070" t="s">
        <v>3238</v>
      </c>
      <c r="BZ707" s="3073">
        <v>44150.73541666667</v>
      </c>
      <c r="CA707" s="3070">
        <v>8</v>
      </c>
      <c r="CD707" s="3070" t="s">
        <v>3239</v>
      </c>
      <c r="CF707" s="3070" t="s">
        <v>3091</v>
      </c>
      <c r="CH707" s="3070" t="s">
        <v>3240</v>
      </c>
      <c r="CI707" s="3070">
        <v>0</v>
      </c>
      <c r="CJ707" s="3070" t="s">
        <v>3259</v>
      </c>
      <c r="CK707" s="3070" t="s">
        <v>3375</v>
      </c>
      <c r="CL707" s="3070" t="s">
        <v>3375</v>
      </c>
      <c r="CM707" s="3070">
        <v>1018559.63</v>
      </c>
      <c r="CV707" s="3070" t="s">
        <v>3258</v>
      </c>
      <c r="CW707" s="3070" t="s">
        <v>9013</v>
      </c>
      <c r="CZ707" s="3070">
        <v>213894.57</v>
      </c>
      <c r="DA707" s="3070">
        <v>159426.93</v>
      </c>
      <c r="DB707" s="3070">
        <v>0</v>
      </c>
      <c r="DC707" s="3070">
        <v>0</v>
      </c>
      <c r="DD707" s="3070">
        <v>3290547602</v>
      </c>
      <c r="DE707" s="3070">
        <v>2764253109</v>
      </c>
      <c r="DF707" s="3070">
        <v>1464966739</v>
      </c>
      <c r="DG707" s="3070">
        <v>14938370</v>
      </c>
      <c r="DH707" s="3070">
        <v>1284348000</v>
      </c>
      <c r="DI707" s="3070">
        <v>1278128000</v>
      </c>
      <c r="DJ707" s="3070">
        <v>6220000</v>
      </c>
      <c r="DK707" s="3070">
        <v>0</v>
      </c>
      <c r="DL707" s="3070">
        <v>0</v>
      </c>
      <c r="DM707" s="3070">
        <v>25491817.620000001</v>
      </c>
      <c r="DN707" s="3070">
        <v>2764253109</v>
      </c>
      <c r="DP707" s="3070">
        <v>2764253109</v>
      </c>
    </row>
    <row r="708" spans="1:120">
      <c r="A708" s="3070">
        <v>707</v>
      </c>
      <c r="B708" s="3070" t="s">
        <v>3224</v>
      </c>
      <c r="C708" s="3070">
        <v>8</v>
      </c>
      <c r="D708" s="3070">
        <v>2</v>
      </c>
      <c r="E708" s="3070">
        <v>1507</v>
      </c>
      <c r="F708" s="3070" t="s">
        <v>9014</v>
      </c>
      <c r="G708" s="3070" t="s">
        <v>9015</v>
      </c>
      <c r="H708" s="3070">
        <v>1194883</v>
      </c>
      <c r="I708" s="3070">
        <v>1194883</v>
      </c>
      <c r="J708" s="3070">
        <v>84.62</v>
      </c>
      <c r="K708" s="3070">
        <v>62.38</v>
      </c>
      <c r="L708" s="3070">
        <v>0</v>
      </c>
      <c r="M708" s="3070">
        <v>0</v>
      </c>
      <c r="N708" s="3070">
        <v>16083.44</v>
      </c>
      <c r="O708" s="3070">
        <v>1360981</v>
      </c>
      <c r="P708" s="3070">
        <v>14120.57</v>
      </c>
      <c r="Q708" s="3070">
        <v>1194883</v>
      </c>
      <c r="R708" s="3070" t="s">
        <v>3227</v>
      </c>
      <c r="S708" s="3070" t="s">
        <v>9016</v>
      </c>
      <c r="T708" s="3070" t="s">
        <v>4061</v>
      </c>
      <c r="V708" s="3070" t="s">
        <v>3230</v>
      </c>
      <c r="Y708" s="3070">
        <v>119488</v>
      </c>
      <c r="Z708" s="3070">
        <v>119488</v>
      </c>
      <c r="AA708" s="3070">
        <v>1194883</v>
      </c>
      <c r="AB708" s="3070">
        <v>0</v>
      </c>
      <c r="AC708" s="3070">
        <v>0</v>
      </c>
      <c r="AD708" s="3070">
        <v>0</v>
      </c>
      <c r="AE708" s="3070">
        <v>0</v>
      </c>
      <c r="AI708" s="3070" t="s">
        <v>3227</v>
      </c>
      <c r="AJ708" s="3070">
        <v>0</v>
      </c>
      <c r="AK708" s="3070">
        <v>0</v>
      </c>
      <c r="AL708" s="3070">
        <v>0</v>
      </c>
      <c r="AM708" s="3070">
        <v>14120.57</v>
      </c>
      <c r="AN708" s="3070">
        <v>1194883</v>
      </c>
      <c r="AP708" s="3070">
        <v>1194883</v>
      </c>
      <c r="AQ708" s="3072">
        <v>45230</v>
      </c>
      <c r="AT708" s="3073">
        <v>45770</v>
      </c>
      <c r="AV708" s="3070" t="s">
        <v>9017</v>
      </c>
      <c r="AW708" s="3070" t="s">
        <v>9018</v>
      </c>
      <c r="AX708" s="3070" t="s">
        <v>9019</v>
      </c>
      <c r="AY708" s="3070" t="s">
        <v>4019</v>
      </c>
      <c r="BC708" s="3070" t="s">
        <v>4066</v>
      </c>
      <c r="BD708" s="3070" t="s">
        <v>3076</v>
      </c>
      <c r="BI708" s="3070" t="s">
        <v>3235</v>
      </c>
      <c r="BJ708" s="3070" t="s">
        <v>4578</v>
      </c>
      <c r="BL708" s="3070" t="s">
        <v>9020</v>
      </c>
      <c r="BM708" s="3075">
        <v>44410</v>
      </c>
      <c r="BN708" s="3070">
        <v>-15</v>
      </c>
      <c r="BR708" s="3070">
        <v>0</v>
      </c>
      <c r="BS708" s="3070" t="s">
        <v>3238</v>
      </c>
      <c r="BZ708" s="3073">
        <v>44247.852083333331</v>
      </c>
      <c r="CA708" s="3070">
        <v>8</v>
      </c>
      <c r="CD708" s="3070" t="s">
        <v>3239</v>
      </c>
      <c r="CF708" s="3070" t="s">
        <v>3091</v>
      </c>
      <c r="CH708" s="3070" t="s">
        <v>3240</v>
      </c>
      <c r="CI708" s="3070">
        <v>0</v>
      </c>
      <c r="CK708" s="3070" t="s">
        <v>4138</v>
      </c>
      <c r="CL708" s="3070" t="s">
        <v>4019</v>
      </c>
      <c r="CM708" s="3070">
        <v>1096222.94</v>
      </c>
      <c r="CV708" s="3070" t="s">
        <v>3494</v>
      </c>
      <c r="CW708" s="3070" t="s">
        <v>9021</v>
      </c>
      <c r="CX708" s="3070" t="s">
        <v>3350</v>
      </c>
      <c r="CZ708" s="3070">
        <v>213894.57</v>
      </c>
      <c r="DA708" s="3070">
        <v>159426.93</v>
      </c>
      <c r="DB708" s="3070">
        <v>0</v>
      </c>
      <c r="DC708" s="3070">
        <v>0</v>
      </c>
      <c r="DD708" s="3070">
        <v>3290547602</v>
      </c>
      <c r="DE708" s="3070">
        <v>2764253109</v>
      </c>
      <c r="DF708" s="3070">
        <v>1464966739</v>
      </c>
      <c r="DG708" s="3070">
        <v>14938370</v>
      </c>
      <c r="DH708" s="3070">
        <v>1284348000</v>
      </c>
      <c r="DI708" s="3070">
        <v>1278128000</v>
      </c>
      <c r="DJ708" s="3070">
        <v>6220000</v>
      </c>
      <c r="DK708" s="3070">
        <v>0</v>
      </c>
      <c r="DL708" s="3070">
        <v>0</v>
      </c>
      <c r="DM708" s="3070">
        <v>25491817.620000001</v>
      </c>
      <c r="DN708" s="3070">
        <v>2764253109</v>
      </c>
      <c r="DP708" s="3070">
        <v>2764253109</v>
      </c>
    </row>
    <row r="709" spans="1:120">
      <c r="A709" s="3070">
        <v>708</v>
      </c>
      <c r="B709" s="3070" t="s">
        <v>3224</v>
      </c>
      <c r="C709" s="3070">
        <v>8</v>
      </c>
      <c r="D709" s="3070">
        <v>2</v>
      </c>
      <c r="E709" s="3070">
        <v>1508</v>
      </c>
      <c r="F709" s="3070" t="s">
        <v>9022</v>
      </c>
      <c r="G709" s="3070" t="s">
        <v>9023</v>
      </c>
      <c r="H709" s="3070">
        <v>1516641</v>
      </c>
      <c r="I709" s="3070">
        <v>1516641</v>
      </c>
      <c r="J709" s="3070">
        <v>120.15</v>
      </c>
      <c r="K709" s="3070">
        <v>88.57</v>
      </c>
      <c r="L709" s="3070">
        <v>0</v>
      </c>
      <c r="M709" s="3070">
        <v>0</v>
      </c>
      <c r="N709" s="3070">
        <v>15694.44</v>
      </c>
      <c r="O709" s="3070">
        <v>1885687</v>
      </c>
      <c r="P709" s="3070">
        <v>12622.9</v>
      </c>
      <c r="Q709" s="3070">
        <v>1516641</v>
      </c>
      <c r="R709" s="3070" t="s">
        <v>3227</v>
      </c>
      <c r="S709" s="3070" t="s">
        <v>9024</v>
      </c>
      <c r="T709" s="3070" t="s">
        <v>3229</v>
      </c>
      <c r="V709" s="3070" t="s">
        <v>3230</v>
      </c>
      <c r="Y709" s="3070">
        <v>454992</v>
      </c>
      <c r="Z709" s="3070">
        <v>454992</v>
      </c>
      <c r="AA709" s="3070">
        <v>1516641</v>
      </c>
      <c r="AB709" s="3070">
        <v>0</v>
      </c>
      <c r="AC709" s="3070">
        <v>0</v>
      </c>
      <c r="AD709" s="3070">
        <v>0</v>
      </c>
      <c r="AE709" s="3070">
        <v>0</v>
      </c>
      <c r="AI709" s="3070" t="s">
        <v>3227</v>
      </c>
      <c r="AJ709" s="3070">
        <v>0</v>
      </c>
      <c r="AK709" s="3070">
        <v>0</v>
      </c>
      <c r="AL709" s="3070">
        <v>0</v>
      </c>
      <c r="AM709" s="3070">
        <v>12622.9</v>
      </c>
      <c r="AN709" s="3070">
        <v>1516641</v>
      </c>
      <c r="AP709" s="3070">
        <v>1516641</v>
      </c>
      <c r="AQ709" s="3072">
        <v>45230</v>
      </c>
      <c r="AT709" s="3073">
        <v>45770</v>
      </c>
      <c r="AV709" s="3074">
        <v>3.21E+17</v>
      </c>
      <c r="AW709" s="3070" t="s">
        <v>9025</v>
      </c>
      <c r="AX709" s="3070" t="s">
        <v>9026</v>
      </c>
      <c r="AY709" s="3070" t="s">
        <v>3364</v>
      </c>
      <c r="BC709" s="3070" t="s">
        <v>3347</v>
      </c>
      <c r="BD709" s="3070" t="s">
        <v>3075</v>
      </c>
      <c r="BI709" s="3070" t="s">
        <v>3235</v>
      </c>
      <c r="BJ709" s="3070" t="s">
        <v>3296</v>
      </c>
      <c r="BL709" s="3070" t="s">
        <v>9027</v>
      </c>
      <c r="BM709" s="3075">
        <v>44410</v>
      </c>
      <c r="BN709" s="3070">
        <v>-15</v>
      </c>
      <c r="BR709" s="3070">
        <v>707</v>
      </c>
      <c r="BS709" s="3070" t="s">
        <v>3238</v>
      </c>
      <c r="BZ709" s="3073">
        <v>44142.612500000003</v>
      </c>
      <c r="CA709" s="3070">
        <v>8</v>
      </c>
      <c r="CD709" s="3070" t="s">
        <v>3239</v>
      </c>
      <c r="CF709" s="3070" t="s">
        <v>3091</v>
      </c>
      <c r="CH709" s="3070" t="s">
        <v>3240</v>
      </c>
      <c r="CI709" s="3070">
        <v>0</v>
      </c>
      <c r="CK709" s="3070" t="s">
        <v>3364</v>
      </c>
      <c r="CL709" s="3070" t="s">
        <v>3364</v>
      </c>
      <c r="CM709" s="3070">
        <v>1391413.76</v>
      </c>
      <c r="CV709" s="3070" t="s">
        <v>3229</v>
      </c>
      <c r="CW709" s="3070" t="s">
        <v>9028</v>
      </c>
      <c r="CZ709" s="3070">
        <v>213894.57</v>
      </c>
      <c r="DA709" s="3070">
        <v>159426.93</v>
      </c>
      <c r="DB709" s="3070">
        <v>0</v>
      </c>
      <c r="DC709" s="3070">
        <v>0</v>
      </c>
      <c r="DD709" s="3070">
        <v>3290547602</v>
      </c>
      <c r="DE709" s="3070">
        <v>2764253109</v>
      </c>
      <c r="DF709" s="3070">
        <v>1464966739</v>
      </c>
      <c r="DG709" s="3070">
        <v>14938370</v>
      </c>
      <c r="DH709" s="3070">
        <v>1284348000</v>
      </c>
      <c r="DI709" s="3070">
        <v>1278128000</v>
      </c>
      <c r="DJ709" s="3070">
        <v>6220000</v>
      </c>
      <c r="DK709" s="3070">
        <v>0</v>
      </c>
      <c r="DL709" s="3070">
        <v>0</v>
      </c>
      <c r="DM709" s="3070">
        <v>25491817.620000001</v>
      </c>
      <c r="DN709" s="3070">
        <v>2764253109</v>
      </c>
      <c r="DP709" s="3070">
        <v>2764253109</v>
      </c>
    </row>
    <row r="710" spans="1:120">
      <c r="A710" s="3070">
        <v>709</v>
      </c>
      <c r="B710" s="3070" t="s">
        <v>3224</v>
      </c>
      <c r="C710" s="3070">
        <v>8</v>
      </c>
      <c r="D710" s="3070">
        <v>1</v>
      </c>
      <c r="E710" s="3070">
        <v>1601</v>
      </c>
      <c r="F710" s="3070" t="s">
        <v>9029</v>
      </c>
      <c r="G710" s="3070" t="s">
        <v>9030</v>
      </c>
      <c r="H710" s="3070">
        <v>1554803</v>
      </c>
      <c r="I710" s="3070">
        <v>1554803</v>
      </c>
      <c r="J710" s="3070">
        <v>120.15</v>
      </c>
      <c r="K710" s="3070">
        <v>88.57</v>
      </c>
      <c r="L710" s="3070">
        <v>0</v>
      </c>
      <c r="M710" s="3070">
        <v>0</v>
      </c>
      <c r="N710" s="3070">
        <v>15894.44</v>
      </c>
      <c r="O710" s="3070">
        <v>1909717</v>
      </c>
      <c r="P710" s="3070">
        <v>12940.52</v>
      </c>
      <c r="Q710" s="3070">
        <v>1554803</v>
      </c>
      <c r="R710" s="3070" t="s">
        <v>3227</v>
      </c>
      <c r="S710" s="3070" t="s">
        <v>9031</v>
      </c>
      <c r="T710" s="3070" t="s">
        <v>3246</v>
      </c>
      <c r="U710" s="3070" t="s">
        <v>3539</v>
      </c>
      <c r="V710" s="3070" t="s">
        <v>3230</v>
      </c>
      <c r="Y710" s="3070">
        <v>624803</v>
      </c>
      <c r="Z710" s="3070">
        <v>524803</v>
      </c>
      <c r="AA710" s="3070">
        <v>624803</v>
      </c>
      <c r="AB710" s="3070">
        <v>0</v>
      </c>
      <c r="AC710" s="3070">
        <v>930000</v>
      </c>
      <c r="AD710" s="3070">
        <v>930000</v>
      </c>
      <c r="AE710" s="3070">
        <v>0</v>
      </c>
      <c r="AI710" s="3070" t="s">
        <v>3227</v>
      </c>
      <c r="AJ710" s="3070">
        <v>0</v>
      </c>
      <c r="AK710" s="3070">
        <v>0</v>
      </c>
      <c r="AL710" s="3070">
        <v>0</v>
      </c>
      <c r="AM710" s="3070">
        <v>12940.52</v>
      </c>
      <c r="AN710" s="3070">
        <v>1554803</v>
      </c>
      <c r="AP710" s="3070">
        <v>1554803</v>
      </c>
      <c r="AQ710" s="3072">
        <v>45230</v>
      </c>
      <c r="AT710" s="3073">
        <v>45770</v>
      </c>
      <c r="AV710" s="3074">
        <v>3.21E+17</v>
      </c>
      <c r="AW710" s="3070" t="s">
        <v>9032</v>
      </c>
      <c r="AX710" s="3070" t="s">
        <v>9033</v>
      </c>
      <c r="AY710" s="3070" t="s">
        <v>3318</v>
      </c>
      <c r="BC710" s="3070" t="s">
        <v>3284</v>
      </c>
      <c r="BD710" s="3070" t="s">
        <v>3075</v>
      </c>
      <c r="BI710" s="3070" t="s">
        <v>3295</v>
      </c>
      <c r="BJ710" s="3070" t="s">
        <v>3296</v>
      </c>
      <c r="BL710" s="3070" t="s">
        <v>9034</v>
      </c>
      <c r="BM710" s="3075">
        <v>44409</v>
      </c>
      <c r="BN710" s="3070">
        <v>-16</v>
      </c>
      <c r="BO710" s="3070" t="s">
        <v>3253</v>
      </c>
      <c r="BR710" s="3070">
        <v>546</v>
      </c>
      <c r="BS710" s="3070" t="s">
        <v>3238</v>
      </c>
      <c r="BZ710" s="3073">
        <v>44142.597916666666</v>
      </c>
      <c r="CA710" s="3070">
        <v>8</v>
      </c>
      <c r="CD710" s="3070" t="s">
        <v>3239</v>
      </c>
      <c r="CF710" s="3070" t="s">
        <v>3091</v>
      </c>
      <c r="CH710" s="3070" t="s">
        <v>3240</v>
      </c>
      <c r="CI710" s="3070">
        <v>0</v>
      </c>
      <c r="CK710" s="3070" t="s">
        <v>3318</v>
      </c>
      <c r="CL710" s="3070" t="s">
        <v>3318</v>
      </c>
      <c r="CM710" s="3070">
        <v>1426424.77</v>
      </c>
      <c r="CV710" s="3070" t="s">
        <v>3246</v>
      </c>
      <c r="CW710" s="3070" t="s">
        <v>9035</v>
      </c>
      <c r="CZ710" s="3070">
        <v>213894.57</v>
      </c>
      <c r="DA710" s="3070">
        <v>159426.93</v>
      </c>
      <c r="DB710" s="3070">
        <v>0</v>
      </c>
      <c r="DC710" s="3070">
        <v>0</v>
      </c>
      <c r="DD710" s="3070">
        <v>3290547602</v>
      </c>
      <c r="DE710" s="3070">
        <v>2764253109</v>
      </c>
      <c r="DF710" s="3070">
        <v>1464966739</v>
      </c>
      <c r="DG710" s="3070">
        <v>14938370</v>
      </c>
      <c r="DH710" s="3070">
        <v>1284348000</v>
      </c>
      <c r="DI710" s="3070">
        <v>1278128000</v>
      </c>
      <c r="DJ710" s="3070">
        <v>6220000</v>
      </c>
      <c r="DK710" s="3070">
        <v>0</v>
      </c>
      <c r="DL710" s="3070">
        <v>0</v>
      </c>
      <c r="DM710" s="3070">
        <v>25491817.620000001</v>
      </c>
      <c r="DN710" s="3070">
        <v>2764253109</v>
      </c>
      <c r="DP710" s="3070">
        <v>2764253109</v>
      </c>
    </row>
    <row r="711" spans="1:120">
      <c r="A711" s="3070">
        <v>710</v>
      </c>
      <c r="B711" s="3070" t="s">
        <v>3224</v>
      </c>
      <c r="C711" s="3070">
        <v>8</v>
      </c>
      <c r="D711" s="3070">
        <v>1</v>
      </c>
      <c r="E711" s="3070">
        <v>1602</v>
      </c>
      <c r="F711" s="3070" t="s">
        <v>9036</v>
      </c>
      <c r="G711" s="3070" t="s">
        <v>9037</v>
      </c>
      <c r="H711" s="3070">
        <v>1110230</v>
      </c>
      <c r="I711" s="3070">
        <v>1110230</v>
      </c>
      <c r="J711" s="3070">
        <v>84.62</v>
      </c>
      <c r="K711" s="3070">
        <v>62.38</v>
      </c>
      <c r="L711" s="3070">
        <v>0</v>
      </c>
      <c r="M711" s="3070">
        <v>0</v>
      </c>
      <c r="N711" s="3070">
        <v>16083.44</v>
      </c>
      <c r="O711" s="3070">
        <v>1360981</v>
      </c>
      <c r="P711" s="3070">
        <v>13120.18</v>
      </c>
      <c r="Q711" s="3070">
        <v>1110230</v>
      </c>
      <c r="R711" s="3070" t="s">
        <v>3227</v>
      </c>
      <c r="S711" s="3070" t="s">
        <v>9038</v>
      </c>
      <c r="T711" s="3070" t="s">
        <v>3425</v>
      </c>
      <c r="V711" s="3070" t="s">
        <v>3230</v>
      </c>
      <c r="Y711" s="3070">
        <v>640230</v>
      </c>
      <c r="Z711" s="3070">
        <v>640230</v>
      </c>
      <c r="AA711" s="3070">
        <v>640230</v>
      </c>
      <c r="AB711" s="3070">
        <v>0</v>
      </c>
      <c r="AC711" s="3070">
        <v>470000</v>
      </c>
      <c r="AD711" s="3070">
        <v>470000</v>
      </c>
      <c r="AE711" s="3070">
        <v>0</v>
      </c>
      <c r="AI711" s="3070" t="s">
        <v>3227</v>
      </c>
      <c r="AJ711" s="3070">
        <v>0</v>
      </c>
      <c r="AK711" s="3070">
        <v>0</v>
      </c>
      <c r="AL711" s="3070">
        <v>0</v>
      </c>
      <c r="AM711" s="3070">
        <v>13120.18</v>
      </c>
      <c r="AN711" s="3070">
        <v>1110230</v>
      </c>
      <c r="AP711" s="3070">
        <v>1110230</v>
      </c>
      <c r="AQ711" s="3072">
        <v>45230</v>
      </c>
      <c r="AT711" s="3073">
        <v>45770</v>
      </c>
      <c r="AV711" s="3070" t="s">
        <v>9039</v>
      </c>
      <c r="AW711" s="3070" t="s">
        <v>9040</v>
      </c>
      <c r="AX711" s="3070" t="s">
        <v>9041</v>
      </c>
      <c r="AY711" s="3070" t="s">
        <v>3273</v>
      </c>
      <c r="BC711" s="3070" t="s">
        <v>3461</v>
      </c>
      <c r="BD711" s="3070" t="s">
        <v>3076</v>
      </c>
      <c r="BI711" s="3070" t="s">
        <v>3235</v>
      </c>
      <c r="BJ711" s="3070" t="s">
        <v>3236</v>
      </c>
      <c r="BL711" s="3070" t="s">
        <v>9042</v>
      </c>
      <c r="BM711" s="3075">
        <v>44409</v>
      </c>
      <c r="BN711" s="3070">
        <v>-16</v>
      </c>
      <c r="BP711" s="3070" t="s">
        <v>3253</v>
      </c>
      <c r="BR711" s="3070">
        <v>175</v>
      </c>
      <c r="BS711" s="3070" t="s">
        <v>3238</v>
      </c>
      <c r="BZ711" s="3073">
        <v>44142.628472222219</v>
      </c>
      <c r="CA711" s="3070">
        <v>8</v>
      </c>
      <c r="CD711" s="3070" t="s">
        <v>3239</v>
      </c>
      <c r="CF711" s="3070" t="s">
        <v>3091</v>
      </c>
      <c r="CH711" s="3070" t="s">
        <v>3240</v>
      </c>
      <c r="CI711" s="3070">
        <v>0</v>
      </c>
      <c r="CJ711" s="3070" t="s">
        <v>3259</v>
      </c>
      <c r="CK711" s="3070" t="s">
        <v>3273</v>
      </c>
      <c r="CL711" s="3070" t="s">
        <v>3273</v>
      </c>
      <c r="CM711" s="3070">
        <v>1018559.63</v>
      </c>
      <c r="CV711" s="3070" t="s">
        <v>3425</v>
      </c>
      <c r="CW711" s="3070" t="s">
        <v>9043</v>
      </c>
      <c r="CZ711" s="3070">
        <v>213894.57</v>
      </c>
      <c r="DA711" s="3070">
        <v>159426.93</v>
      </c>
      <c r="DB711" s="3070">
        <v>0</v>
      </c>
      <c r="DC711" s="3070">
        <v>0</v>
      </c>
      <c r="DD711" s="3070">
        <v>3290547602</v>
      </c>
      <c r="DE711" s="3070">
        <v>2764253109</v>
      </c>
      <c r="DF711" s="3070">
        <v>1464966739</v>
      </c>
      <c r="DG711" s="3070">
        <v>14938370</v>
      </c>
      <c r="DH711" s="3070">
        <v>1284348000</v>
      </c>
      <c r="DI711" s="3070">
        <v>1278128000</v>
      </c>
      <c r="DJ711" s="3070">
        <v>6220000</v>
      </c>
      <c r="DK711" s="3070">
        <v>0</v>
      </c>
      <c r="DL711" s="3070">
        <v>0</v>
      </c>
      <c r="DM711" s="3070">
        <v>25491817.620000001</v>
      </c>
      <c r="DN711" s="3070">
        <v>2764253109</v>
      </c>
      <c r="DP711" s="3070">
        <v>2764253109</v>
      </c>
    </row>
    <row r="712" spans="1:120">
      <c r="A712" s="3070">
        <v>711</v>
      </c>
      <c r="B712" s="3070" t="s">
        <v>3224</v>
      </c>
      <c r="C712" s="3070">
        <v>8</v>
      </c>
      <c r="D712" s="3070">
        <v>1</v>
      </c>
      <c r="E712" s="3070">
        <v>1603</v>
      </c>
      <c r="F712" s="3070" t="s">
        <v>9044</v>
      </c>
      <c r="G712" s="3070" t="s">
        <v>9045</v>
      </c>
      <c r="H712" s="3070">
        <v>1158035</v>
      </c>
      <c r="I712" s="3070">
        <v>1158035</v>
      </c>
      <c r="J712" s="3070">
        <v>84.62</v>
      </c>
      <c r="K712" s="3070">
        <v>62.38</v>
      </c>
      <c r="L712" s="3070">
        <v>0</v>
      </c>
      <c r="M712" s="3070">
        <v>0</v>
      </c>
      <c r="N712" s="3070">
        <v>16083.44</v>
      </c>
      <c r="O712" s="3070">
        <v>1360981</v>
      </c>
      <c r="P712" s="3070">
        <v>13685.12</v>
      </c>
      <c r="Q712" s="3070">
        <v>1158035</v>
      </c>
      <c r="R712" s="3070" t="s">
        <v>3227</v>
      </c>
      <c r="S712" s="3070" t="s">
        <v>9046</v>
      </c>
      <c r="T712" s="3070" t="s">
        <v>3258</v>
      </c>
      <c r="U712" s="3070" t="s">
        <v>3259</v>
      </c>
      <c r="V712" s="3070" t="s">
        <v>3230</v>
      </c>
      <c r="Y712" s="3070">
        <v>658035</v>
      </c>
      <c r="Z712" s="3070">
        <v>115804</v>
      </c>
      <c r="AA712" s="3070">
        <v>658035</v>
      </c>
      <c r="AB712" s="3070">
        <v>0</v>
      </c>
      <c r="AC712" s="3070">
        <v>500000</v>
      </c>
      <c r="AD712" s="3070">
        <v>500000</v>
      </c>
      <c r="AE712" s="3070">
        <v>0</v>
      </c>
      <c r="AI712" s="3070" t="s">
        <v>3227</v>
      </c>
      <c r="AJ712" s="3070">
        <v>0</v>
      </c>
      <c r="AK712" s="3070">
        <v>0</v>
      </c>
      <c r="AL712" s="3070">
        <v>0</v>
      </c>
      <c r="AM712" s="3070">
        <v>13685.12</v>
      </c>
      <c r="AN712" s="3070">
        <v>1158035</v>
      </c>
      <c r="AP712" s="3070">
        <v>1158035</v>
      </c>
      <c r="AQ712" s="3072">
        <v>45230</v>
      </c>
      <c r="AT712" s="3073">
        <v>45770</v>
      </c>
      <c r="AV712" s="3070" t="s">
        <v>9047</v>
      </c>
      <c r="AW712" s="3070" t="s">
        <v>9048</v>
      </c>
      <c r="AX712" s="3070" t="s">
        <v>9049</v>
      </c>
      <c r="AY712" s="3070" t="s">
        <v>3318</v>
      </c>
      <c r="BA712" s="3070" t="s">
        <v>3233</v>
      </c>
      <c r="BC712" s="3070" t="s">
        <v>9050</v>
      </c>
      <c r="BD712" s="3070" t="s">
        <v>3076</v>
      </c>
      <c r="BI712" s="3070" t="s">
        <v>3235</v>
      </c>
      <c r="BL712" s="3070" t="s">
        <v>9051</v>
      </c>
      <c r="BM712" s="3075">
        <v>44409</v>
      </c>
      <c r="BN712" s="3070">
        <v>-16</v>
      </c>
      <c r="BO712" s="3070" t="s">
        <v>3403</v>
      </c>
      <c r="BP712" s="3070" t="s">
        <v>3403</v>
      </c>
      <c r="BR712" s="3070">
        <v>16</v>
      </c>
      <c r="BS712" s="3070" t="s">
        <v>3238</v>
      </c>
      <c r="BT712" s="3070" t="s">
        <v>3404</v>
      </c>
      <c r="BU712" s="3070" t="s">
        <v>3233</v>
      </c>
      <c r="BV712" s="3070" t="s">
        <v>9052</v>
      </c>
      <c r="BZ712" s="3073">
        <v>44175.453472222223</v>
      </c>
      <c r="CA712" s="3070">
        <v>8</v>
      </c>
      <c r="CB712" s="3070" t="s">
        <v>3404</v>
      </c>
      <c r="CD712" s="3070" t="s">
        <v>3239</v>
      </c>
      <c r="CF712" s="3070" t="s">
        <v>3091</v>
      </c>
      <c r="CH712" s="3070" t="s">
        <v>3240</v>
      </c>
      <c r="CI712" s="3070">
        <v>0</v>
      </c>
      <c r="CJ712" s="3070" t="s">
        <v>3259</v>
      </c>
      <c r="CK712" s="3070" t="s">
        <v>3318</v>
      </c>
      <c r="CL712" s="3070" t="s">
        <v>3318</v>
      </c>
      <c r="CM712" s="3070">
        <v>1062417.43</v>
      </c>
      <c r="CV712" s="3070" t="s">
        <v>3258</v>
      </c>
      <c r="CW712" s="3070" t="s">
        <v>9053</v>
      </c>
      <c r="CX712" s="3070" t="s">
        <v>3510</v>
      </c>
      <c r="CZ712" s="3070">
        <v>213894.57</v>
      </c>
      <c r="DA712" s="3070">
        <v>159426.93</v>
      </c>
      <c r="DB712" s="3070">
        <v>0</v>
      </c>
      <c r="DC712" s="3070">
        <v>0</v>
      </c>
      <c r="DD712" s="3070">
        <v>3290547602</v>
      </c>
      <c r="DE712" s="3070">
        <v>2764253109</v>
      </c>
      <c r="DF712" s="3070">
        <v>1464966739</v>
      </c>
      <c r="DG712" s="3070">
        <v>14938370</v>
      </c>
      <c r="DH712" s="3070">
        <v>1284348000</v>
      </c>
      <c r="DI712" s="3070">
        <v>1278128000</v>
      </c>
      <c r="DJ712" s="3070">
        <v>6220000</v>
      </c>
      <c r="DK712" s="3070">
        <v>0</v>
      </c>
      <c r="DL712" s="3070">
        <v>0</v>
      </c>
      <c r="DM712" s="3070">
        <v>25491817.620000001</v>
      </c>
      <c r="DN712" s="3070">
        <v>2764253109</v>
      </c>
      <c r="DP712" s="3070">
        <v>2764253109</v>
      </c>
    </row>
    <row r="713" spans="1:120">
      <c r="A713" s="3070">
        <v>712</v>
      </c>
      <c r="B713" s="3070" t="s">
        <v>3224</v>
      </c>
      <c r="C713" s="3070">
        <v>8</v>
      </c>
      <c r="D713" s="3070">
        <v>1</v>
      </c>
      <c r="E713" s="3070">
        <v>1604</v>
      </c>
      <c r="F713" s="3070" t="s">
        <v>9054</v>
      </c>
      <c r="G713" s="3070" t="s">
        <v>9055</v>
      </c>
      <c r="H713" s="3070">
        <v>1472056</v>
      </c>
      <c r="I713" s="3070">
        <v>1472056</v>
      </c>
      <c r="J713" s="3070">
        <v>108.82</v>
      </c>
      <c r="K713" s="3070">
        <v>80.22</v>
      </c>
      <c r="L713" s="3070">
        <v>0</v>
      </c>
      <c r="M713" s="3070">
        <v>0</v>
      </c>
      <c r="N713" s="3070">
        <v>15984.44</v>
      </c>
      <c r="O713" s="3070">
        <v>1739427</v>
      </c>
      <c r="P713" s="3070">
        <v>13527.44</v>
      </c>
      <c r="Q713" s="3070">
        <v>1472056</v>
      </c>
      <c r="R713" s="3070" t="s">
        <v>3227</v>
      </c>
      <c r="S713" s="3070" t="s">
        <v>9056</v>
      </c>
      <c r="T713" s="3070" t="s">
        <v>3246</v>
      </c>
      <c r="U713" s="3070" t="s">
        <v>3371</v>
      </c>
      <c r="V713" s="3070" t="s">
        <v>3230</v>
      </c>
      <c r="Y713" s="3070">
        <v>442056</v>
      </c>
      <c r="Z713" s="3070">
        <v>147206</v>
      </c>
      <c r="AA713" s="3070">
        <v>442056</v>
      </c>
      <c r="AB713" s="3070">
        <v>0</v>
      </c>
      <c r="AC713" s="3070">
        <v>1030000</v>
      </c>
      <c r="AD713" s="3070">
        <v>1030000</v>
      </c>
      <c r="AE713" s="3070">
        <v>0</v>
      </c>
      <c r="AI713" s="3070" t="s">
        <v>3227</v>
      </c>
      <c r="AJ713" s="3070">
        <v>0</v>
      </c>
      <c r="AK713" s="3070">
        <v>0</v>
      </c>
      <c r="AL713" s="3070">
        <v>0</v>
      </c>
      <c r="AM713" s="3070">
        <v>13527.44</v>
      </c>
      <c r="AN713" s="3070">
        <v>1472056</v>
      </c>
      <c r="AP713" s="3070">
        <v>1472056</v>
      </c>
      <c r="AQ713" s="3072">
        <v>45230</v>
      </c>
      <c r="AT713" s="3073">
        <v>45770</v>
      </c>
      <c r="AV713" s="3070" t="s">
        <v>9057</v>
      </c>
      <c r="AW713" s="3070" t="s">
        <v>9058</v>
      </c>
      <c r="AX713" s="3070" t="s">
        <v>9059</v>
      </c>
      <c r="AY713" s="3070" t="s">
        <v>3497</v>
      </c>
      <c r="BA713" s="3070" t="s">
        <v>3497</v>
      </c>
      <c r="BC713" s="3070" t="s">
        <v>9060</v>
      </c>
      <c r="BD713" s="3070" t="s">
        <v>3077</v>
      </c>
      <c r="BI713" s="3070" t="s">
        <v>3235</v>
      </c>
      <c r="BL713" s="3070" t="s">
        <v>9061</v>
      </c>
      <c r="BM713" s="3075">
        <v>44409</v>
      </c>
      <c r="BN713" s="3070">
        <v>-16</v>
      </c>
      <c r="BO713" s="3070" t="s">
        <v>3253</v>
      </c>
      <c r="BR713" s="3070">
        <v>15</v>
      </c>
      <c r="BS713" s="3070" t="s">
        <v>3238</v>
      </c>
      <c r="BU713" s="3070" t="s">
        <v>3497</v>
      </c>
      <c r="BV713" s="3070" t="s">
        <v>9062</v>
      </c>
      <c r="BZ713" s="3073">
        <v>44167.803472222222</v>
      </c>
      <c r="CA713" s="3070">
        <v>8</v>
      </c>
      <c r="CD713" s="3070" t="s">
        <v>3239</v>
      </c>
      <c r="CF713" s="3070" t="s">
        <v>3091</v>
      </c>
      <c r="CH713" s="3070" t="s">
        <v>3240</v>
      </c>
      <c r="CI713" s="3070">
        <v>0</v>
      </c>
      <c r="CK713" s="3070" t="s">
        <v>3497</v>
      </c>
      <c r="CL713" s="3070" t="s">
        <v>3318</v>
      </c>
      <c r="CM713" s="3070">
        <v>1350510.09</v>
      </c>
      <c r="CV713" s="3070" t="s">
        <v>3246</v>
      </c>
      <c r="CW713" s="3070" t="s">
        <v>9063</v>
      </c>
      <c r="CX713" s="3070" t="s">
        <v>3311</v>
      </c>
      <c r="CZ713" s="3070">
        <v>213894.57</v>
      </c>
      <c r="DA713" s="3070">
        <v>159426.93</v>
      </c>
      <c r="DB713" s="3070">
        <v>0</v>
      </c>
      <c r="DC713" s="3070">
        <v>0</v>
      </c>
      <c r="DD713" s="3070">
        <v>3290547602</v>
      </c>
      <c r="DE713" s="3070">
        <v>2764253109</v>
      </c>
      <c r="DF713" s="3070">
        <v>1464966739</v>
      </c>
      <c r="DG713" s="3070">
        <v>14938370</v>
      </c>
      <c r="DH713" s="3070">
        <v>1284348000</v>
      </c>
      <c r="DI713" s="3070">
        <v>1278128000</v>
      </c>
      <c r="DJ713" s="3070">
        <v>6220000</v>
      </c>
      <c r="DK713" s="3070">
        <v>0</v>
      </c>
      <c r="DL713" s="3070">
        <v>0</v>
      </c>
      <c r="DM713" s="3070">
        <v>25491817.620000001</v>
      </c>
      <c r="DN713" s="3070">
        <v>2764253109</v>
      </c>
      <c r="DP713" s="3070">
        <v>2764253109</v>
      </c>
    </row>
    <row r="714" spans="1:120">
      <c r="A714" s="3070">
        <v>713</v>
      </c>
      <c r="B714" s="3070" t="s">
        <v>3224</v>
      </c>
      <c r="C714" s="3070">
        <v>8</v>
      </c>
      <c r="D714" s="3070">
        <v>2</v>
      </c>
      <c r="E714" s="3070">
        <v>1605</v>
      </c>
      <c r="F714" s="3070" t="s">
        <v>9064</v>
      </c>
      <c r="G714" s="3070" t="s">
        <v>9065</v>
      </c>
      <c r="H714" s="3070">
        <v>1403322</v>
      </c>
      <c r="I714" s="3070">
        <v>1403322</v>
      </c>
      <c r="J714" s="3070">
        <v>108.82</v>
      </c>
      <c r="K714" s="3070">
        <v>80.22</v>
      </c>
      <c r="L714" s="3070">
        <v>0</v>
      </c>
      <c r="M714" s="3070">
        <v>0</v>
      </c>
      <c r="N714" s="3070">
        <v>15984.44</v>
      </c>
      <c r="O714" s="3070">
        <v>1739427</v>
      </c>
      <c r="P714" s="3070">
        <v>12895.81</v>
      </c>
      <c r="Q714" s="3070">
        <v>1403322</v>
      </c>
      <c r="R714" s="3070" t="s">
        <v>3227</v>
      </c>
      <c r="S714" s="3070" t="s">
        <v>9066</v>
      </c>
      <c r="T714" s="3070" t="s">
        <v>3229</v>
      </c>
      <c r="V714" s="3070" t="s">
        <v>3230</v>
      </c>
      <c r="Y714" s="3070">
        <v>420997</v>
      </c>
      <c r="Z714" s="3070">
        <v>420997</v>
      </c>
      <c r="AA714" s="3070">
        <v>1403322</v>
      </c>
      <c r="AB714" s="3070">
        <v>0</v>
      </c>
      <c r="AC714" s="3070">
        <v>0</v>
      </c>
      <c r="AD714" s="3070">
        <v>0</v>
      </c>
      <c r="AE714" s="3070">
        <v>0</v>
      </c>
      <c r="AI714" s="3070" t="s">
        <v>3227</v>
      </c>
      <c r="AJ714" s="3070">
        <v>0</v>
      </c>
      <c r="AK714" s="3070">
        <v>0</v>
      </c>
      <c r="AL714" s="3070">
        <v>0</v>
      </c>
      <c r="AM714" s="3070">
        <v>12895.81</v>
      </c>
      <c r="AN714" s="3070">
        <v>1403322</v>
      </c>
      <c r="AP714" s="3070">
        <v>1403322</v>
      </c>
      <c r="AQ714" s="3072">
        <v>45230</v>
      </c>
      <c r="AT714" s="3073">
        <v>45770</v>
      </c>
      <c r="AV714" s="3074">
        <v>1.3E+17</v>
      </c>
      <c r="AW714" s="3070" t="s">
        <v>9067</v>
      </c>
      <c r="AX714" s="3070" t="s">
        <v>5795</v>
      </c>
      <c r="AY714" s="3070" t="s">
        <v>3648</v>
      </c>
      <c r="BC714" s="3070" t="s">
        <v>3347</v>
      </c>
      <c r="BD714" s="3070" t="s">
        <v>3077</v>
      </c>
      <c r="BI714" s="3070" t="s">
        <v>3295</v>
      </c>
      <c r="BJ714" s="3070" t="s">
        <v>3598</v>
      </c>
      <c r="BL714" s="3070" t="s">
        <v>9068</v>
      </c>
      <c r="BM714" s="3075">
        <v>44410</v>
      </c>
      <c r="BN714" s="3070">
        <v>-16</v>
      </c>
      <c r="BR714" s="3070">
        <v>815</v>
      </c>
      <c r="BS714" s="3070" t="s">
        <v>3238</v>
      </c>
      <c r="BZ714" s="3073">
        <v>44142.647222222222</v>
      </c>
      <c r="CA714" s="3070">
        <v>8</v>
      </c>
      <c r="CD714" s="3070" t="s">
        <v>3239</v>
      </c>
      <c r="CF714" s="3070" t="s">
        <v>3091</v>
      </c>
      <c r="CH714" s="3070" t="s">
        <v>3240</v>
      </c>
      <c r="CI714" s="3070">
        <v>0</v>
      </c>
      <c r="CK714" s="3070" t="s">
        <v>3648</v>
      </c>
      <c r="CL714" s="3070" t="s">
        <v>3648</v>
      </c>
      <c r="CM714" s="3070">
        <v>1287451.3799999999</v>
      </c>
      <c r="CV714" s="3070" t="s">
        <v>3229</v>
      </c>
      <c r="CW714" s="3070" t="s">
        <v>9069</v>
      </c>
      <c r="CZ714" s="3070">
        <v>213894.57</v>
      </c>
      <c r="DA714" s="3070">
        <v>159426.93</v>
      </c>
      <c r="DB714" s="3070">
        <v>0</v>
      </c>
      <c r="DC714" s="3070">
        <v>0</v>
      </c>
      <c r="DD714" s="3070">
        <v>3290547602</v>
      </c>
      <c r="DE714" s="3070">
        <v>2764253109</v>
      </c>
      <c r="DF714" s="3070">
        <v>1464966739</v>
      </c>
      <c r="DG714" s="3070">
        <v>14938370</v>
      </c>
      <c r="DH714" s="3070">
        <v>1284348000</v>
      </c>
      <c r="DI714" s="3070">
        <v>1278128000</v>
      </c>
      <c r="DJ714" s="3070">
        <v>6220000</v>
      </c>
      <c r="DK714" s="3070">
        <v>0</v>
      </c>
      <c r="DL714" s="3070">
        <v>0</v>
      </c>
      <c r="DM714" s="3070">
        <v>25491817.620000001</v>
      </c>
      <c r="DN714" s="3070">
        <v>2764253109</v>
      </c>
      <c r="DP714" s="3070">
        <v>2764253109</v>
      </c>
    </row>
    <row r="715" spans="1:120">
      <c r="A715" s="3070">
        <v>714</v>
      </c>
      <c r="B715" s="3070" t="s">
        <v>3224</v>
      </c>
      <c r="C715" s="3070">
        <v>8</v>
      </c>
      <c r="D715" s="3070">
        <v>2</v>
      </c>
      <c r="E715" s="3070">
        <v>1606</v>
      </c>
      <c r="F715" s="3070" t="s">
        <v>9070</v>
      </c>
      <c r="G715" s="3070" t="s">
        <v>9071</v>
      </c>
      <c r="H715" s="3070">
        <v>1145660</v>
      </c>
      <c r="I715" s="3070">
        <v>1145660</v>
      </c>
      <c r="J715" s="3070">
        <v>84.62</v>
      </c>
      <c r="K715" s="3070">
        <v>62.38</v>
      </c>
      <c r="L715" s="3070">
        <v>0</v>
      </c>
      <c r="M715" s="3070">
        <v>0</v>
      </c>
      <c r="N715" s="3070">
        <v>16083.44</v>
      </c>
      <c r="O715" s="3070">
        <v>1360981</v>
      </c>
      <c r="P715" s="3070">
        <v>13538.88</v>
      </c>
      <c r="Q715" s="3070">
        <v>1145660</v>
      </c>
      <c r="R715" s="3070" t="s">
        <v>3227</v>
      </c>
      <c r="S715" s="3070" t="s">
        <v>9072</v>
      </c>
      <c r="T715" s="3070" t="s">
        <v>3258</v>
      </c>
      <c r="U715" s="3070" t="s">
        <v>3259</v>
      </c>
      <c r="V715" s="3070" t="s">
        <v>3230</v>
      </c>
      <c r="Y715" s="3070">
        <v>345660</v>
      </c>
      <c r="Z715" s="3070">
        <v>345660</v>
      </c>
      <c r="AA715" s="3070">
        <v>345660</v>
      </c>
      <c r="AB715" s="3070">
        <v>0</v>
      </c>
      <c r="AC715" s="3070">
        <v>800000</v>
      </c>
      <c r="AD715" s="3070">
        <v>800000</v>
      </c>
      <c r="AE715" s="3070">
        <v>0</v>
      </c>
      <c r="AI715" s="3070" t="s">
        <v>3227</v>
      </c>
      <c r="AJ715" s="3070">
        <v>0</v>
      </c>
      <c r="AK715" s="3070">
        <v>0</v>
      </c>
      <c r="AL715" s="3070">
        <v>0</v>
      </c>
      <c r="AM715" s="3070">
        <v>13538.88</v>
      </c>
      <c r="AN715" s="3070">
        <v>1145660</v>
      </c>
      <c r="AP715" s="3070">
        <v>1145660</v>
      </c>
      <c r="AQ715" s="3072">
        <v>45230</v>
      </c>
      <c r="AT715" s="3073">
        <v>45770</v>
      </c>
      <c r="AV715" s="3070" t="s">
        <v>9073</v>
      </c>
      <c r="AW715" s="3070" t="s">
        <v>9074</v>
      </c>
      <c r="AX715" s="3070" t="s">
        <v>9075</v>
      </c>
      <c r="AY715" s="3070" t="s">
        <v>3393</v>
      </c>
      <c r="BA715" s="3070" t="s">
        <v>3393</v>
      </c>
      <c r="BC715" s="3070" t="s">
        <v>7347</v>
      </c>
      <c r="BD715" s="3070" t="s">
        <v>3076</v>
      </c>
      <c r="BI715" s="3070" t="s">
        <v>3295</v>
      </c>
      <c r="BL715" s="3070" t="s">
        <v>9076</v>
      </c>
      <c r="BM715" s="3075">
        <v>44410</v>
      </c>
      <c r="BN715" s="3070">
        <v>-16</v>
      </c>
      <c r="BO715" s="3070" t="s">
        <v>3253</v>
      </c>
      <c r="BP715" s="3070" t="s">
        <v>3253</v>
      </c>
      <c r="BR715" s="3070">
        <v>16</v>
      </c>
      <c r="BS715" s="3070" t="s">
        <v>3238</v>
      </c>
      <c r="BU715" s="3070" t="s">
        <v>3393</v>
      </c>
      <c r="BV715" s="3070" t="s">
        <v>9077</v>
      </c>
      <c r="BZ715" s="3073">
        <v>44178.859722222223</v>
      </c>
      <c r="CA715" s="3070">
        <v>8</v>
      </c>
      <c r="CD715" s="3070" t="s">
        <v>3239</v>
      </c>
      <c r="CF715" s="3070" t="s">
        <v>3091</v>
      </c>
      <c r="CH715" s="3070" t="s">
        <v>3240</v>
      </c>
      <c r="CI715" s="3070">
        <v>0</v>
      </c>
      <c r="CJ715" s="3070" t="s">
        <v>3259</v>
      </c>
      <c r="CK715" s="3070" t="s">
        <v>3393</v>
      </c>
      <c r="CL715" s="3070" t="s">
        <v>3393</v>
      </c>
      <c r="CM715" s="3070">
        <v>1051064.22</v>
      </c>
      <c r="CV715" s="3070" t="s">
        <v>3258</v>
      </c>
      <c r="CW715" s="3070" t="s">
        <v>9078</v>
      </c>
      <c r="CZ715" s="3070">
        <v>213894.57</v>
      </c>
      <c r="DA715" s="3070">
        <v>159426.93</v>
      </c>
      <c r="DB715" s="3070">
        <v>0</v>
      </c>
      <c r="DC715" s="3070">
        <v>0</v>
      </c>
      <c r="DD715" s="3070">
        <v>3290547602</v>
      </c>
      <c r="DE715" s="3070">
        <v>2764253109</v>
      </c>
      <c r="DF715" s="3070">
        <v>1464966739</v>
      </c>
      <c r="DG715" s="3070">
        <v>14938370</v>
      </c>
      <c r="DH715" s="3070">
        <v>1284348000</v>
      </c>
      <c r="DI715" s="3070">
        <v>1278128000</v>
      </c>
      <c r="DJ715" s="3070">
        <v>6220000</v>
      </c>
      <c r="DK715" s="3070">
        <v>0</v>
      </c>
      <c r="DL715" s="3070">
        <v>0</v>
      </c>
      <c r="DM715" s="3070">
        <v>25491817.620000001</v>
      </c>
      <c r="DN715" s="3070">
        <v>2764253109</v>
      </c>
      <c r="DP715" s="3070">
        <v>2764253109</v>
      </c>
    </row>
    <row r="716" spans="1:120">
      <c r="A716" s="3070">
        <v>715</v>
      </c>
      <c r="B716" s="3070" t="s">
        <v>3224</v>
      </c>
      <c r="C716" s="3070">
        <v>8</v>
      </c>
      <c r="D716" s="3070">
        <v>2</v>
      </c>
      <c r="E716" s="3070">
        <v>1607</v>
      </c>
      <c r="F716" s="3070" t="s">
        <v>9079</v>
      </c>
      <c r="G716" s="3070" t="s">
        <v>9080</v>
      </c>
      <c r="H716" s="3070">
        <v>1110230</v>
      </c>
      <c r="I716" s="3070">
        <v>1110230</v>
      </c>
      <c r="J716" s="3070">
        <v>84.62</v>
      </c>
      <c r="K716" s="3070">
        <v>62.38</v>
      </c>
      <c r="L716" s="3070">
        <v>0</v>
      </c>
      <c r="M716" s="3070">
        <v>0</v>
      </c>
      <c r="N716" s="3070">
        <v>16083.44</v>
      </c>
      <c r="O716" s="3070">
        <v>1360981</v>
      </c>
      <c r="P716" s="3070">
        <v>13120.18</v>
      </c>
      <c r="Q716" s="3070">
        <v>1110230</v>
      </c>
      <c r="R716" s="3070" t="s">
        <v>3227</v>
      </c>
      <c r="S716" s="3070" t="s">
        <v>9081</v>
      </c>
      <c r="T716" s="3070" t="s">
        <v>3246</v>
      </c>
      <c r="U716" s="3070" t="s">
        <v>3247</v>
      </c>
      <c r="V716" s="3070" t="s">
        <v>3230</v>
      </c>
      <c r="Y716" s="3070">
        <v>340230</v>
      </c>
      <c r="Z716" s="3070">
        <v>340230</v>
      </c>
      <c r="AA716" s="3070">
        <v>340230</v>
      </c>
      <c r="AB716" s="3070">
        <v>0</v>
      </c>
      <c r="AC716" s="3070">
        <v>770000</v>
      </c>
      <c r="AD716" s="3070">
        <v>770000</v>
      </c>
      <c r="AE716" s="3070">
        <v>0</v>
      </c>
      <c r="AI716" s="3070" t="s">
        <v>3227</v>
      </c>
      <c r="AJ716" s="3070">
        <v>0</v>
      </c>
      <c r="AK716" s="3070">
        <v>0</v>
      </c>
      <c r="AL716" s="3070">
        <v>0</v>
      </c>
      <c r="AM716" s="3070">
        <v>13120.18</v>
      </c>
      <c r="AN716" s="3070">
        <v>1110230</v>
      </c>
      <c r="AP716" s="3070">
        <v>1110230</v>
      </c>
      <c r="AQ716" s="3072">
        <v>45230</v>
      </c>
      <c r="AT716" s="3073">
        <v>45770</v>
      </c>
      <c r="AV716" s="3074">
        <v>3.21E+17</v>
      </c>
      <c r="AW716" s="3070" t="s">
        <v>9082</v>
      </c>
      <c r="AX716" s="3070" t="s">
        <v>9083</v>
      </c>
      <c r="AY716" s="3070" t="s">
        <v>3497</v>
      </c>
      <c r="BC716" s="3070" t="s">
        <v>3284</v>
      </c>
      <c r="BD716" s="3070" t="s">
        <v>3076</v>
      </c>
      <c r="BI716" s="3070" t="s">
        <v>3235</v>
      </c>
      <c r="BJ716" s="3070" t="s">
        <v>3296</v>
      </c>
      <c r="BL716" s="3070" t="s">
        <v>9084</v>
      </c>
      <c r="BM716" s="3075">
        <v>44410</v>
      </c>
      <c r="BN716" s="3070">
        <v>-16</v>
      </c>
      <c r="BO716" s="3070" t="s">
        <v>3253</v>
      </c>
      <c r="BR716" s="3070">
        <v>272</v>
      </c>
      <c r="BS716" s="3070" t="s">
        <v>3238</v>
      </c>
      <c r="BZ716" s="3073">
        <v>44153.917361111111</v>
      </c>
      <c r="CA716" s="3070">
        <v>8</v>
      </c>
      <c r="CD716" s="3070" t="s">
        <v>3239</v>
      </c>
      <c r="CF716" s="3070" t="s">
        <v>3091</v>
      </c>
      <c r="CH716" s="3070" t="s">
        <v>3240</v>
      </c>
      <c r="CI716" s="3070">
        <v>0</v>
      </c>
      <c r="CK716" s="3070" t="s">
        <v>3497</v>
      </c>
      <c r="CL716" s="3070" t="s">
        <v>3497</v>
      </c>
      <c r="CM716" s="3070">
        <v>1018559.63</v>
      </c>
      <c r="CV716" s="3070" t="s">
        <v>3246</v>
      </c>
      <c r="CW716" s="3070" t="s">
        <v>9085</v>
      </c>
      <c r="CX716" s="3070" t="s">
        <v>3242</v>
      </c>
      <c r="CZ716" s="3070">
        <v>213894.57</v>
      </c>
      <c r="DA716" s="3070">
        <v>159426.93</v>
      </c>
      <c r="DB716" s="3070">
        <v>0</v>
      </c>
      <c r="DC716" s="3070">
        <v>0</v>
      </c>
      <c r="DD716" s="3070">
        <v>3290547602</v>
      </c>
      <c r="DE716" s="3070">
        <v>2764253109</v>
      </c>
      <c r="DF716" s="3070">
        <v>1464966739</v>
      </c>
      <c r="DG716" s="3070">
        <v>14938370</v>
      </c>
      <c r="DH716" s="3070">
        <v>1284348000</v>
      </c>
      <c r="DI716" s="3070">
        <v>1278128000</v>
      </c>
      <c r="DJ716" s="3070">
        <v>6220000</v>
      </c>
      <c r="DK716" s="3070">
        <v>0</v>
      </c>
      <c r="DL716" s="3070">
        <v>0</v>
      </c>
      <c r="DM716" s="3070">
        <v>25491817.620000001</v>
      </c>
      <c r="DN716" s="3070">
        <v>2764253109</v>
      </c>
      <c r="DP716" s="3070">
        <v>2764253109</v>
      </c>
    </row>
    <row r="717" spans="1:120">
      <c r="A717" s="3070">
        <v>716</v>
      </c>
      <c r="B717" s="3070" t="s">
        <v>3224</v>
      </c>
      <c r="C717" s="3070">
        <v>8</v>
      </c>
      <c r="D717" s="3070">
        <v>2</v>
      </c>
      <c r="E717" s="3070">
        <v>1608</v>
      </c>
      <c r="F717" s="3070" t="s">
        <v>9086</v>
      </c>
      <c r="G717" s="3070" t="s">
        <v>9087</v>
      </c>
      <c r="H717" s="3070">
        <v>1548039</v>
      </c>
      <c r="I717" s="3070">
        <v>1548039</v>
      </c>
      <c r="J717" s="3070">
        <v>120.15</v>
      </c>
      <c r="K717" s="3070">
        <v>88.57</v>
      </c>
      <c r="L717" s="3070">
        <v>0</v>
      </c>
      <c r="M717" s="3070">
        <v>0</v>
      </c>
      <c r="N717" s="3070">
        <v>15694.44</v>
      </c>
      <c r="O717" s="3070">
        <v>1885687</v>
      </c>
      <c r="P717" s="3070">
        <v>12884.22</v>
      </c>
      <c r="Q717" s="3070">
        <v>1548039</v>
      </c>
      <c r="R717" s="3070" t="s">
        <v>3227</v>
      </c>
      <c r="S717" s="3070" t="s">
        <v>9088</v>
      </c>
      <c r="T717" s="3070" t="s">
        <v>3494</v>
      </c>
      <c r="V717" s="3070" t="s">
        <v>3230</v>
      </c>
      <c r="Y717" s="3070">
        <v>154804</v>
      </c>
      <c r="Z717" s="3070">
        <v>154804</v>
      </c>
      <c r="AA717" s="3070">
        <v>1548039</v>
      </c>
      <c r="AB717" s="3070">
        <v>0</v>
      </c>
      <c r="AC717" s="3070">
        <v>0</v>
      </c>
      <c r="AD717" s="3070">
        <v>0</v>
      </c>
      <c r="AE717" s="3070">
        <v>0</v>
      </c>
      <c r="AI717" s="3070" t="s">
        <v>3227</v>
      </c>
      <c r="AJ717" s="3070">
        <v>0</v>
      </c>
      <c r="AK717" s="3070">
        <v>0</v>
      </c>
      <c r="AL717" s="3070">
        <v>0</v>
      </c>
      <c r="AM717" s="3070">
        <v>12884.22</v>
      </c>
      <c r="AN717" s="3070">
        <v>1548039</v>
      </c>
      <c r="AP717" s="3070">
        <v>1548039</v>
      </c>
      <c r="AQ717" s="3072">
        <v>45230</v>
      </c>
      <c r="AT717" s="3073">
        <v>45770</v>
      </c>
      <c r="AV717" s="3070" t="s">
        <v>9089</v>
      </c>
      <c r="AW717" s="3070" t="s">
        <v>9090</v>
      </c>
      <c r="AX717" s="3070" t="s">
        <v>9091</v>
      </c>
      <c r="AY717" s="3070" t="s">
        <v>3981</v>
      </c>
      <c r="BC717" s="3070" t="s">
        <v>9092</v>
      </c>
      <c r="BD717" s="3070" t="s">
        <v>3075</v>
      </c>
      <c r="BI717" s="3070" t="s">
        <v>3235</v>
      </c>
      <c r="BL717" s="3070" t="s">
        <v>9093</v>
      </c>
      <c r="BM717" s="3075">
        <v>44410</v>
      </c>
      <c r="BN717" s="3070">
        <v>-16</v>
      </c>
      <c r="BR717" s="3070">
        <v>20</v>
      </c>
      <c r="BS717" s="3070" t="s">
        <v>3238</v>
      </c>
      <c r="BV717" s="3070" t="s">
        <v>9094</v>
      </c>
      <c r="BZ717" s="3073">
        <v>44196.65625</v>
      </c>
      <c r="CA717" s="3070">
        <v>8</v>
      </c>
      <c r="CD717" s="3070" t="s">
        <v>3239</v>
      </c>
      <c r="CF717" s="3070" t="s">
        <v>3091</v>
      </c>
      <c r="CH717" s="3070" t="s">
        <v>3240</v>
      </c>
      <c r="CI717" s="3070">
        <v>0</v>
      </c>
      <c r="CK717" s="3070" t="s">
        <v>3986</v>
      </c>
      <c r="CL717" s="3070" t="s">
        <v>3986</v>
      </c>
      <c r="CM717" s="3070">
        <v>1420219.27</v>
      </c>
      <c r="CV717" s="3070" t="s">
        <v>3494</v>
      </c>
      <c r="CW717" s="3070" t="s">
        <v>9095</v>
      </c>
      <c r="CX717" s="3070" t="s">
        <v>3267</v>
      </c>
      <c r="CZ717" s="3070">
        <v>213894.57</v>
      </c>
      <c r="DA717" s="3070">
        <v>159426.93</v>
      </c>
      <c r="DB717" s="3070">
        <v>0</v>
      </c>
      <c r="DC717" s="3070">
        <v>0</v>
      </c>
      <c r="DD717" s="3070">
        <v>3290547602</v>
      </c>
      <c r="DE717" s="3070">
        <v>2764253109</v>
      </c>
      <c r="DF717" s="3070">
        <v>1464966739</v>
      </c>
      <c r="DG717" s="3070">
        <v>14938370</v>
      </c>
      <c r="DH717" s="3070">
        <v>1284348000</v>
      </c>
      <c r="DI717" s="3070">
        <v>1278128000</v>
      </c>
      <c r="DJ717" s="3070">
        <v>6220000</v>
      </c>
      <c r="DK717" s="3070">
        <v>0</v>
      </c>
      <c r="DL717" s="3070">
        <v>0</v>
      </c>
      <c r="DM717" s="3070">
        <v>25491817.620000001</v>
      </c>
      <c r="DN717" s="3070">
        <v>2764253109</v>
      </c>
      <c r="DP717" s="3070">
        <v>2764253109</v>
      </c>
    </row>
    <row r="718" spans="1:120">
      <c r="A718" s="3070">
        <v>717</v>
      </c>
      <c r="B718" s="3070" t="s">
        <v>3224</v>
      </c>
      <c r="C718" s="3070">
        <v>8</v>
      </c>
      <c r="D718" s="3070">
        <v>1</v>
      </c>
      <c r="E718" s="3070">
        <v>1701</v>
      </c>
      <c r="F718" s="3070" t="s">
        <v>9096</v>
      </c>
      <c r="G718" s="3070" t="s">
        <v>9097</v>
      </c>
      <c r="H718" s="3070">
        <v>1543382</v>
      </c>
      <c r="I718" s="3070">
        <v>1543382</v>
      </c>
      <c r="J718" s="3070">
        <v>120.15</v>
      </c>
      <c r="K718" s="3070">
        <v>88.57</v>
      </c>
      <c r="L718" s="3070">
        <v>0</v>
      </c>
      <c r="M718" s="3070">
        <v>0</v>
      </c>
      <c r="N718" s="3070">
        <v>15794.44</v>
      </c>
      <c r="O718" s="3070">
        <v>1897702</v>
      </c>
      <c r="P718" s="3070">
        <v>12845.46</v>
      </c>
      <c r="Q718" s="3070">
        <v>1543382</v>
      </c>
      <c r="R718" s="3070" t="s">
        <v>3227</v>
      </c>
      <c r="S718" s="3070" t="s">
        <v>9098</v>
      </c>
      <c r="T718" s="3070" t="s">
        <v>3246</v>
      </c>
      <c r="U718" s="3070" t="s">
        <v>3539</v>
      </c>
      <c r="V718" s="3070" t="s">
        <v>3230</v>
      </c>
      <c r="Y718" s="3070">
        <v>1043382</v>
      </c>
      <c r="Z718" s="3070">
        <v>1043382</v>
      </c>
      <c r="AA718" s="3070">
        <v>1043382</v>
      </c>
      <c r="AB718" s="3070">
        <v>0</v>
      </c>
      <c r="AC718" s="3070">
        <v>500000</v>
      </c>
      <c r="AD718" s="3070">
        <v>500000</v>
      </c>
      <c r="AE718" s="3070">
        <v>0</v>
      </c>
      <c r="AI718" s="3070" t="s">
        <v>3227</v>
      </c>
      <c r="AJ718" s="3070">
        <v>0</v>
      </c>
      <c r="AK718" s="3070">
        <v>0</v>
      </c>
      <c r="AL718" s="3070">
        <v>0</v>
      </c>
      <c r="AM718" s="3070">
        <v>12845.46</v>
      </c>
      <c r="AN718" s="3070">
        <v>1543382</v>
      </c>
      <c r="AP718" s="3070">
        <v>1543382</v>
      </c>
      <c r="AQ718" s="3072">
        <v>45230</v>
      </c>
      <c r="AT718" s="3073">
        <v>45770</v>
      </c>
      <c r="AV718" s="3070" t="s">
        <v>9099</v>
      </c>
      <c r="AW718" s="3070" t="s">
        <v>9100</v>
      </c>
      <c r="AX718" s="3070" t="s">
        <v>9101</v>
      </c>
      <c r="AY718" s="3070" t="s">
        <v>3393</v>
      </c>
      <c r="BC718" s="3070" t="s">
        <v>3284</v>
      </c>
      <c r="BD718" s="3070" t="s">
        <v>3075</v>
      </c>
      <c r="BI718" s="3070" t="s">
        <v>3235</v>
      </c>
      <c r="BJ718" s="3070" t="s">
        <v>3296</v>
      </c>
      <c r="BL718" s="3070" t="s">
        <v>9102</v>
      </c>
      <c r="BM718" s="3075">
        <v>44409</v>
      </c>
      <c r="BN718" s="3070">
        <v>-17</v>
      </c>
      <c r="BO718" s="3070" t="s">
        <v>3253</v>
      </c>
      <c r="BR718" s="3070">
        <v>62</v>
      </c>
      <c r="BS718" s="3070" t="s">
        <v>3238</v>
      </c>
      <c r="BZ718" s="3073">
        <v>44145.424305555556</v>
      </c>
      <c r="CA718" s="3070">
        <v>8</v>
      </c>
      <c r="CD718" s="3070" t="s">
        <v>3239</v>
      </c>
      <c r="CF718" s="3070" t="s">
        <v>3091</v>
      </c>
      <c r="CH718" s="3070" t="s">
        <v>3240</v>
      </c>
      <c r="CI718" s="3070">
        <v>0</v>
      </c>
      <c r="CK718" s="3070" t="s">
        <v>3393</v>
      </c>
      <c r="CL718" s="3070" t="s">
        <v>3393</v>
      </c>
      <c r="CM718" s="3070">
        <v>1415946.79</v>
      </c>
      <c r="CV718" s="3070" t="s">
        <v>3246</v>
      </c>
      <c r="CW718" s="3070" t="s">
        <v>9103</v>
      </c>
      <c r="CZ718" s="3070">
        <v>213894.57</v>
      </c>
      <c r="DA718" s="3070">
        <v>159426.93</v>
      </c>
      <c r="DB718" s="3070">
        <v>0</v>
      </c>
      <c r="DC718" s="3070">
        <v>0</v>
      </c>
      <c r="DD718" s="3070">
        <v>3290547602</v>
      </c>
      <c r="DE718" s="3070">
        <v>2764253109</v>
      </c>
      <c r="DF718" s="3070">
        <v>1464966739</v>
      </c>
      <c r="DG718" s="3070">
        <v>14938370</v>
      </c>
      <c r="DH718" s="3070">
        <v>1284348000</v>
      </c>
      <c r="DI718" s="3070">
        <v>1278128000</v>
      </c>
      <c r="DJ718" s="3070">
        <v>6220000</v>
      </c>
      <c r="DK718" s="3070">
        <v>0</v>
      </c>
      <c r="DL718" s="3070">
        <v>0</v>
      </c>
      <c r="DM718" s="3070">
        <v>25491817.620000001</v>
      </c>
      <c r="DN718" s="3070">
        <v>2764253109</v>
      </c>
      <c r="DP718" s="3070">
        <v>2764253109</v>
      </c>
    </row>
    <row r="719" spans="1:120">
      <c r="A719" s="3070">
        <v>718</v>
      </c>
      <c r="B719" s="3070" t="s">
        <v>3224</v>
      </c>
      <c r="C719" s="3070">
        <v>8</v>
      </c>
      <c r="D719" s="3070">
        <v>1</v>
      </c>
      <c r="E719" s="3070">
        <v>1702</v>
      </c>
      <c r="F719" s="3070" t="s">
        <v>9104</v>
      </c>
      <c r="G719" s="3070" t="s">
        <v>9105</v>
      </c>
      <c r="H719" s="3070">
        <v>1102186</v>
      </c>
      <c r="I719" s="3070">
        <v>1102186</v>
      </c>
      <c r="J719" s="3070">
        <v>84.62</v>
      </c>
      <c r="K719" s="3070">
        <v>62.38</v>
      </c>
      <c r="L719" s="3070">
        <v>0</v>
      </c>
      <c r="M719" s="3070">
        <v>0</v>
      </c>
      <c r="N719" s="3070">
        <v>15983.44</v>
      </c>
      <c r="O719" s="3070">
        <v>1352519</v>
      </c>
      <c r="P719" s="3070">
        <v>13025.12</v>
      </c>
      <c r="Q719" s="3070">
        <v>1102186</v>
      </c>
      <c r="R719" s="3070" t="s">
        <v>3227</v>
      </c>
      <c r="S719" s="3070" t="s">
        <v>9106</v>
      </c>
      <c r="T719" s="3070" t="s">
        <v>3246</v>
      </c>
      <c r="U719" s="3070" t="s">
        <v>3279</v>
      </c>
      <c r="V719" s="3070" t="s">
        <v>3230</v>
      </c>
      <c r="Y719" s="3070">
        <v>452186</v>
      </c>
      <c r="Z719" s="3070">
        <v>452186</v>
      </c>
      <c r="AA719" s="3070">
        <v>452186</v>
      </c>
      <c r="AB719" s="3070">
        <v>0</v>
      </c>
      <c r="AC719" s="3070">
        <v>650000</v>
      </c>
      <c r="AD719" s="3070">
        <v>650000</v>
      </c>
      <c r="AE719" s="3070">
        <v>0</v>
      </c>
      <c r="AI719" s="3070" t="s">
        <v>3227</v>
      </c>
      <c r="AJ719" s="3070">
        <v>0</v>
      </c>
      <c r="AK719" s="3070">
        <v>0</v>
      </c>
      <c r="AL719" s="3070">
        <v>0</v>
      </c>
      <c r="AM719" s="3070">
        <v>13025.12</v>
      </c>
      <c r="AN719" s="3070">
        <v>1102186</v>
      </c>
      <c r="AP719" s="3070">
        <v>1102186</v>
      </c>
      <c r="AQ719" s="3072">
        <v>45230</v>
      </c>
      <c r="AT719" s="3073">
        <v>45770</v>
      </c>
      <c r="AV719" s="3074">
        <v>3.21E+17</v>
      </c>
      <c r="AW719" s="3070" t="s">
        <v>9107</v>
      </c>
      <c r="AX719" s="3070" t="s">
        <v>9108</v>
      </c>
      <c r="AY719" s="3070" t="s">
        <v>3364</v>
      </c>
      <c r="BC719" s="3070" t="s">
        <v>3284</v>
      </c>
      <c r="BD719" s="3070" t="s">
        <v>3076</v>
      </c>
      <c r="BI719" s="3070" t="s">
        <v>3235</v>
      </c>
      <c r="BJ719" s="3070" t="s">
        <v>3296</v>
      </c>
      <c r="BL719" s="3070" t="s">
        <v>9109</v>
      </c>
      <c r="BM719" s="3075">
        <v>44409</v>
      </c>
      <c r="BN719" s="3070">
        <v>-17</v>
      </c>
      <c r="BO719" s="3070" t="s">
        <v>3253</v>
      </c>
      <c r="BR719" s="3070">
        <v>225</v>
      </c>
      <c r="BS719" s="3070" t="s">
        <v>3238</v>
      </c>
      <c r="BZ719" s="3073">
        <v>44146.423611111109</v>
      </c>
      <c r="CA719" s="3070">
        <v>8</v>
      </c>
      <c r="CD719" s="3070" t="s">
        <v>3239</v>
      </c>
      <c r="CF719" s="3070" t="s">
        <v>3091</v>
      </c>
      <c r="CH719" s="3070" t="s">
        <v>3240</v>
      </c>
      <c r="CI719" s="3070">
        <v>0</v>
      </c>
      <c r="CK719" s="3070" t="s">
        <v>3364</v>
      </c>
      <c r="CL719" s="3070" t="s">
        <v>3364</v>
      </c>
      <c r="CM719" s="3070">
        <v>1011179.82</v>
      </c>
      <c r="CV719" s="3070" t="s">
        <v>3246</v>
      </c>
      <c r="CW719" s="3070" t="s">
        <v>9110</v>
      </c>
      <c r="CZ719" s="3070">
        <v>213894.57</v>
      </c>
      <c r="DA719" s="3070">
        <v>159426.93</v>
      </c>
      <c r="DB719" s="3070">
        <v>0</v>
      </c>
      <c r="DC719" s="3070">
        <v>0</v>
      </c>
      <c r="DD719" s="3070">
        <v>3290547602</v>
      </c>
      <c r="DE719" s="3070">
        <v>2764253109</v>
      </c>
      <c r="DF719" s="3070">
        <v>1464966739</v>
      </c>
      <c r="DG719" s="3070">
        <v>14938370</v>
      </c>
      <c r="DH719" s="3070">
        <v>1284348000</v>
      </c>
      <c r="DI719" s="3070">
        <v>1278128000</v>
      </c>
      <c r="DJ719" s="3070">
        <v>6220000</v>
      </c>
      <c r="DK719" s="3070">
        <v>0</v>
      </c>
      <c r="DL719" s="3070">
        <v>0</v>
      </c>
      <c r="DM719" s="3070">
        <v>25491817.620000001</v>
      </c>
      <c r="DN719" s="3070">
        <v>2764253109</v>
      </c>
      <c r="DP719" s="3070">
        <v>2764253109</v>
      </c>
    </row>
    <row r="720" spans="1:120">
      <c r="A720" s="3070">
        <v>719</v>
      </c>
      <c r="B720" s="3070" t="s">
        <v>3224</v>
      </c>
      <c r="C720" s="3070">
        <v>8</v>
      </c>
      <c r="D720" s="3070">
        <v>1</v>
      </c>
      <c r="E720" s="3070">
        <v>1703</v>
      </c>
      <c r="F720" s="3070" t="s">
        <v>9111</v>
      </c>
      <c r="G720" s="3070" t="s">
        <v>9112</v>
      </c>
      <c r="H720" s="3070">
        <v>1102186</v>
      </c>
      <c r="I720" s="3070">
        <v>1102186</v>
      </c>
      <c r="J720" s="3070">
        <v>84.62</v>
      </c>
      <c r="K720" s="3070">
        <v>62.38</v>
      </c>
      <c r="L720" s="3070">
        <v>0</v>
      </c>
      <c r="M720" s="3070">
        <v>0</v>
      </c>
      <c r="N720" s="3070">
        <v>15983.44</v>
      </c>
      <c r="O720" s="3070">
        <v>1352519</v>
      </c>
      <c r="P720" s="3070">
        <v>13025.12</v>
      </c>
      <c r="Q720" s="3070">
        <v>1102186</v>
      </c>
      <c r="R720" s="3070" t="s">
        <v>3227</v>
      </c>
      <c r="S720" s="3070" t="s">
        <v>9113</v>
      </c>
      <c r="T720" s="3070" t="s">
        <v>3246</v>
      </c>
      <c r="U720" s="3070" t="s">
        <v>3247</v>
      </c>
      <c r="V720" s="3070" t="s">
        <v>3230</v>
      </c>
      <c r="Y720" s="3070">
        <v>332186</v>
      </c>
      <c r="Z720" s="3070">
        <v>332186</v>
      </c>
      <c r="AA720" s="3070">
        <v>332186</v>
      </c>
      <c r="AB720" s="3070">
        <v>0</v>
      </c>
      <c r="AC720" s="3070">
        <v>770000</v>
      </c>
      <c r="AD720" s="3070">
        <v>770000</v>
      </c>
      <c r="AE720" s="3070">
        <v>0</v>
      </c>
      <c r="AI720" s="3070" t="s">
        <v>3227</v>
      </c>
      <c r="AJ720" s="3070">
        <v>0</v>
      </c>
      <c r="AK720" s="3070">
        <v>0</v>
      </c>
      <c r="AL720" s="3070">
        <v>0</v>
      </c>
      <c r="AM720" s="3070">
        <v>13025.12</v>
      </c>
      <c r="AN720" s="3070">
        <v>1102186</v>
      </c>
      <c r="AP720" s="3070">
        <v>1102186</v>
      </c>
      <c r="AQ720" s="3072">
        <v>45230</v>
      </c>
      <c r="AT720" s="3073">
        <v>45770</v>
      </c>
      <c r="AV720" s="3074">
        <v>3.21E+17</v>
      </c>
      <c r="AW720" s="3070" t="s">
        <v>9114</v>
      </c>
      <c r="AX720" s="3070" t="s">
        <v>9115</v>
      </c>
      <c r="AY720" s="3070" t="s">
        <v>3364</v>
      </c>
      <c r="BC720" s="3070" t="s">
        <v>3284</v>
      </c>
      <c r="BD720" s="3070" t="s">
        <v>3076</v>
      </c>
      <c r="BI720" s="3070" t="s">
        <v>3235</v>
      </c>
      <c r="BJ720" s="3070" t="s">
        <v>3296</v>
      </c>
      <c r="BL720" s="3070" t="s">
        <v>9116</v>
      </c>
      <c r="BM720" s="3075">
        <v>44409</v>
      </c>
      <c r="BN720" s="3070">
        <v>-17</v>
      </c>
      <c r="BO720" s="3070" t="s">
        <v>3253</v>
      </c>
      <c r="BR720" s="3070">
        <v>838</v>
      </c>
      <c r="BS720" s="3070" t="s">
        <v>3238</v>
      </c>
      <c r="BZ720" s="3073">
        <v>44143.738888888889</v>
      </c>
      <c r="CA720" s="3070">
        <v>8</v>
      </c>
      <c r="CD720" s="3070" t="s">
        <v>3239</v>
      </c>
      <c r="CF720" s="3070" t="s">
        <v>3091</v>
      </c>
      <c r="CH720" s="3070" t="s">
        <v>3240</v>
      </c>
      <c r="CI720" s="3070">
        <v>0</v>
      </c>
      <c r="CK720" s="3070" t="s">
        <v>3364</v>
      </c>
      <c r="CL720" s="3070" t="s">
        <v>3364</v>
      </c>
      <c r="CM720" s="3070">
        <v>1011179.82</v>
      </c>
      <c r="CV720" s="3070" t="s">
        <v>3246</v>
      </c>
      <c r="CW720" s="3070" t="s">
        <v>9117</v>
      </c>
      <c r="CX720" s="3070" t="s">
        <v>3350</v>
      </c>
      <c r="CZ720" s="3070">
        <v>213894.57</v>
      </c>
      <c r="DA720" s="3070">
        <v>159426.93</v>
      </c>
      <c r="DB720" s="3070">
        <v>0</v>
      </c>
      <c r="DC720" s="3070">
        <v>0</v>
      </c>
      <c r="DD720" s="3070">
        <v>3290547602</v>
      </c>
      <c r="DE720" s="3070">
        <v>2764253109</v>
      </c>
      <c r="DF720" s="3070">
        <v>1464966739</v>
      </c>
      <c r="DG720" s="3070">
        <v>14938370</v>
      </c>
      <c r="DH720" s="3070">
        <v>1284348000</v>
      </c>
      <c r="DI720" s="3070">
        <v>1278128000</v>
      </c>
      <c r="DJ720" s="3070">
        <v>6220000</v>
      </c>
      <c r="DK720" s="3070">
        <v>0</v>
      </c>
      <c r="DL720" s="3070">
        <v>0</v>
      </c>
      <c r="DM720" s="3070">
        <v>25491817.620000001</v>
      </c>
      <c r="DN720" s="3070">
        <v>2764253109</v>
      </c>
      <c r="DP720" s="3070">
        <v>2764253109</v>
      </c>
    </row>
    <row r="721" spans="1:120">
      <c r="A721" s="3070">
        <v>720</v>
      </c>
      <c r="B721" s="3070" t="s">
        <v>3224</v>
      </c>
      <c r="C721" s="3070">
        <v>8</v>
      </c>
      <c r="D721" s="3070">
        <v>1</v>
      </c>
      <c r="E721" s="3070">
        <v>1704</v>
      </c>
      <c r="F721" s="3070" t="s">
        <v>9118</v>
      </c>
      <c r="G721" s="3070" t="s">
        <v>9119</v>
      </c>
      <c r="H721" s="3070">
        <v>1407152</v>
      </c>
      <c r="I721" s="3070">
        <v>1407152</v>
      </c>
      <c r="J721" s="3070">
        <v>108.82</v>
      </c>
      <c r="K721" s="3070">
        <v>80.22</v>
      </c>
      <c r="L721" s="3070">
        <v>0</v>
      </c>
      <c r="M721" s="3070">
        <v>0</v>
      </c>
      <c r="N721" s="3070">
        <v>15884.44</v>
      </c>
      <c r="O721" s="3070">
        <v>1728545</v>
      </c>
      <c r="P721" s="3070">
        <v>12931.01</v>
      </c>
      <c r="Q721" s="3070">
        <v>1407152</v>
      </c>
      <c r="R721" s="3070" t="s">
        <v>3227</v>
      </c>
      <c r="S721" s="3070" t="s">
        <v>9120</v>
      </c>
      <c r="T721" s="3070" t="s">
        <v>3246</v>
      </c>
      <c r="U721" s="3070" t="s">
        <v>3371</v>
      </c>
      <c r="V721" s="3070" t="s">
        <v>3230</v>
      </c>
      <c r="Y721" s="3070">
        <v>707152</v>
      </c>
      <c r="Z721" s="3070">
        <v>707152</v>
      </c>
      <c r="AA721" s="3070">
        <v>707152</v>
      </c>
      <c r="AB721" s="3070">
        <v>0</v>
      </c>
      <c r="AC721" s="3070">
        <v>700000</v>
      </c>
      <c r="AD721" s="3070">
        <v>700000</v>
      </c>
      <c r="AE721" s="3070">
        <v>0</v>
      </c>
      <c r="AI721" s="3070" t="s">
        <v>3227</v>
      </c>
      <c r="AJ721" s="3070">
        <v>0</v>
      </c>
      <c r="AK721" s="3070">
        <v>0</v>
      </c>
      <c r="AL721" s="3070">
        <v>0</v>
      </c>
      <c r="AM721" s="3070">
        <v>12931.01</v>
      </c>
      <c r="AN721" s="3070">
        <v>1407152</v>
      </c>
      <c r="AP721" s="3070">
        <v>1407152</v>
      </c>
      <c r="AQ721" s="3072">
        <v>45230</v>
      </c>
      <c r="AT721" s="3073">
        <v>45770</v>
      </c>
      <c r="AV721" s="3074">
        <v>3.21E+17</v>
      </c>
      <c r="AW721" s="3070" t="s">
        <v>9121</v>
      </c>
      <c r="AX721" s="3070" t="s">
        <v>9122</v>
      </c>
      <c r="AY721" s="3070" t="s">
        <v>3419</v>
      </c>
      <c r="BC721" s="3070" t="s">
        <v>3284</v>
      </c>
      <c r="BD721" s="3070" t="s">
        <v>3077</v>
      </c>
      <c r="BI721" s="3070" t="s">
        <v>3235</v>
      </c>
      <c r="BL721" s="3070" t="s">
        <v>9123</v>
      </c>
      <c r="BM721" s="3075">
        <v>44409</v>
      </c>
      <c r="BN721" s="3070">
        <v>-17</v>
      </c>
      <c r="BO721" s="3070" t="s">
        <v>3253</v>
      </c>
      <c r="BR721" s="3070">
        <v>926</v>
      </c>
      <c r="BS721" s="3070" t="s">
        <v>3238</v>
      </c>
      <c r="BZ721" s="3073">
        <v>44145.599999999999</v>
      </c>
      <c r="CA721" s="3070">
        <v>8</v>
      </c>
      <c r="CD721" s="3070" t="s">
        <v>3239</v>
      </c>
      <c r="CF721" s="3070" t="s">
        <v>3091</v>
      </c>
      <c r="CH721" s="3070" t="s">
        <v>3240</v>
      </c>
      <c r="CI721" s="3070">
        <v>0</v>
      </c>
      <c r="CK721" s="3070" t="s">
        <v>3419</v>
      </c>
      <c r="CL721" s="3070" t="s">
        <v>3419</v>
      </c>
      <c r="CM721" s="3070">
        <v>1290965.1399999999</v>
      </c>
      <c r="CV721" s="3070" t="s">
        <v>3246</v>
      </c>
      <c r="CW721" s="3070" t="s">
        <v>9124</v>
      </c>
      <c r="CX721" s="3070" t="s">
        <v>3242</v>
      </c>
      <c r="CZ721" s="3070">
        <v>213894.57</v>
      </c>
      <c r="DA721" s="3070">
        <v>159426.93</v>
      </c>
      <c r="DB721" s="3070">
        <v>0</v>
      </c>
      <c r="DC721" s="3070">
        <v>0</v>
      </c>
      <c r="DD721" s="3070">
        <v>3290547602</v>
      </c>
      <c r="DE721" s="3070">
        <v>2764253109</v>
      </c>
      <c r="DF721" s="3070">
        <v>1464966739</v>
      </c>
      <c r="DG721" s="3070">
        <v>14938370</v>
      </c>
      <c r="DH721" s="3070">
        <v>1284348000</v>
      </c>
      <c r="DI721" s="3070">
        <v>1278128000</v>
      </c>
      <c r="DJ721" s="3070">
        <v>6220000</v>
      </c>
      <c r="DK721" s="3070">
        <v>0</v>
      </c>
      <c r="DL721" s="3070">
        <v>0</v>
      </c>
      <c r="DM721" s="3070">
        <v>25491817.620000001</v>
      </c>
      <c r="DN721" s="3070">
        <v>2764253109</v>
      </c>
      <c r="DP721" s="3070">
        <v>2764253109</v>
      </c>
    </row>
    <row r="722" spans="1:120">
      <c r="A722" s="3070">
        <v>721</v>
      </c>
      <c r="B722" s="3070" t="s">
        <v>3224</v>
      </c>
      <c r="C722" s="3070">
        <v>8</v>
      </c>
      <c r="D722" s="3070">
        <v>2</v>
      </c>
      <c r="E722" s="3070">
        <v>1705</v>
      </c>
      <c r="F722" s="3070" t="s">
        <v>9125</v>
      </c>
      <c r="G722" s="3070" t="s">
        <v>9126</v>
      </c>
      <c r="H722" s="3070">
        <v>1439789</v>
      </c>
      <c r="I722" s="3070">
        <v>1439789</v>
      </c>
      <c r="J722" s="3070">
        <v>108.82</v>
      </c>
      <c r="K722" s="3070">
        <v>80.22</v>
      </c>
      <c r="L722" s="3070">
        <v>0</v>
      </c>
      <c r="M722" s="3070">
        <v>0</v>
      </c>
      <c r="N722" s="3070">
        <v>15884.44</v>
      </c>
      <c r="O722" s="3070">
        <v>1728545</v>
      </c>
      <c r="P722" s="3070">
        <v>13230.92</v>
      </c>
      <c r="Q722" s="3070">
        <v>1439789</v>
      </c>
      <c r="R722" s="3070" t="s">
        <v>3227</v>
      </c>
      <c r="S722" s="3070" t="s">
        <v>9127</v>
      </c>
      <c r="T722" s="3070" t="s">
        <v>3229</v>
      </c>
      <c r="V722" s="3070" t="s">
        <v>3230</v>
      </c>
      <c r="Y722" s="3070">
        <v>431937</v>
      </c>
      <c r="Z722" s="3070">
        <v>431937</v>
      </c>
      <c r="AA722" s="3070">
        <v>1439789</v>
      </c>
      <c r="AB722" s="3070">
        <v>0</v>
      </c>
      <c r="AC722" s="3070">
        <v>0</v>
      </c>
      <c r="AD722" s="3070">
        <v>0</v>
      </c>
      <c r="AE722" s="3070">
        <v>0</v>
      </c>
      <c r="AI722" s="3070" t="s">
        <v>3227</v>
      </c>
      <c r="AJ722" s="3070">
        <v>0</v>
      </c>
      <c r="AK722" s="3070">
        <v>0</v>
      </c>
      <c r="AL722" s="3070">
        <v>0</v>
      </c>
      <c r="AM722" s="3070">
        <v>13230.92</v>
      </c>
      <c r="AN722" s="3070">
        <v>1439789</v>
      </c>
      <c r="AP722" s="3070">
        <v>1439789</v>
      </c>
      <c r="AQ722" s="3072">
        <v>45230</v>
      </c>
      <c r="AT722" s="3073">
        <v>45770</v>
      </c>
      <c r="AV722" s="3070" t="s">
        <v>9128</v>
      </c>
      <c r="AW722" s="3070" t="s">
        <v>9129</v>
      </c>
      <c r="AX722" s="3070" t="s">
        <v>9130</v>
      </c>
      <c r="AY722" s="3070" t="s">
        <v>3607</v>
      </c>
      <c r="BC722" s="3070" t="s">
        <v>9131</v>
      </c>
      <c r="BD722" s="3070" t="s">
        <v>3077</v>
      </c>
      <c r="BI722" s="3070" t="s">
        <v>3235</v>
      </c>
      <c r="BJ722" s="3070" t="s">
        <v>3296</v>
      </c>
      <c r="BL722" s="3070" t="s">
        <v>9132</v>
      </c>
      <c r="BM722" s="3075">
        <v>44410</v>
      </c>
      <c r="BN722" s="3070">
        <v>-17</v>
      </c>
      <c r="BR722" s="3070">
        <v>0</v>
      </c>
      <c r="BS722" s="3070" t="s">
        <v>3238</v>
      </c>
      <c r="BZ722" s="3073">
        <v>44155.646527777775</v>
      </c>
      <c r="CA722" s="3070">
        <v>8</v>
      </c>
      <c r="CD722" s="3070" t="s">
        <v>3239</v>
      </c>
      <c r="CF722" s="3070" t="s">
        <v>3091</v>
      </c>
      <c r="CH722" s="3070" t="s">
        <v>3240</v>
      </c>
      <c r="CI722" s="3070">
        <v>0</v>
      </c>
      <c r="CK722" s="3070" t="s">
        <v>3607</v>
      </c>
      <c r="CL722" s="3070" t="s">
        <v>3607</v>
      </c>
      <c r="CM722" s="3070">
        <v>1320907.3400000001</v>
      </c>
      <c r="CV722" s="3070" t="s">
        <v>3229</v>
      </c>
      <c r="CW722" s="3070" t="s">
        <v>9133</v>
      </c>
      <c r="CX722" s="3070" t="s">
        <v>3510</v>
      </c>
      <c r="CZ722" s="3070">
        <v>213894.57</v>
      </c>
      <c r="DA722" s="3070">
        <v>159426.93</v>
      </c>
      <c r="DB722" s="3070">
        <v>0</v>
      </c>
      <c r="DC722" s="3070">
        <v>0</v>
      </c>
      <c r="DD722" s="3070">
        <v>3290547602</v>
      </c>
      <c r="DE722" s="3070">
        <v>2764253109</v>
      </c>
      <c r="DF722" s="3070">
        <v>1464966739</v>
      </c>
      <c r="DG722" s="3070">
        <v>14938370</v>
      </c>
      <c r="DH722" s="3070">
        <v>1284348000</v>
      </c>
      <c r="DI722" s="3070">
        <v>1278128000</v>
      </c>
      <c r="DJ722" s="3070">
        <v>6220000</v>
      </c>
      <c r="DK722" s="3070">
        <v>0</v>
      </c>
      <c r="DL722" s="3070">
        <v>0</v>
      </c>
      <c r="DM722" s="3070">
        <v>25491817.620000001</v>
      </c>
      <c r="DN722" s="3070">
        <v>2764253109</v>
      </c>
      <c r="DP722" s="3070">
        <v>2764253109</v>
      </c>
    </row>
    <row r="723" spans="1:120">
      <c r="A723" s="3070">
        <v>722</v>
      </c>
      <c r="B723" s="3070" t="s">
        <v>3224</v>
      </c>
      <c r="C723" s="3070">
        <v>8</v>
      </c>
      <c r="D723" s="3070">
        <v>2</v>
      </c>
      <c r="E723" s="3070">
        <v>1706</v>
      </c>
      <c r="F723" s="3070" t="s">
        <v>9134</v>
      </c>
      <c r="G723" s="3070" t="s">
        <v>9135</v>
      </c>
      <c r="H723" s="3070">
        <v>1102186</v>
      </c>
      <c r="I723" s="3070">
        <v>1102186</v>
      </c>
      <c r="J723" s="3070">
        <v>84.62</v>
      </c>
      <c r="K723" s="3070">
        <v>62.38</v>
      </c>
      <c r="L723" s="3070">
        <v>0</v>
      </c>
      <c r="M723" s="3070">
        <v>0</v>
      </c>
      <c r="N723" s="3070">
        <v>15983.44</v>
      </c>
      <c r="O723" s="3070">
        <v>1352519</v>
      </c>
      <c r="P723" s="3070">
        <v>13025.12</v>
      </c>
      <c r="Q723" s="3070">
        <v>1102186</v>
      </c>
      <c r="R723" s="3070" t="s">
        <v>3227</v>
      </c>
      <c r="S723" s="3070" t="s">
        <v>9136</v>
      </c>
      <c r="T723" s="3070" t="s">
        <v>3258</v>
      </c>
      <c r="U723" s="3070" t="s">
        <v>3259</v>
      </c>
      <c r="V723" s="3070" t="s">
        <v>3230</v>
      </c>
      <c r="Y723" s="3070">
        <v>402186</v>
      </c>
      <c r="Z723" s="3070">
        <v>402186</v>
      </c>
      <c r="AA723" s="3070">
        <v>402186</v>
      </c>
      <c r="AB723" s="3070">
        <v>0</v>
      </c>
      <c r="AC723" s="3070">
        <v>700000</v>
      </c>
      <c r="AD723" s="3070">
        <v>700000</v>
      </c>
      <c r="AE723" s="3070">
        <v>0</v>
      </c>
      <c r="AI723" s="3070" t="s">
        <v>3227</v>
      </c>
      <c r="AJ723" s="3070">
        <v>0</v>
      </c>
      <c r="AK723" s="3070">
        <v>0</v>
      </c>
      <c r="AL723" s="3070">
        <v>0</v>
      </c>
      <c r="AM723" s="3070">
        <v>13025.12</v>
      </c>
      <c r="AN723" s="3070">
        <v>1102186</v>
      </c>
      <c r="AP723" s="3070">
        <v>1102186</v>
      </c>
      <c r="AQ723" s="3072">
        <v>45230</v>
      </c>
      <c r="AT723" s="3073">
        <v>45770</v>
      </c>
      <c r="AV723" s="3074">
        <v>3.21E+17</v>
      </c>
      <c r="AW723" s="3070" t="s">
        <v>9137</v>
      </c>
      <c r="AX723" s="3070" t="s">
        <v>9138</v>
      </c>
      <c r="AY723" s="3070" t="s">
        <v>3722</v>
      </c>
      <c r="BC723" s="3070" t="s">
        <v>3263</v>
      </c>
      <c r="BD723" s="3070" t="s">
        <v>3076</v>
      </c>
      <c r="BI723" s="3070" t="s">
        <v>3235</v>
      </c>
      <c r="BL723" s="3070" t="s">
        <v>9139</v>
      </c>
      <c r="BM723" s="3075">
        <v>44410</v>
      </c>
      <c r="BN723" s="3070">
        <v>-17</v>
      </c>
      <c r="BO723" s="3070" t="s">
        <v>3253</v>
      </c>
      <c r="BP723" s="3070" t="s">
        <v>3253</v>
      </c>
      <c r="BR723" s="3070">
        <v>935</v>
      </c>
      <c r="BS723" s="3070" t="s">
        <v>3238</v>
      </c>
      <c r="BZ723" s="3073">
        <v>44144.724305555559</v>
      </c>
      <c r="CA723" s="3070">
        <v>8</v>
      </c>
      <c r="CD723" s="3070" t="s">
        <v>3239</v>
      </c>
      <c r="CF723" s="3070" t="s">
        <v>3091</v>
      </c>
      <c r="CH723" s="3070" t="s">
        <v>3240</v>
      </c>
      <c r="CI723" s="3070">
        <v>0</v>
      </c>
      <c r="CJ723" s="3070" t="s">
        <v>3259</v>
      </c>
      <c r="CK723" s="3070" t="s">
        <v>3722</v>
      </c>
      <c r="CL723" s="3070" t="s">
        <v>3722</v>
      </c>
      <c r="CM723" s="3070">
        <v>1011179.82</v>
      </c>
      <c r="CV723" s="3070" t="s">
        <v>3258</v>
      </c>
      <c r="CW723" s="3070" t="s">
        <v>9140</v>
      </c>
      <c r="CX723" s="3070" t="s">
        <v>3510</v>
      </c>
      <c r="CZ723" s="3070">
        <v>213894.57</v>
      </c>
      <c r="DA723" s="3070">
        <v>159426.93</v>
      </c>
      <c r="DB723" s="3070">
        <v>0</v>
      </c>
      <c r="DC723" s="3070">
        <v>0</v>
      </c>
      <c r="DD723" s="3070">
        <v>3290547602</v>
      </c>
      <c r="DE723" s="3070">
        <v>2764253109</v>
      </c>
      <c r="DF723" s="3070">
        <v>1464966739</v>
      </c>
      <c r="DG723" s="3070">
        <v>14938370</v>
      </c>
      <c r="DH723" s="3070">
        <v>1284348000</v>
      </c>
      <c r="DI723" s="3070">
        <v>1278128000</v>
      </c>
      <c r="DJ723" s="3070">
        <v>6220000</v>
      </c>
      <c r="DK723" s="3070">
        <v>0</v>
      </c>
      <c r="DL723" s="3070">
        <v>0</v>
      </c>
      <c r="DM723" s="3070">
        <v>25491817.620000001</v>
      </c>
      <c r="DN723" s="3070">
        <v>2764253109</v>
      </c>
      <c r="DP723" s="3070">
        <v>2764253109</v>
      </c>
    </row>
    <row r="724" spans="1:120">
      <c r="A724" s="3070">
        <v>723</v>
      </c>
      <c r="B724" s="3070" t="s">
        <v>3224</v>
      </c>
      <c r="C724" s="3070">
        <v>8</v>
      </c>
      <c r="D724" s="3070">
        <v>2</v>
      </c>
      <c r="E724" s="3070">
        <v>1707</v>
      </c>
      <c r="F724" s="3070" t="s">
        <v>9141</v>
      </c>
      <c r="G724" s="3070" t="s">
        <v>9142</v>
      </c>
      <c r="H724" s="3070">
        <v>1102186</v>
      </c>
      <c r="I724" s="3070">
        <v>1102186</v>
      </c>
      <c r="J724" s="3070">
        <v>84.62</v>
      </c>
      <c r="K724" s="3070">
        <v>62.38</v>
      </c>
      <c r="L724" s="3070">
        <v>0</v>
      </c>
      <c r="M724" s="3070">
        <v>0</v>
      </c>
      <c r="N724" s="3070">
        <v>15983.44</v>
      </c>
      <c r="O724" s="3070">
        <v>1352519</v>
      </c>
      <c r="P724" s="3070">
        <v>13025.12</v>
      </c>
      <c r="Q724" s="3070">
        <v>1102186</v>
      </c>
      <c r="R724" s="3070" t="s">
        <v>3227</v>
      </c>
      <c r="S724" s="3070" t="s">
        <v>9143</v>
      </c>
      <c r="T724" s="3070" t="s">
        <v>3246</v>
      </c>
      <c r="U724" s="3070" t="s">
        <v>3247</v>
      </c>
      <c r="V724" s="3070" t="s">
        <v>3230</v>
      </c>
      <c r="Y724" s="3070">
        <v>452186</v>
      </c>
      <c r="Z724" s="3070">
        <v>452186</v>
      </c>
      <c r="AA724" s="3070">
        <v>452186</v>
      </c>
      <c r="AB724" s="3070">
        <v>0</v>
      </c>
      <c r="AC724" s="3070">
        <v>650000</v>
      </c>
      <c r="AD724" s="3070">
        <v>650000</v>
      </c>
      <c r="AE724" s="3070">
        <v>0</v>
      </c>
      <c r="AI724" s="3070" t="s">
        <v>3227</v>
      </c>
      <c r="AJ724" s="3070">
        <v>0</v>
      </c>
      <c r="AK724" s="3070">
        <v>0</v>
      </c>
      <c r="AL724" s="3070">
        <v>0</v>
      </c>
      <c r="AM724" s="3070">
        <v>13025.12</v>
      </c>
      <c r="AN724" s="3070">
        <v>1102186</v>
      </c>
      <c r="AP724" s="3070">
        <v>1102186</v>
      </c>
      <c r="AQ724" s="3072">
        <v>45230</v>
      </c>
      <c r="AT724" s="3073">
        <v>45770</v>
      </c>
      <c r="AV724" s="3070" t="s">
        <v>9144</v>
      </c>
      <c r="AW724" s="3070" t="s">
        <v>9145</v>
      </c>
      <c r="AX724" s="3070" t="s">
        <v>9146</v>
      </c>
      <c r="AY724" s="3070" t="s">
        <v>3419</v>
      </c>
      <c r="BC724" s="3070" t="s">
        <v>3284</v>
      </c>
      <c r="BD724" s="3070" t="s">
        <v>3076</v>
      </c>
      <c r="BI724" s="3070" t="s">
        <v>3235</v>
      </c>
      <c r="BJ724" s="3070" t="s">
        <v>3338</v>
      </c>
      <c r="BL724" s="3070" t="s">
        <v>9147</v>
      </c>
      <c r="BM724" s="3075">
        <v>44410</v>
      </c>
      <c r="BN724" s="3070">
        <v>-17</v>
      </c>
      <c r="BO724" s="3070" t="s">
        <v>3253</v>
      </c>
      <c r="BR724" s="3070">
        <v>508</v>
      </c>
      <c r="BS724" s="3070" t="s">
        <v>3238</v>
      </c>
      <c r="BZ724" s="3073">
        <v>44149.725694444445</v>
      </c>
      <c r="CA724" s="3070">
        <v>8</v>
      </c>
      <c r="CD724" s="3070" t="s">
        <v>3239</v>
      </c>
      <c r="CF724" s="3070" t="s">
        <v>3091</v>
      </c>
      <c r="CH724" s="3070" t="s">
        <v>3240</v>
      </c>
      <c r="CI724" s="3070">
        <v>0</v>
      </c>
      <c r="CK724" s="3070" t="s">
        <v>3419</v>
      </c>
      <c r="CL724" s="3070" t="s">
        <v>3419</v>
      </c>
      <c r="CM724" s="3070">
        <v>1011179.82</v>
      </c>
      <c r="CV724" s="3070" t="s">
        <v>3246</v>
      </c>
      <c r="CW724" s="3070" t="s">
        <v>9148</v>
      </c>
      <c r="CZ724" s="3070">
        <v>213894.57</v>
      </c>
      <c r="DA724" s="3070">
        <v>159426.93</v>
      </c>
      <c r="DB724" s="3070">
        <v>0</v>
      </c>
      <c r="DC724" s="3070">
        <v>0</v>
      </c>
      <c r="DD724" s="3070">
        <v>3290547602</v>
      </c>
      <c r="DE724" s="3070">
        <v>2764253109</v>
      </c>
      <c r="DF724" s="3070">
        <v>1464966739</v>
      </c>
      <c r="DG724" s="3070">
        <v>14938370</v>
      </c>
      <c r="DH724" s="3070">
        <v>1284348000</v>
      </c>
      <c r="DI724" s="3070">
        <v>1278128000</v>
      </c>
      <c r="DJ724" s="3070">
        <v>6220000</v>
      </c>
      <c r="DK724" s="3070">
        <v>0</v>
      </c>
      <c r="DL724" s="3070">
        <v>0</v>
      </c>
      <c r="DM724" s="3070">
        <v>25491817.620000001</v>
      </c>
      <c r="DN724" s="3070">
        <v>2764253109</v>
      </c>
      <c r="DP724" s="3070">
        <v>2764253109</v>
      </c>
    </row>
    <row r="725" spans="1:120">
      <c r="A725" s="3070">
        <v>724</v>
      </c>
      <c r="B725" s="3070" t="s">
        <v>3224</v>
      </c>
      <c r="C725" s="3070">
        <v>8</v>
      </c>
      <c r="D725" s="3070">
        <v>2</v>
      </c>
      <c r="E725" s="3070">
        <v>1708</v>
      </c>
      <c r="F725" s="3070" t="s">
        <v>9149</v>
      </c>
      <c r="G725" s="3070" t="s">
        <v>9150</v>
      </c>
      <c r="H725" s="3070">
        <v>1520539</v>
      </c>
      <c r="I725" s="3070">
        <v>1520539</v>
      </c>
      <c r="J725" s="3070">
        <v>120.15</v>
      </c>
      <c r="K725" s="3070">
        <v>88.57</v>
      </c>
      <c r="L725" s="3070">
        <v>0</v>
      </c>
      <c r="M725" s="3070">
        <v>0</v>
      </c>
      <c r="N725" s="3070">
        <v>15594.44</v>
      </c>
      <c r="O725" s="3070">
        <v>1873672</v>
      </c>
      <c r="P725" s="3070">
        <v>12655.34</v>
      </c>
      <c r="Q725" s="3070">
        <v>1520539</v>
      </c>
      <c r="R725" s="3070" t="s">
        <v>3227</v>
      </c>
      <c r="S725" s="3070" t="s">
        <v>9151</v>
      </c>
      <c r="T725" s="3070" t="s">
        <v>3246</v>
      </c>
      <c r="U725" s="3070" t="s">
        <v>3259</v>
      </c>
      <c r="V725" s="3070" t="s">
        <v>3230</v>
      </c>
      <c r="Y725" s="3070">
        <v>620539</v>
      </c>
      <c r="Z725" s="3070">
        <v>620539</v>
      </c>
      <c r="AA725" s="3070">
        <v>620539</v>
      </c>
      <c r="AB725" s="3070">
        <v>0</v>
      </c>
      <c r="AC725" s="3070">
        <v>900000</v>
      </c>
      <c r="AD725" s="3070">
        <v>900000</v>
      </c>
      <c r="AE725" s="3070">
        <v>0</v>
      </c>
      <c r="AI725" s="3070" t="s">
        <v>3227</v>
      </c>
      <c r="AJ725" s="3070">
        <v>0</v>
      </c>
      <c r="AK725" s="3070">
        <v>0</v>
      </c>
      <c r="AL725" s="3070">
        <v>0</v>
      </c>
      <c r="AM725" s="3070">
        <v>12655.34</v>
      </c>
      <c r="AN725" s="3070">
        <v>1520539</v>
      </c>
      <c r="AP725" s="3070">
        <v>1520539</v>
      </c>
      <c r="AQ725" s="3072">
        <v>45230</v>
      </c>
      <c r="AT725" s="3073">
        <v>45770</v>
      </c>
      <c r="AV725" s="3074">
        <v>3.21E+17</v>
      </c>
      <c r="AW725" s="3070" t="s">
        <v>9152</v>
      </c>
      <c r="AX725" s="3070" t="s">
        <v>9153</v>
      </c>
      <c r="AY725" s="3070" t="s">
        <v>3419</v>
      </c>
      <c r="BC725" s="3070" t="s">
        <v>3284</v>
      </c>
      <c r="BD725" s="3070" t="s">
        <v>3075</v>
      </c>
      <c r="BI725" s="3070" t="s">
        <v>3235</v>
      </c>
      <c r="BJ725" s="3070" t="s">
        <v>3236</v>
      </c>
      <c r="BL725" s="3070" t="s">
        <v>9154</v>
      </c>
      <c r="BM725" s="3075">
        <v>44410</v>
      </c>
      <c r="BN725" s="3070">
        <v>-17</v>
      </c>
      <c r="BO725" s="3070" t="s">
        <v>3253</v>
      </c>
      <c r="BR725" s="3070">
        <v>644</v>
      </c>
      <c r="BS725" s="3070" t="s">
        <v>3238</v>
      </c>
      <c r="BZ725" s="3073">
        <v>44143.73333333333</v>
      </c>
      <c r="CA725" s="3070">
        <v>8</v>
      </c>
      <c r="CD725" s="3070" t="s">
        <v>3239</v>
      </c>
      <c r="CF725" s="3070" t="s">
        <v>3091</v>
      </c>
      <c r="CH725" s="3070" t="s">
        <v>3240</v>
      </c>
      <c r="CI725" s="3070">
        <v>0</v>
      </c>
      <c r="CK725" s="3070" t="s">
        <v>3419</v>
      </c>
      <c r="CL725" s="3070" t="s">
        <v>3419</v>
      </c>
      <c r="CM725" s="3070">
        <v>1394989.91</v>
      </c>
      <c r="CV725" s="3070" t="s">
        <v>3246</v>
      </c>
      <c r="CW725" s="3070" t="s">
        <v>9155</v>
      </c>
      <c r="CZ725" s="3070">
        <v>213894.57</v>
      </c>
      <c r="DA725" s="3070">
        <v>159426.93</v>
      </c>
      <c r="DB725" s="3070">
        <v>0</v>
      </c>
      <c r="DC725" s="3070">
        <v>0</v>
      </c>
      <c r="DD725" s="3070">
        <v>3290547602</v>
      </c>
      <c r="DE725" s="3070">
        <v>2764253109</v>
      </c>
      <c r="DF725" s="3070">
        <v>1464966739</v>
      </c>
      <c r="DG725" s="3070">
        <v>14938370</v>
      </c>
      <c r="DH725" s="3070">
        <v>1284348000</v>
      </c>
      <c r="DI725" s="3070">
        <v>1278128000</v>
      </c>
      <c r="DJ725" s="3070">
        <v>6220000</v>
      </c>
      <c r="DK725" s="3070">
        <v>0</v>
      </c>
      <c r="DL725" s="3070">
        <v>0</v>
      </c>
      <c r="DM725" s="3070">
        <v>25491817.620000001</v>
      </c>
      <c r="DN725" s="3070">
        <v>2764253109</v>
      </c>
      <c r="DP725" s="3070">
        <v>2764253109</v>
      </c>
    </row>
    <row r="726" spans="1:120">
      <c r="A726" s="3070">
        <v>725</v>
      </c>
      <c r="B726" s="3070" t="s">
        <v>3224</v>
      </c>
      <c r="C726" s="3070">
        <v>8</v>
      </c>
      <c r="D726" s="3070">
        <v>1</v>
      </c>
      <c r="E726" s="3070">
        <v>1801</v>
      </c>
      <c r="F726" s="3070" t="s">
        <v>9156</v>
      </c>
      <c r="G726" s="3070" t="s">
        <v>9157</v>
      </c>
      <c r="H726" s="3070">
        <v>1656305</v>
      </c>
      <c r="I726" s="3070">
        <v>1656305</v>
      </c>
      <c r="J726" s="3070">
        <v>120.15</v>
      </c>
      <c r="K726" s="3070">
        <v>88.57</v>
      </c>
      <c r="L726" s="3070">
        <v>0</v>
      </c>
      <c r="M726" s="3070">
        <v>0</v>
      </c>
      <c r="N726" s="3070">
        <v>15594.44</v>
      </c>
      <c r="O726" s="3070">
        <v>1873672</v>
      </c>
      <c r="P726" s="3070">
        <v>13785.31</v>
      </c>
      <c r="Q726" s="3070">
        <v>1656305</v>
      </c>
      <c r="R726" s="3070" t="s">
        <v>3227</v>
      </c>
      <c r="S726" s="3070" t="s">
        <v>9158</v>
      </c>
      <c r="T726" s="3070" t="s">
        <v>3246</v>
      </c>
      <c r="U726" s="3070" t="s">
        <v>3247</v>
      </c>
      <c r="V726" s="3070" t="s">
        <v>3230</v>
      </c>
      <c r="Y726" s="3070">
        <v>826305</v>
      </c>
      <c r="Z726" s="3070">
        <v>165631</v>
      </c>
      <c r="AA726" s="3070">
        <v>826305</v>
      </c>
      <c r="AB726" s="3070">
        <v>0</v>
      </c>
      <c r="AC726" s="3070">
        <v>830000</v>
      </c>
      <c r="AD726" s="3070">
        <v>830000</v>
      </c>
      <c r="AE726" s="3070">
        <v>0</v>
      </c>
      <c r="AI726" s="3070" t="s">
        <v>3227</v>
      </c>
      <c r="AJ726" s="3070">
        <v>0</v>
      </c>
      <c r="AK726" s="3070">
        <v>0</v>
      </c>
      <c r="AL726" s="3070">
        <v>0</v>
      </c>
      <c r="AM726" s="3070">
        <v>13785.31</v>
      </c>
      <c r="AN726" s="3070">
        <v>1656305</v>
      </c>
      <c r="AP726" s="3070">
        <v>1656305</v>
      </c>
      <c r="AQ726" s="3072">
        <v>45230</v>
      </c>
      <c r="AT726" s="3073">
        <v>45770</v>
      </c>
      <c r="AV726" s="3070" t="s">
        <v>9159</v>
      </c>
      <c r="AW726" s="3070" t="s">
        <v>9160</v>
      </c>
      <c r="AX726" s="3070" t="s">
        <v>9161</v>
      </c>
      <c r="AY726" s="3070" t="s">
        <v>3883</v>
      </c>
      <c r="BC726" s="3070" t="s">
        <v>4175</v>
      </c>
      <c r="BD726" s="3070" t="s">
        <v>3075</v>
      </c>
      <c r="BI726" s="3070" t="s">
        <v>3235</v>
      </c>
      <c r="BJ726" s="3070" t="s">
        <v>4578</v>
      </c>
      <c r="BL726" s="3070" t="s">
        <v>9162</v>
      </c>
      <c r="BM726" s="3075">
        <v>44409</v>
      </c>
      <c r="BN726" s="3070">
        <v>-18</v>
      </c>
      <c r="BO726" s="3070" t="s">
        <v>3253</v>
      </c>
      <c r="BR726" s="3070">
        <v>0</v>
      </c>
      <c r="BS726" s="3070" t="s">
        <v>3238</v>
      </c>
      <c r="BT726" s="3070" t="s">
        <v>3404</v>
      </c>
      <c r="BZ726" s="3073">
        <v>44256.632638888892</v>
      </c>
      <c r="CA726" s="3070">
        <v>8</v>
      </c>
      <c r="CB726" s="3070" t="s">
        <v>3404</v>
      </c>
      <c r="CD726" s="3070" t="s">
        <v>3239</v>
      </c>
      <c r="CF726" s="3070" t="s">
        <v>3091</v>
      </c>
      <c r="CH726" s="3070" t="s">
        <v>3240</v>
      </c>
      <c r="CI726" s="3070">
        <v>0</v>
      </c>
      <c r="CK726" s="3070" t="s">
        <v>3883</v>
      </c>
      <c r="CL726" s="3070" t="s">
        <v>3883</v>
      </c>
      <c r="CM726" s="3070">
        <v>1519545.87</v>
      </c>
      <c r="CV726" s="3070" t="s">
        <v>3246</v>
      </c>
      <c r="CW726" s="3070" t="s">
        <v>9163</v>
      </c>
      <c r="CX726" s="3070" t="s">
        <v>3350</v>
      </c>
      <c r="CZ726" s="3070">
        <v>213894.57</v>
      </c>
      <c r="DA726" s="3070">
        <v>159426.93</v>
      </c>
      <c r="DB726" s="3070">
        <v>0</v>
      </c>
      <c r="DC726" s="3070">
        <v>0</v>
      </c>
      <c r="DD726" s="3070">
        <v>3290547602</v>
      </c>
      <c r="DE726" s="3070">
        <v>2764253109</v>
      </c>
      <c r="DF726" s="3070">
        <v>1464966739</v>
      </c>
      <c r="DG726" s="3070">
        <v>14938370</v>
      </c>
      <c r="DH726" s="3070">
        <v>1284348000</v>
      </c>
      <c r="DI726" s="3070">
        <v>1278128000</v>
      </c>
      <c r="DJ726" s="3070">
        <v>6220000</v>
      </c>
      <c r="DK726" s="3070">
        <v>0</v>
      </c>
      <c r="DL726" s="3070">
        <v>0</v>
      </c>
      <c r="DM726" s="3070">
        <v>25491817.620000001</v>
      </c>
      <c r="DN726" s="3070">
        <v>2764253109</v>
      </c>
      <c r="DP726" s="3070">
        <v>2764253109</v>
      </c>
    </row>
    <row r="727" spans="1:120">
      <c r="A727" s="3070">
        <v>726</v>
      </c>
      <c r="B727" s="3070" t="s">
        <v>3224</v>
      </c>
      <c r="C727" s="3070">
        <v>8</v>
      </c>
      <c r="D727" s="3070">
        <v>1</v>
      </c>
      <c r="E727" s="3070">
        <v>1802</v>
      </c>
      <c r="F727" s="3070" t="s">
        <v>9164</v>
      </c>
      <c r="G727" s="3070" t="s">
        <v>9165</v>
      </c>
      <c r="H727" s="3070">
        <v>980256</v>
      </c>
      <c r="I727" s="3070">
        <v>980256</v>
      </c>
      <c r="J727" s="3070">
        <v>84.62</v>
      </c>
      <c r="K727" s="3070">
        <v>62.38</v>
      </c>
      <c r="L727" s="3070">
        <v>0</v>
      </c>
      <c r="M727" s="3070">
        <v>0</v>
      </c>
      <c r="N727" s="3070">
        <v>15783.44</v>
      </c>
      <c r="O727" s="3070">
        <v>1335595</v>
      </c>
      <c r="P727" s="3070">
        <v>11584.21</v>
      </c>
      <c r="Q727" s="3070">
        <v>980256</v>
      </c>
      <c r="R727" s="3070" t="s">
        <v>3227</v>
      </c>
      <c r="S727" s="3070" t="s">
        <v>9166</v>
      </c>
      <c r="T727" s="3070" t="s">
        <v>3258</v>
      </c>
      <c r="U727" s="3070" t="s">
        <v>3247</v>
      </c>
      <c r="V727" s="3070" t="s">
        <v>3230</v>
      </c>
      <c r="Y727" s="3070">
        <v>460256</v>
      </c>
      <c r="Z727" s="3070">
        <v>460256</v>
      </c>
      <c r="AA727" s="3070">
        <v>460256</v>
      </c>
      <c r="AB727" s="3070">
        <v>0</v>
      </c>
      <c r="AC727" s="3070">
        <v>520000</v>
      </c>
      <c r="AD727" s="3070">
        <v>520000</v>
      </c>
      <c r="AE727" s="3070">
        <v>0</v>
      </c>
      <c r="AI727" s="3070" t="s">
        <v>3227</v>
      </c>
      <c r="AJ727" s="3070">
        <v>0</v>
      </c>
      <c r="AK727" s="3070">
        <v>0</v>
      </c>
      <c r="AL727" s="3070">
        <v>0</v>
      </c>
      <c r="AM727" s="3070">
        <v>11584.21</v>
      </c>
      <c r="AN727" s="3070">
        <v>980256</v>
      </c>
      <c r="AP727" s="3070">
        <v>980256</v>
      </c>
      <c r="AQ727" s="3072">
        <v>45230</v>
      </c>
      <c r="AT727" s="3073">
        <v>45770</v>
      </c>
      <c r="AV727" s="3074">
        <v>3.21E+17</v>
      </c>
      <c r="AW727" s="3070" t="s">
        <v>9167</v>
      </c>
      <c r="AX727" s="3070" t="s">
        <v>9168</v>
      </c>
      <c r="AY727" s="3070" t="s">
        <v>3892</v>
      </c>
      <c r="BC727" s="3070" t="s">
        <v>9169</v>
      </c>
      <c r="BD727" s="3070" t="s">
        <v>3076</v>
      </c>
      <c r="BI727" s="3070" t="s">
        <v>3235</v>
      </c>
      <c r="BL727" s="3070" t="s">
        <v>9170</v>
      </c>
      <c r="BM727" s="3075">
        <v>44409</v>
      </c>
      <c r="BN727" s="3070">
        <v>-18</v>
      </c>
      <c r="BO727" s="3070" t="s">
        <v>3253</v>
      </c>
      <c r="BP727" s="3070" t="s">
        <v>3253</v>
      </c>
      <c r="BR727" s="3070">
        <v>20</v>
      </c>
      <c r="BS727" s="3070" t="s">
        <v>3238</v>
      </c>
      <c r="BZ727" s="3073">
        <v>44213.637499999997</v>
      </c>
      <c r="CA727" s="3070">
        <v>8</v>
      </c>
      <c r="CD727" s="3070" t="s">
        <v>3239</v>
      </c>
      <c r="CF727" s="3070" t="s">
        <v>3091</v>
      </c>
      <c r="CH727" s="3070" t="s">
        <v>3240</v>
      </c>
      <c r="CI727" s="3070">
        <v>0</v>
      </c>
      <c r="CJ727" s="3070" t="s">
        <v>3247</v>
      </c>
      <c r="CK727" s="3070" t="s">
        <v>3892</v>
      </c>
      <c r="CL727" s="3070" t="s">
        <v>4056</v>
      </c>
      <c r="CM727" s="3070">
        <v>899317.43</v>
      </c>
      <c r="CV727" s="3070" t="s">
        <v>3258</v>
      </c>
      <c r="CW727" s="3070" t="s">
        <v>9171</v>
      </c>
      <c r="CX727" s="3070" t="s">
        <v>3350</v>
      </c>
      <c r="CZ727" s="3070">
        <v>213894.57</v>
      </c>
      <c r="DA727" s="3070">
        <v>159426.93</v>
      </c>
      <c r="DB727" s="3070">
        <v>0</v>
      </c>
      <c r="DC727" s="3070">
        <v>0</v>
      </c>
      <c r="DD727" s="3070">
        <v>3290547602</v>
      </c>
      <c r="DE727" s="3070">
        <v>2764253109</v>
      </c>
      <c r="DF727" s="3070">
        <v>1464966739</v>
      </c>
      <c r="DG727" s="3070">
        <v>14938370</v>
      </c>
      <c r="DH727" s="3070">
        <v>1284348000</v>
      </c>
      <c r="DI727" s="3070">
        <v>1278128000</v>
      </c>
      <c r="DJ727" s="3070">
        <v>6220000</v>
      </c>
      <c r="DK727" s="3070">
        <v>0</v>
      </c>
      <c r="DL727" s="3070">
        <v>0</v>
      </c>
      <c r="DM727" s="3070">
        <v>25491817.620000001</v>
      </c>
      <c r="DN727" s="3070">
        <v>2764253109</v>
      </c>
      <c r="DP727" s="3070">
        <v>2764253109</v>
      </c>
    </row>
    <row r="728" spans="1:120">
      <c r="A728" s="3070">
        <v>727</v>
      </c>
      <c r="B728" s="3070" t="s">
        <v>3224</v>
      </c>
      <c r="C728" s="3070">
        <v>8</v>
      </c>
      <c r="D728" s="3070">
        <v>1</v>
      </c>
      <c r="E728" s="3070">
        <v>1803</v>
      </c>
      <c r="F728" s="3070" t="s">
        <v>9172</v>
      </c>
      <c r="G728" s="3070" t="s">
        <v>9173</v>
      </c>
      <c r="H728" s="3070">
        <v>781425</v>
      </c>
      <c r="I728" s="3070">
        <v>781425</v>
      </c>
      <c r="J728" s="3070">
        <v>84.62</v>
      </c>
      <c r="K728" s="3070">
        <v>62.38</v>
      </c>
      <c r="L728" s="3070">
        <v>0</v>
      </c>
      <c r="M728" s="3070">
        <v>0</v>
      </c>
      <c r="N728" s="3070">
        <v>15783.44</v>
      </c>
      <c r="O728" s="3070">
        <v>1335595</v>
      </c>
      <c r="P728" s="3070">
        <v>9234.52</v>
      </c>
      <c r="Q728" s="3070">
        <v>781425</v>
      </c>
      <c r="R728" s="3070" t="s">
        <v>3227</v>
      </c>
      <c r="S728" s="3070" t="s">
        <v>9174</v>
      </c>
      <c r="T728" s="3070" t="s">
        <v>3878</v>
      </c>
      <c r="U728" s="3070" t="s">
        <v>3279</v>
      </c>
      <c r="V728" s="3070" t="s">
        <v>3230</v>
      </c>
      <c r="Y728" s="3070">
        <v>391425</v>
      </c>
      <c r="Z728" s="3070">
        <v>391425</v>
      </c>
      <c r="AA728" s="3070">
        <v>391425</v>
      </c>
      <c r="AB728" s="3070">
        <v>0</v>
      </c>
      <c r="AC728" s="3070">
        <v>390000</v>
      </c>
      <c r="AD728" s="3070">
        <v>390000</v>
      </c>
      <c r="AE728" s="3070">
        <v>0</v>
      </c>
      <c r="AI728" s="3070" t="s">
        <v>3227</v>
      </c>
      <c r="AJ728" s="3070">
        <v>0</v>
      </c>
      <c r="AK728" s="3070">
        <v>0</v>
      </c>
      <c r="AL728" s="3070">
        <v>0</v>
      </c>
      <c r="AM728" s="3070">
        <v>9234.52</v>
      </c>
      <c r="AN728" s="3070">
        <v>781425</v>
      </c>
      <c r="AP728" s="3070">
        <v>781425</v>
      </c>
      <c r="AQ728" s="3072">
        <v>45230</v>
      </c>
      <c r="AT728" s="3073">
        <v>45770</v>
      </c>
      <c r="AV728" s="3070" t="s">
        <v>9175</v>
      </c>
      <c r="AW728" s="3070" t="s">
        <v>9176</v>
      </c>
      <c r="AX728" s="3070" t="s">
        <v>9177</v>
      </c>
      <c r="AY728" s="3070" t="s">
        <v>4100</v>
      </c>
      <c r="BC728" s="3070" t="s">
        <v>4133</v>
      </c>
      <c r="BD728" s="3070" t="s">
        <v>3076</v>
      </c>
      <c r="BI728" s="3070" t="s">
        <v>3235</v>
      </c>
      <c r="BL728" s="3070" t="s">
        <v>9178</v>
      </c>
      <c r="BM728" s="3075">
        <v>44409</v>
      </c>
      <c r="BN728" s="3070">
        <v>-18</v>
      </c>
      <c r="BO728" s="3070" t="s">
        <v>3253</v>
      </c>
      <c r="BR728" s="3070">
        <v>0</v>
      </c>
      <c r="BS728" s="3070" t="s">
        <v>3238</v>
      </c>
      <c r="BV728" s="3070" t="s">
        <v>9179</v>
      </c>
      <c r="BW728" s="3070" t="s">
        <v>9180</v>
      </c>
      <c r="BX728" s="3070" t="s">
        <v>9181</v>
      </c>
      <c r="BZ728" s="3073">
        <v>44277.940972222219</v>
      </c>
      <c r="CA728" s="3070">
        <v>8</v>
      </c>
      <c r="CD728" s="3070" t="s">
        <v>3239</v>
      </c>
      <c r="CF728" s="3070" t="s">
        <v>3091</v>
      </c>
      <c r="CH728" s="3070" t="s">
        <v>3240</v>
      </c>
      <c r="CI728" s="3070">
        <v>0</v>
      </c>
      <c r="CK728" s="3070" t="s">
        <v>5164</v>
      </c>
      <c r="CL728" s="3070" t="s">
        <v>4100</v>
      </c>
      <c r="CM728" s="3070">
        <v>716903.67</v>
      </c>
      <c r="CV728" s="3070" t="s">
        <v>3246</v>
      </c>
      <c r="CW728" s="3070" t="s">
        <v>9182</v>
      </c>
      <c r="CX728" s="3070" t="s">
        <v>3242</v>
      </c>
      <c r="CZ728" s="3070">
        <v>213894.57</v>
      </c>
      <c r="DA728" s="3070">
        <v>159426.93</v>
      </c>
      <c r="DB728" s="3070">
        <v>0</v>
      </c>
      <c r="DC728" s="3070">
        <v>0</v>
      </c>
      <c r="DD728" s="3070">
        <v>3290547602</v>
      </c>
      <c r="DE728" s="3070">
        <v>2764253109</v>
      </c>
      <c r="DF728" s="3070">
        <v>1464966739</v>
      </c>
      <c r="DG728" s="3070">
        <v>14938370</v>
      </c>
      <c r="DH728" s="3070">
        <v>1284348000</v>
      </c>
      <c r="DI728" s="3070">
        <v>1278128000</v>
      </c>
      <c r="DJ728" s="3070">
        <v>6220000</v>
      </c>
      <c r="DK728" s="3070">
        <v>0</v>
      </c>
      <c r="DL728" s="3070">
        <v>0</v>
      </c>
      <c r="DM728" s="3070">
        <v>25491817.620000001</v>
      </c>
      <c r="DN728" s="3070">
        <v>2764253109</v>
      </c>
      <c r="DP728" s="3070">
        <v>2764253109</v>
      </c>
    </row>
    <row r="729" spans="1:120">
      <c r="A729" s="3070">
        <v>728</v>
      </c>
      <c r="B729" s="3070" t="s">
        <v>3224</v>
      </c>
      <c r="C729" s="3070">
        <v>8</v>
      </c>
      <c r="D729" s="3070">
        <v>1</v>
      </c>
      <c r="E729" s="3070">
        <v>1804</v>
      </c>
      <c r="F729" s="3070" t="s">
        <v>9183</v>
      </c>
      <c r="G729" s="3070" t="s">
        <v>9184</v>
      </c>
      <c r="H729" s="3070">
        <v>1275687</v>
      </c>
      <c r="I729" s="3070">
        <v>1275687</v>
      </c>
      <c r="J729" s="3070">
        <v>108.82</v>
      </c>
      <c r="K729" s="3070">
        <v>80.22</v>
      </c>
      <c r="L729" s="3070">
        <v>0</v>
      </c>
      <c r="M729" s="3070">
        <v>0</v>
      </c>
      <c r="N729" s="3070">
        <v>15684.44</v>
      </c>
      <c r="O729" s="3070">
        <v>1706781</v>
      </c>
      <c r="P729" s="3070">
        <v>11722.91</v>
      </c>
      <c r="Q729" s="3070">
        <v>1275687</v>
      </c>
      <c r="R729" s="3070" t="s">
        <v>3227</v>
      </c>
      <c r="S729" s="3070" t="s">
        <v>9185</v>
      </c>
      <c r="T729" s="3070" t="s">
        <v>4158</v>
      </c>
      <c r="V729" s="3070" t="s">
        <v>3230</v>
      </c>
      <c r="Y729" s="3070">
        <v>637844</v>
      </c>
      <c r="Z729" s="3070">
        <v>637844</v>
      </c>
      <c r="AA729" s="3070">
        <v>1275687</v>
      </c>
      <c r="AB729" s="3070">
        <v>0</v>
      </c>
      <c r="AC729" s="3070">
        <v>0</v>
      </c>
      <c r="AD729" s="3070">
        <v>0</v>
      </c>
      <c r="AE729" s="3070">
        <v>0</v>
      </c>
      <c r="AI729" s="3070" t="s">
        <v>3227</v>
      </c>
      <c r="AJ729" s="3070">
        <v>0</v>
      </c>
      <c r="AK729" s="3070">
        <v>0</v>
      </c>
      <c r="AL729" s="3070">
        <v>0</v>
      </c>
      <c r="AM729" s="3070">
        <v>11722.91</v>
      </c>
      <c r="AN729" s="3070">
        <v>1275687</v>
      </c>
      <c r="AP729" s="3070">
        <v>1275687</v>
      </c>
      <c r="AQ729" s="3072">
        <v>45230</v>
      </c>
      <c r="AT729" s="3073">
        <v>45770</v>
      </c>
      <c r="AV729" s="3070" t="s">
        <v>9186</v>
      </c>
      <c r="AW729" s="3070" t="s">
        <v>9187</v>
      </c>
      <c r="AX729" s="3070" t="s">
        <v>9188</v>
      </c>
      <c r="AY729" s="3070" t="s">
        <v>3883</v>
      </c>
      <c r="BC729" s="3070" t="s">
        <v>9189</v>
      </c>
      <c r="BD729" s="3070" t="s">
        <v>3077</v>
      </c>
      <c r="BI729" s="3070" t="s">
        <v>3235</v>
      </c>
      <c r="BL729" s="3070" t="s">
        <v>9190</v>
      </c>
      <c r="BM729" s="3075">
        <v>44409</v>
      </c>
      <c r="BN729" s="3070">
        <v>-18</v>
      </c>
      <c r="BR729" s="3070">
        <v>0</v>
      </c>
      <c r="BS729" s="3070" t="s">
        <v>3238</v>
      </c>
      <c r="BZ729" s="3073">
        <v>44255.980555555558</v>
      </c>
      <c r="CA729" s="3070">
        <v>8</v>
      </c>
      <c r="CD729" s="3070" t="s">
        <v>3239</v>
      </c>
      <c r="CF729" s="3070" t="s">
        <v>3091</v>
      </c>
      <c r="CH729" s="3070" t="s">
        <v>3240</v>
      </c>
      <c r="CI729" s="3070">
        <v>0</v>
      </c>
      <c r="CK729" s="3070" t="s">
        <v>3883</v>
      </c>
      <c r="CL729" s="3070" t="s">
        <v>3883</v>
      </c>
      <c r="CM729" s="3070">
        <v>1170355.05</v>
      </c>
      <c r="CV729" s="3070" t="s">
        <v>3494</v>
      </c>
      <c r="CW729" s="3070" t="s">
        <v>9191</v>
      </c>
      <c r="CX729" s="3070" t="s">
        <v>3510</v>
      </c>
      <c r="CZ729" s="3070">
        <v>213894.57</v>
      </c>
      <c r="DA729" s="3070">
        <v>159426.93</v>
      </c>
      <c r="DB729" s="3070">
        <v>0</v>
      </c>
      <c r="DC729" s="3070">
        <v>0</v>
      </c>
      <c r="DD729" s="3070">
        <v>3290547602</v>
      </c>
      <c r="DE729" s="3070">
        <v>2764253109</v>
      </c>
      <c r="DF729" s="3070">
        <v>1464966739</v>
      </c>
      <c r="DG729" s="3070">
        <v>14938370</v>
      </c>
      <c r="DH729" s="3070">
        <v>1284348000</v>
      </c>
      <c r="DI729" s="3070">
        <v>1278128000</v>
      </c>
      <c r="DJ729" s="3070">
        <v>6220000</v>
      </c>
      <c r="DK729" s="3070">
        <v>0</v>
      </c>
      <c r="DL729" s="3070">
        <v>0</v>
      </c>
      <c r="DM729" s="3070">
        <v>25491817.620000001</v>
      </c>
      <c r="DN729" s="3070">
        <v>2764253109</v>
      </c>
      <c r="DP729" s="3070">
        <v>2764253109</v>
      </c>
    </row>
    <row r="730" spans="1:120">
      <c r="A730" s="3070">
        <v>729</v>
      </c>
      <c r="B730" s="3070" t="s">
        <v>3224</v>
      </c>
      <c r="C730" s="3070">
        <v>8</v>
      </c>
      <c r="D730" s="3070">
        <v>2</v>
      </c>
      <c r="E730" s="3070">
        <v>1805</v>
      </c>
      <c r="F730" s="3070" t="s">
        <v>9192</v>
      </c>
      <c r="G730" s="3070" t="s">
        <v>9193</v>
      </c>
      <c r="H730" s="3070">
        <v>451884</v>
      </c>
      <c r="I730" s="3070">
        <v>1506103</v>
      </c>
      <c r="J730" s="3070">
        <v>108.82</v>
      </c>
      <c r="K730" s="3070">
        <v>80.22</v>
      </c>
      <c r="L730" s="3070">
        <v>0</v>
      </c>
      <c r="M730" s="3070">
        <v>0</v>
      </c>
      <c r="N730" s="3070">
        <v>15684.44</v>
      </c>
      <c r="O730" s="3070">
        <v>1706781</v>
      </c>
      <c r="P730" s="3070">
        <v>13840.31</v>
      </c>
      <c r="Q730" s="3070">
        <v>1506103</v>
      </c>
      <c r="R730" s="3070" t="s">
        <v>3227</v>
      </c>
      <c r="S730" s="3070" t="s">
        <v>3353</v>
      </c>
      <c r="T730" s="3070" t="s">
        <v>4061</v>
      </c>
      <c r="V730" s="3070" t="s">
        <v>3230</v>
      </c>
      <c r="Y730" s="3070">
        <v>150610</v>
      </c>
      <c r="Z730" s="3070">
        <v>150610</v>
      </c>
      <c r="AA730" s="3070">
        <v>451884</v>
      </c>
      <c r="AB730" s="3070">
        <v>1054219</v>
      </c>
      <c r="AC730" s="3070">
        <v>0</v>
      </c>
      <c r="AD730" s="3070">
        <v>0</v>
      </c>
      <c r="AE730" s="3070">
        <v>0</v>
      </c>
      <c r="AI730" s="3070" t="s">
        <v>3227</v>
      </c>
      <c r="AJ730" s="3070">
        <v>0</v>
      </c>
      <c r="AK730" s="3070">
        <v>0</v>
      </c>
      <c r="AL730" s="3070">
        <v>0</v>
      </c>
      <c r="AM730" s="3070">
        <v>13840.31</v>
      </c>
      <c r="AN730" s="3070">
        <v>1506103</v>
      </c>
      <c r="AP730" s="3070">
        <v>1506103</v>
      </c>
      <c r="AQ730" s="3072">
        <v>45230</v>
      </c>
      <c r="AT730" s="3073">
        <v>45770</v>
      </c>
      <c r="AV730" s="3070" t="s">
        <v>9194</v>
      </c>
      <c r="AW730" s="3070" t="s">
        <v>9195</v>
      </c>
      <c r="AX730" s="3070" t="s">
        <v>9196</v>
      </c>
      <c r="AY730" s="3070" t="s">
        <v>4019</v>
      </c>
      <c r="BC730" s="3070" t="s">
        <v>4066</v>
      </c>
      <c r="BD730" s="3070" t="s">
        <v>3077</v>
      </c>
      <c r="BI730" s="3070" t="s">
        <v>3295</v>
      </c>
      <c r="BJ730" s="3070" t="s">
        <v>3296</v>
      </c>
      <c r="BL730" s="3070" t="s">
        <v>9197</v>
      </c>
      <c r="BM730" s="3075">
        <v>44410</v>
      </c>
      <c r="BN730" s="3070">
        <v>-18</v>
      </c>
      <c r="BR730" s="3070">
        <v>0</v>
      </c>
      <c r="BS730" s="3070" t="s">
        <v>3238</v>
      </c>
      <c r="BZ730" s="3073">
        <v>44246.69027777778</v>
      </c>
      <c r="CA730" s="3070">
        <v>8</v>
      </c>
      <c r="CD730" s="3070" t="s">
        <v>3239</v>
      </c>
      <c r="CF730" s="3070" t="s">
        <v>3091</v>
      </c>
      <c r="CH730" s="3070" t="s">
        <v>3240</v>
      </c>
      <c r="CI730" s="3070">
        <v>0</v>
      </c>
      <c r="CK730" s="3070" t="s">
        <v>4138</v>
      </c>
      <c r="CL730" s="3070" t="s">
        <v>4019</v>
      </c>
      <c r="CM730" s="3070">
        <v>1381745.87</v>
      </c>
      <c r="CV730" s="3070" t="s">
        <v>3494</v>
      </c>
      <c r="CW730" s="3070" t="s">
        <v>9198</v>
      </c>
      <c r="CZ730" s="3070">
        <v>213894.57</v>
      </c>
      <c r="DA730" s="3070">
        <v>159426.93</v>
      </c>
      <c r="DB730" s="3070">
        <v>0</v>
      </c>
      <c r="DC730" s="3070">
        <v>0</v>
      </c>
      <c r="DD730" s="3070">
        <v>3290547602</v>
      </c>
      <c r="DE730" s="3070">
        <v>2764253109</v>
      </c>
      <c r="DF730" s="3070">
        <v>1464966739</v>
      </c>
      <c r="DG730" s="3070">
        <v>14938370</v>
      </c>
      <c r="DH730" s="3070">
        <v>1284348000</v>
      </c>
      <c r="DI730" s="3070">
        <v>1278128000</v>
      </c>
      <c r="DJ730" s="3070">
        <v>6220000</v>
      </c>
      <c r="DK730" s="3070">
        <v>0</v>
      </c>
      <c r="DL730" s="3070">
        <v>0</v>
      </c>
      <c r="DM730" s="3070">
        <v>25491817.620000001</v>
      </c>
      <c r="DN730" s="3070">
        <v>2764253109</v>
      </c>
      <c r="DP730" s="3070">
        <v>2764253109</v>
      </c>
    </row>
    <row r="731" spans="1:120">
      <c r="A731" s="3070">
        <v>730</v>
      </c>
      <c r="B731" s="3070" t="s">
        <v>3224</v>
      </c>
      <c r="C731" s="3070">
        <v>8</v>
      </c>
      <c r="D731" s="3070">
        <v>2</v>
      </c>
      <c r="E731" s="3070">
        <v>1806</v>
      </c>
      <c r="F731" s="3070" t="s">
        <v>9199</v>
      </c>
      <c r="G731" s="3070" t="s">
        <v>9200</v>
      </c>
      <c r="H731" s="3070">
        <v>781425</v>
      </c>
      <c r="I731" s="3070">
        <v>781425</v>
      </c>
      <c r="J731" s="3070">
        <v>84.62</v>
      </c>
      <c r="K731" s="3070">
        <v>62.38</v>
      </c>
      <c r="L731" s="3070">
        <v>0</v>
      </c>
      <c r="M731" s="3070">
        <v>0</v>
      </c>
      <c r="N731" s="3070">
        <v>15783.44</v>
      </c>
      <c r="O731" s="3070">
        <v>1335595</v>
      </c>
      <c r="P731" s="3070">
        <v>9234.52</v>
      </c>
      <c r="Q731" s="3070">
        <v>781425</v>
      </c>
      <c r="R731" s="3070" t="s">
        <v>3227</v>
      </c>
      <c r="S731" s="3070" t="s">
        <v>9201</v>
      </c>
      <c r="T731" s="3070" t="s">
        <v>4158</v>
      </c>
      <c r="V731" s="3070" t="s">
        <v>3230</v>
      </c>
      <c r="Y731" s="3070">
        <v>390713</v>
      </c>
      <c r="Z731" s="3070">
        <v>390713</v>
      </c>
      <c r="AA731" s="3070">
        <v>781425</v>
      </c>
      <c r="AB731" s="3070">
        <v>0</v>
      </c>
      <c r="AC731" s="3070">
        <v>0</v>
      </c>
      <c r="AD731" s="3070">
        <v>0</v>
      </c>
      <c r="AE731" s="3070">
        <v>0</v>
      </c>
      <c r="AI731" s="3070" t="s">
        <v>3227</v>
      </c>
      <c r="AJ731" s="3070">
        <v>0</v>
      </c>
      <c r="AK731" s="3070">
        <v>0</v>
      </c>
      <c r="AL731" s="3070">
        <v>0</v>
      </c>
      <c r="AM731" s="3070">
        <v>9234.52</v>
      </c>
      <c r="AN731" s="3070">
        <v>781425</v>
      </c>
      <c r="AP731" s="3070">
        <v>781425</v>
      </c>
      <c r="AQ731" s="3072">
        <v>45230</v>
      </c>
      <c r="AT731" s="3073">
        <v>45770</v>
      </c>
      <c r="AV731" s="3070" t="s">
        <v>9202</v>
      </c>
      <c r="AW731" s="3070" t="s">
        <v>9203</v>
      </c>
      <c r="AX731" s="3070" t="s">
        <v>9204</v>
      </c>
      <c r="AY731" s="3070" t="s">
        <v>4100</v>
      </c>
      <c r="BC731" s="3070" t="s">
        <v>5813</v>
      </c>
      <c r="BD731" s="3070" t="s">
        <v>3076</v>
      </c>
      <c r="BI731" s="3070" t="s">
        <v>3235</v>
      </c>
      <c r="BJ731" s="3070" t="s">
        <v>6298</v>
      </c>
      <c r="BL731" s="3070" t="s">
        <v>9205</v>
      </c>
      <c r="BM731" s="3075">
        <v>44410</v>
      </c>
      <c r="BN731" s="3070">
        <v>-18</v>
      </c>
      <c r="BR731" s="3070">
        <v>0</v>
      </c>
      <c r="BS731" s="3070" t="s">
        <v>3238</v>
      </c>
      <c r="BV731" s="3070" t="s">
        <v>9206</v>
      </c>
      <c r="BW731" s="3070" t="s">
        <v>9207</v>
      </c>
      <c r="BX731" s="3070" t="s">
        <v>9208</v>
      </c>
      <c r="BZ731" s="3073">
        <v>44274.589583333334</v>
      </c>
      <c r="CA731" s="3070">
        <v>8</v>
      </c>
      <c r="CD731" s="3070" t="s">
        <v>3239</v>
      </c>
      <c r="CF731" s="3070" t="s">
        <v>3091</v>
      </c>
      <c r="CH731" s="3070" t="s">
        <v>3240</v>
      </c>
      <c r="CI731" s="3070">
        <v>0</v>
      </c>
      <c r="CK731" s="3070" t="s">
        <v>4100</v>
      </c>
      <c r="CL731" s="3070" t="s">
        <v>4100</v>
      </c>
      <c r="CM731" s="3070">
        <v>716903.67</v>
      </c>
      <c r="CV731" s="3070" t="s">
        <v>3494</v>
      </c>
      <c r="CW731" s="3070" t="s">
        <v>9209</v>
      </c>
      <c r="CX731" s="3070" t="s">
        <v>3267</v>
      </c>
      <c r="CZ731" s="3070">
        <v>213894.57</v>
      </c>
      <c r="DA731" s="3070">
        <v>159426.93</v>
      </c>
      <c r="DB731" s="3070">
        <v>0</v>
      </c>
      <c r="DC731" s="3070">
        <v>0</v>
      </c>
      <c r="DD731" s="3070">
        <v>3290547602</v>
      </c>
      <c r="DE731" s="3070">
        <v>2764253109</v>
      </c>
      <c r="DF731" s="3070">
        <v>1464966739</v>
      </c>
      <c r="DG731" s="3070">
        <v>14938370</v>
      </c>
      <c r="DH731" s="3070">
        <v>1284348000</v>
      </c>
      <c r="DI731" s="3070">
        <v>1278128000</v>
      </c>
      <c r="DJ731" s="3070">
        <v>6220000</v>
      </c>
      <c r="DK731" s="3070">
        <v>0</v>
      </c>
      <c r="DL731" s="3070">
        <v>0</v>
      </c>
      <c r="DM731" s="3070">
        <v>25491817.620000001</v>
      </c>
      <c r="DN731" s="3070">
        <v>2764253109</v>
      </c>
      <c r="DP731" s="3070">
        <v>2764253109</v>
      </c>
    </row>
    <row r="732" spans="1:120">
      <c r="A732" s="3070">
        <v>731</v>
      </c>
      <c r="B732" s="3070" t="s">
        <v>3224</v>
      </c>
      <c r="C732" s="3070">
        <v>8</v>
      </c>
      <c r="D732" s="3070">
        <v>2</v>
      </c>
      <c r="E732" s="3070">
        <v>1807</v>
      </c>
      <c r="F732" s="3070" t="s">
        <v>9210</v>
      </c>
      <c r="G732" s="3070" t="s">
        <v>9211</v>
      </c>
      <c r="H732" s="3070">
        <v>980256</v>
      </c>
      <c r="I732" s="3070">
        <v>980256</v>
      </c>
      <c r="J732" s="3070">
        <v>84.62</v>
      </c>
      <c r="K732" s="3070">
        <v>62.38</v>
      </c>
      <c r="L732" s="3070">
        <v>0</v>
      </c>
      <c r="M732" s="3070">
        <v>0</v>
      </c>
      <c r="N732" s="3070">
        <v>15783.44</v>
      </c>
      <c r="O732" s="3070">
        <v>1335595</v>
      </c>
      <c r="P732" s="3070">
        <v>11584.21</v>
      </c>
      <c r="Q732" s="3070">
        <v>980256</v>
      </c>
      <c r="R732" s="3070" t="s">
        <v>3227</v>
      </c>
      <c r="S732" s="3070" t="s">
        <v>9212</v>
      </c>
      <c r="T732" s="3070" t="s">
        <v>3246</v>
      </c>
      <c r="U732" s="3070" t="s">
        <v>3247</v>
      </c>
      <c r="V732" s="3070" t="s">
        <v>3230</v>
      </c>
      <c r="Y732" s="3070">
        <v>400256</v>
      </c>
      <c r="Z732" s="3070">
        <v>400256</v>
      </c>
      <c r="AA732" s="3070">
        <v>400256</v>
      </c>
      <c r="AB732" s="3070">
        <v>0</v>
      </c>
      <c r="AC732" s="3070">
        <v>580000</v>
      </c>
      <c r="AD732" s="3070">
        <v>580000</v>
      </c>
      <c r="AE732" s="3070">
        <v>0</v>
      </c>
      <c r="AI732" s="3070" t="s">
        <v>3227</v>
      </c>
      <c r="AJ732" s="3070">
        <v>0</v>
      </c>
      <c r="AK732" s="3070">
        <v>0</v>
      </c>
      <c r="AL732" s="3070">
        <v>0</v>
      </c>
      <c r="AM732" s="3070">
        <v>11584.21</v>
      </c>
      <c r="AN732" s="3070">
        <v>980256</v>
      </c>
      <c r="AP732" s="3070">
        <v>980256</v>
      </c>
      <c r="AQ732" s="3072">
        <v>45230</v>
      </c>
      <c r="AT732" s="3073">
        <v>45770</v>
      </c>
      <c r="AV732" s="3074">
        <v>3.21E+17</v>
      </c>
      <c r="AW732" s="3070" t="s">
        <v>9213</v>
      </c>
      <c r="AX732" s="3070" t="s">
        <v>9214</v>
      </c>
      <c r="AY732" s="3070" t="s">
        <v>3892</v>
      </c>
      <c r="BA732" s="3070" t="s">
        <v>5264</v>
      </c>
      <c r="BC732" s="3070" t="s">
        <v>3588</v>
      </c>
      <c r="BD732" s="3070" t="s">
        <v>3076</v>
      </c>
      <c r="BI732" s="3070" t="s">
        <v>3235</v>
      </c>
      <c r="BL732" s="3070" t="s">
        <v>9215</v>
      </c>
      <c r="BM732" s="3075">
        <v>44410</v>
      </c>
      <c r="BN732" s="3070">
        <v>-18</v>
      </c>
      <c r="BO732" s="3070" t="s">
        <v>3253</v>
      </c>
      <c r="BR732" s="3070">
        <v>20</v>
      </c>
      <c r="BS732" s="3070" t="s">
        <v>3238</v>
      </c>
      <c r="BU732" s="3070" t="s">
        <v>5264</v>
      </c>
      <c r="BZ732" s="3073">
        <v>44213.68472222222</v>
      </c>
      <c r="CA732" s="3070">
        <v>8</v>
      </c>
      <c r="CD732" s="3070" t="s">
        <v>3239</v>
      </c>
      <c r="CF732" s="3070" t="s">
        <v>3091</v>
      </c>
      <c r="CH732" s="3070" t="s">
        <v>3240</v>
      </c>
      <c r="CI732" s="3070">
        <v>0</v>
      </c>
      <c r="CK732" s="3070" t="s">
        <v>3892</v>
      </c>
      <c r="CL732" s="3070" t="s">
        <v>4056</v>
      </c>
      <c r="CM732" s="3070">
        <v>899317.43</v>
      </c>
      <c r="CV732" s="3070" t="s">
        <v>3246</v>
      </c>
      <c r="CW732" s="3070" t="s">
        <v>9216</v>
      </c>
      <c r="CX732" s="3070" t="s">
        <v>3267</v>
      </c>
      <c r="CZ732" s="3070">
        <v>213894.57</v>
      </c>
      <c r="DA732" s="3070">
        <v>159426.93</v>
      </c>
      <c r="DB732" s="3070">
        <v>0</v>
      </c>
      <c r="DC732" s="3070">
        <v>0</v>
      </c>
      <c r="DD732" s="3070">
        <v>3290547602</v>
      </c>
      <c r="DE732" s="3070">
        <v>2764253109</v>
      </c>
      <c r="DF732" s="3070">
        <v>1464966739</v>
      </c>
      <c r="DG732" s="3070">
        <v>14938370</v>
      </c>
      <c r="DH732" s="3070">
        <v>1284348000</v>
      </c>
      <c r="DI732" s="3070">
        <v>1278128000</v>
      </c>
      <c r="DJ732" s="3070">
        <v>6220000</v>
      </c>
      <c r="DK732" s="3070">
        <v>0</v>
      </c>
      <c r="DL732" s="3070">
        <v>0</v>
      </c>
      <c r="DM732" s="3070">
        <v>25491817.620000001</v>
      </c>
      <c r="DN732" s="3070">
        <v>2764253109</v>
      </c>
      <c r="DP732" s="3070">
        <v>2764253109</v>
      </c>
    </row>
    <row r="733" spans="1:120">
      <c r="A733" s="3070">
        <v>732</v>
      </c>
      <c r="B733" s="3070" t="s">
        <v>3224</v>
      </c>
      <c r="C733" s="3070">
        <v>8</v>
      </c>
      <c r="D733" s="3070">
        <v>2</v>
      </c>
      <c r="E733" s="3070">
        <v>1808</v>
      </c>
      <c r="F733" s="3070" t="s">
        <v>9217</v>
      </c>
      <c r="G733" s="3070" t="s">
        <v>9218</v>
      </c>
      <c r="H733" s="3070">
        <v>1624678</v>
      </c>
      <c r="I733" s="3070">
        <v>1624678</v>
      </c>
      <c r="J733" s="3070">
        <v>120.15</v>
      </c>
      <c r="K733" s="3070">
        <v>88.57</v>
      </c>
      <c r="L733" s="3070">
        <v>0</v>
      </c>
      <c r="M733" s="3070">
        <v>0</v>
      </c>
      <c r="N733" s="3070">
        <v>15394.44</v>
      </c>
      <c r="O733" s="3070">
        <v>1849642</v>
      </c>
      <c r="P733" s="3070">
        <v>13522.08</v>
      </c>
      <c r="Q733" s="3070">
        <v>1624678</v>
      </c>
      <c r="R733" s="3070" t="s">
        <v>3227</v>
      </c>
      <c r="S733" s="3070" t="s">
        <v>9219</v>
      </c>
      <c r="T733" s="3070" t="s">
        <v>3258</v>
      </c>
      <c r="U733" s="3070" t="s">
        <v>3259</v>
      </c>
      <c r="V733" s="3070" t="s">
        <v>3230</v>
      </c>
      <c r="Y733" s="3070">
        <v>924678</v>
      </c>
      <c r="Z733" s="3070">
        <v>924678</v>
      </c>
      <c r="AA733" s="3070">
        <v>924678</v>
      </c>
      <c r="AB733" s="3070">
        <v>0</v>
      </c>
      <c r="AC733" s="3070">
        <v>700000</v>
      </c>
      <c r="AD733" s="3070">
        <v>700000</v>
      </c>
      <c r="AE733" s="3070">
        <v>0</v>
      </c>
      <c r="AI733" s="3070" t="s">
        <v>3227</v>
      </c>
      <c r="AJ733" s="3070">
        <v>0</v>
      </c>
      <c r="AK733" s="3070">
        <v>0</v>
      </c>
      <c r="AL733" s="3070">
        <v>0</v>
      </c>
      <c r="AM733" s="3070">
        <v>13522.08</v>
      </c>
      <c r="AN733" s="3070">
        <v>1624678</v>
      </c>
      <c r="AP733" s="3070">
        <v>1624678</v>
      </c>
      <c r="AQ733" s="3072">
        <v>45230</v>
      </c>
      <c r="AT733" s="3073">
        <v>45770</v>
      </c>
      <c r="AV733" s="3070" t="s">
        <v>9220</v>
      </c>
      <c r="AW733" s="3070" t="s">
        <v>9221</v>
      </c>
      <c r="AX733" s="3070" t="s">
        <v>9222</v>
      </c>
      <c r="AY733" s="3070" t="s">
        <v>4019</v>
      </c>
      <c r="BC733" s="3070" t="s">
        <v>8388</v>
      </c>
      <c r="BD733" s="3070" t="s">
        <v>3075</v>
      </c>
      <c r="BI733" s="3070" t="s">
        <v>3235</v>
      </c>
      <c r="BJ733" s="3070" t="s">
        <v>3236</v>
      </c>
      <c r="BL733" s="3070" t="s">
        <v>9223</v>
      </c>
      <c r="BM733" s="3075">
        <v>44410</v>
      </c>
      <c r="BN733" s="3070">
        <v>-18</v>
      </c>
      <c r="BO733" s="3070" t="s">
        <v>3253</v>
      </c>
      <c r="BP733" s="3070" t="s">
        <v>3253</v>
      </c>
      <c r="BR733" s="3070">
        <v>0</v>
      </c>
      <c r="BS733" s="3070" t="s">
        <v>3238</v>
      </c>
      <c r="BV733" s="3070" t="s">
        <v>9224</v>
      </c>
      <c r="BZ733" s="3073">
        <v>44253.737500000003</v>
      </c>
      <c r="CA733" s="3070">
        <v>8</v>
      </c>
      <c r="CD733" s="3070" t="s">
        <v>3239</v>
      </c>
      <c r="CF733" s="3070" t="s">
        <v>3091</v>
      </c>
      <c r="CH733" s="3070" t="s">
        <v>3240</v>
      </c>
      <c r="CI733" s="3070">
        <v>0</v>
      </c>
      <c r="CJ733" s="3070" t="s">
        <v>3259</v>
      </c>
      <c r="CK733" s="3070" t="s">
        <v>4019</v>
      </c>
      <c r="CL733" s="3070" t="s">
        <v>4019</v>
      </c>
      <c r="CM733" s="3070">
        <v>1490530.28</v>
      </c>
      <c r="CV733" s="3070" t="s">
        <v>3258</v>
      </c>
      <c r="CW733" s="3070" t="s">
        <v>9225</v>
      </c>
      <c r="CX733" s="3070" t="s">
        <v>3311</v>
      </c>
      <c r="CZ733" s="3070">
        <v>213894.57</v>
      </c>
      <c r="DA733" s="3070">
        <v>159426.93</v>
      </c>
      <c r="DB733" s="3070">
        <v>0</v>
      </c>
      <c r="DC733" s="3070">
        <v>0</v>
      </c>
      <c r="DD733" s="3070">
        <v>3290547602</v>
      </c>
      <c r="DE733" s="3070">
        <v>2764253109</v>
      </c>
      <c r="DF733" s="3070">
        <v>1464966739</v>
      </c>
      <c r="DG733" s="3070">
        <v>14938370</v>
      </c>
      <c r="DH733" s="3070">
        <v>1284348000</v>
      </c>
      <c r="DI733" s="3070">
        <v>1278128000</v>
      </c>
      <c r="DJ733" s="3070">
        <v>6220000</v>
      </c>
      <c r="DK733" s="3070">
        <v>0</v>
      </c>
      <c r="DL733" s="3070">
        <v>0</v>
      </c>
      <c r="DM733" s="3070">
        <v>25491817.620000001</v>
      </c>
      <c r="DN733" s="3070">
        <v>2764253109</v>
      </c>
      <c r="DP733" s="3070">
        <v>2764253109</v>
      </c>
    </row>
    <row r="734" spans="1:120">
      <c r="A734" s="3070">
        <v>733</v>
      </c>
      <c r="B734" s="3070" t="s">
        <v>3224</v>
      </c>
      <c r="C734" s="3070">
        <v>8</v>
      </c>
      <c r="D734" s="3070">
        <v>1</v>
      </c>
      <c r="E734" s="3070">
        <v>201</v>
      </c>
      <c r="F734" s="3070" t="s">
        <v>9226</v>
      </c>
      <c r="G734" s="3070" t="s">
        <v>9227</v>
      </c>
      <c r="H734" s="3070">
        <v>1439674</v>
      </c>
      <c r="I734" s="3070">
        <v>1439674</v>
      </c>
      <c r="J734" s="3070">
        <v>120.15</v>
      </c>
      <c r="K734" s="3070">
        <v>88.57</v>
      </c>
      <c r="L734" s="3070">
        <v>0</v>
      </c>
      <c r="M734" s="3070">
        <v>0</v>
      </c>
      <c r="N734" s="3070">
        <v>15444.44</v>
      </c>
      <c r="O734" s="3070">
        <v>1855649</v>
      </c>
      <c r="P734" s="3070">
        <v>11982.31</v>
      </c>
      <c r="Q734" s="3070">
        <v>1439674</v>
      </c>
      <c r="R734" s="3070" t="s">
        <v>3227</v>
      </c>
      <c r="S734" s="3070" t="s">
        <v>9228</v>
      </c>
      <c r="T734" s="3070" t="s">
        <v>4158</v>
      </c>
      <c r="V734" s="3070" t="s">
        <v>3230</v>
      </c>
      <c r="Y734" s="3070">
        <v>719837</v>
      </c>
      <c r="Z734" s="3070">
        <v>719837</v>
      </c>
      <c r="AA734" s="3070">
        <v>1439674</v>
      </c>
      <c r="AB734" s="3070">
        <v>0</v>
      </c>
      <c r="AC734" s="3070">
        <v>0</v>
      </c>
      <c r="AD734" s="3070">
        <v>0</v>
      </c>
      <c r="AE734" s="3070">
        <v>0</v>
      </c>
      <c r="AI734" s="3070" t="s">
        <v>3227</v>
      </c>
      <c r="AJ734" s="3070">
        <v>0</v>
      </c>
      <c r="AK734" s="3070">
        <v>0</v>
      </c>
      <c r="AL734" s="3070">
        <v>0</v>
      </c>
      <c r="AM734" s="3070">
        <v>11982.31</v>
      </c>
      <c r="AN734" s="3070">
        <v>1439674</v>
      </c>
      <c r="AP734" s="3070">
        <v>1439674</v>
      </c>
      <c r="AQ734" s="3072">
        <v>45230</v>
      </c>
      <c r="AT734" s="3073">
        <v>45770</v>
      </c>
      <c r="AV734" s="3074">
        <v>3.21E+17</v>
      </c>
      <c r="AW734" s="3070" t="s">
        <v>9229</v>
      </c>
      <c r="AX734" s="3070" t="s">
        <v>9230</v>
      </c>
      <c r="AY734" s="3070" t="s">
        <v>4100</v>
      </c>
      <c r="BC734" s="3070" t="s">
        <v>9231</v>
      </c>
      <c r="BD734" s="3070" t="s">
        <v>3075</v>
      </c>
      <c r="BI734" s="3070" t="s">
        <v>3235</v>
      </c>
      <c r="BL734" s="3070" t="s">
        <v>9232</v>
      </c>
      <c r="BM734" s="3075">
        <v>44409</v>
      </c>
      <c r="BN734" s="3070">
        <v>-20</v>
      </c>
      <c r="BR734" s="3070">
        <v>0</v>
      </c>
      <c r="BS734" s="3070" t="s">
        <v>3238</v>
      </c>
      <c r="BZ734" s="3073">
        <v>44281.475694444445</v>
      </c>
      <c r="CA734" s="3070">
        <v>8</v>
      </c>
      <c r="CD734" s="3070" t="s">
        <v>3239</v>
      </c>
      <c r="CF734" s="3070" t="s">
        <v>3091</v>
      </c>
      <c r="CH734" s="3070" t="s">
        <v>3240</v>
      </c>
      <c r="CI734" s="3070">
        <v>0</v>
      </c>
      <c r="CK734" s="3070" t="s">
        <v>4100</v>
      </c>
      <c r="CL734" s="3070" t="s">
        <v>4100</v>
      </c>
      <c r="CM734" s="3070">
        <v>1320801.83</v>
      </c>
      <c r="CV734" s="3070" t="s">
        <v>3494</v>
      </c>
      <c r="CW734" s="3070" t="s">
        <v>9233</v>
      </c>
      <c r="CZ734" s="3070">
        <v>213894.57</v>
      </c>
      <c r="DA734" s="3070">
        <v>159426.93</v>
      </c>
      <c r="DB734" s="3070">
        <v>0</v>
      </c>
      <c r="DC734" s="3070">
        <v>0</v>
      </c>
      <c r="DD734" s="3070">
        <v>3290547602</v>
      </c>
      <c r="DE734" s="3070">
        <v>2764253109</v>
      </c>
      <c r="DF734" s="3070">
        <v>1464966739</v>
      </c>
      <c r="DG734" s="3070">
        <v>14938370</v>
      </c>
      <c r="DH734" s="3070">
        <v>1284348000</v>
      </c>
      <c r="DI734" s="3070">
        <v>1278128000</v>
      </c>
      <c r="DJ734" s="3070">
        <v>6220000</v>
      </c>
      <c r="DK734" s="3070">
        <v>0</v>
      </c>
      <c r="DL734" s="3070">
        <v>0</v>
      </c>
      <c r="DM734" s="3070">
        <v>25491817.620000001</v>
      </c>
      <c r="DN734" s="3070">
        <v>2764253109</v>
      </c>
      <c r="DP734" s="3070">
        <v>2764253109</v>
      </c>
    </row>
    <row r="735" spans="1:120">
      <c r="A735" s="3070">
        <v>734</v>
      </c>
      <c r="B735" s="3070" t="s">
        <v>3224</v>
      </c>
      <c r="C735" s="3070">
        <v>8</v>
      </c>
      <c r="D735" s="3070">
        <v>1</v>
      </c>
      <c r="E735" s="3070">
        <v>202</v>
      </c>
      <c r="F735" s="3070" t="s">
        <v>9234</v>
      </c>
      <c r="G735" s="3070" t="s">
        <v>9235</v>
      </c>
      <c r="H735" s="3070">
        <v>1075295</v>
      </c>
      <c r="I735" s="3070">
        <v>1075295</v>
      </c>
      <c r="J735" s="3070">
        <v>84.62</v>
      </c>
      <c r="K735" s="3070">
        <v>62.38</v>
      </c>
      <c r="L735" s="3070">
        <v>0</v>
      </c>
      <c r="M735" s="3070">
        <v>0</v>
      </c>
      <c r="N735" s="3070">
        <v>15633.44</v>
      </c>
      <c r="O735" s="3070">
        <v>1322902</v>
      </c>
      <c r="P735" s="3070">
        <v>12707.34</v>
      </c>
      <c r="Q735" s="3070">
        <v>1075295</v>
      </c>
      <c r="R735" s="3070" t="s">
        <v>3227</v>
      </c>
      <c r="S735" s="3070" t="s">
        <v>9236</v>
      </c>
      <c r="T735" s="3070" t="s">
        <v>3258</v>
      </c>
      <c r="U735" s="3070" t="s">
        <v>3279</v>
      </c>
      <c r="V735" s="3070" t="s">
        <v>3230</v>
      </c>
      <c r="Y735" s="3070">
        <v>575295</v>
      </c>
      <c r="Z735" s="3070">
        <v>575295</v>
      </c>
      <c r="AA735" s="3070">
        <v>575295</v>
      </c>
      <c r="AB735" s="3070">
        <v>0</v>
      </c>
      <c r="AC735" s="3070">
        <v>500000</v>
      </c>
      <c r="AD735" s="3070">
        <v>500000</v>
      </c>
      <c r="AE735" s="3070">
        <v>0</v>
      </c>
      <c r="AI735" s="3070" t="s">
        <v>3227</v>
      </c>
      <c r="AJ735" s="3070">
        <v>0</v>
      </c>
      <c r="AK735" s="3070">
        <v>0</v>
      </c>
      <c r="AL735" s="3070">
        <v>0</v>
      </c>
      <c r="AM735" s="3070">
        <v>12707.34</v>
      </c>
      <c r="AN735" s="3070">
        <v>1075295</v>
      </c>
      <c r="AP735" s="3070">
        <v>1075295</v>
      </c>
      <c r="AQ735" s="3072">
        <v>45230</v>
      </c>
      <c r="AT735" s="3073">
        <v>45770</v>
      </c>
      <c r="AV735" s="3070" t="s">
        <v>9237</v>
      </c>
      <c r="AW735" s="3070" t="s">
        <v>9238</v>
      </c>
      <c r="AX735" s="3070" t="s">
        <v>9239</v>
      </c>
      <c r="AY735" s="3070" t="s">
        <v>3981</v>
      </c>
      <c r="BC735" s="3070" t="s">
        <v>9240</v>
      </c>
      <c r="BD735" s="3070" t="s">
        <v>3076</v>
      </c>
      <c r="BI735" s="3070" t="s">
        <v>3235</v>
      </c>
      <c r="BL735" s="3070" t="s">
        <v>9241</v>
      </c>
      <c r="BM735" s="3075">
        <v>44409</v>
      </c>
      <c r="BN735" s="3070">
        <v>-20</v>
      </c>
      <c r="BO735" s="3070" t="s">
        <v>3253</v>
      </c>
      <c r="BP735" s="3070" t="s">
        <v>3253</v>
      </c>
      <c r="BR735" s="3070">
        <v>19</v>
      </c>
      <c r="BS735" s="3070" t="s">
        <v>3238</v>
      </c>
      <c r="BZ735" s="3073">
        <v>44199.675000000003</v>
      </c>
      <c r="CA735" s="3070">
        <v>8</v>
      </c>
      <c r="CD735" s="3070" t="s">
        <v>3239</v>
      </c>
      <c r="CF735" s="3070" t="s">
        <v>3091</v>
      </c>
      <c r="CH735" s="3070" t="s">
        <v>3240</v>
      </c>
      <c r="CI735" s="3070">
        <v>0</v>
      </c>
      <c r="CJ735" s="3070" t="s">
        <v>3279</v>
      </c>
      <c r="CK735" s="3070" t="s">
        <v>3981</v>
      </c>
      <c r="CL735" s="3070" t="s">
        <v>3986</v>
      </c>
      <c r="CM735" s="3070">
        <v>986509.17</v>
      </c>
      <c r="CV735" s="3070" t="s">
        <v>3258</v>
      </c>
      <c r="CW735" s="3070" t="s">
        <v>9242</v>
      </c>
      <c r="CZ735" s="3070">
        <v>213894.57</v>
      </c>
      <c r="DA735" s="3070">
        <v>159426.93</v>
      </c>
      <c r="DB735" s="3070">
        <v>0</v>
      </c>
      <c r="DC735" s="3070">
        <v>0</v>
      </c>
      <c r="DD735" s="3070">
        <v>3290547602</v>
      </c>
      <c r="DE735" s="3070">
        <v>2764253109</v>
      </c>
      <c r="DF735" s="3070">
        <v>1464966739</v>
      </c>
      <c r="DG735" s="3070">
        <v>14938370</v>
      </c>
      <c r="DH735" s="3070">
        <v>1284348000</v>
      </c>
      <c r="DI735" s="3070">
        <v>1278128000</v>
      </c>
      <c r="DJ735" s="3070">
        <v>6220000</v>
      </c>
      <c r="DK735" s="3070">
        <v>0</v>
      </c>
      <c r="DL735" s="3070">
        <v>0</v>
      </c>
      <c r="DM735" s="3070">
        <v>25491817.620000001</v>
      </c>
      <c r="DN735" s="3070">
        <v>2764253109</v>
      </c>
      <c r="DP735" s="3070">
        <v>2764253109</v>
      </c>
    </row>
    <row r="736" spans="1:120">
      <c r="A736" s="3070">
        <v>735</v>
      </c>
      <c r="B736" s="3070" t="s">
        <v>3224</v>
      </c>
      <c r="C736" s="3070">
        <v>8</v>
      </c>
      <c r="D736" s="3070">
        <v>1</v>
      </c>
      <c r="E736" s="3070">
        <v>203</v>
      </c>
      <c r="F736" s="3070" t="s">
        <v>9243</v>
      </c>
      <c r="G736" s="3070" t="s">
        <v>9244</v>
      </c>
      <c r="H736" s="3070">
        <v>1122942</v>
      </c>
      <c r="I736" s="3070">
        <v>1122942</v>
      </c>
      <c r="J736" s="3070">
        <v>84.62</v>
      </c>
      <c r="K736" s="3070">
        <v>62.38</v>
      </c>
      <c r="L736" s="3070">
        <v>0</v>
      </c>
      <c r="M736" s="3070">
        <v>0</v>
      </c>
      <c r="N736" s="3070">
        <v>15633.44</v>
      </c>
      <c r="O736" s="3070">
        <v>1322902</v>
      </c>
      <c r="P736" s="3070">
        <v>13270.41</v>
      </c>
      <c r="Q736" s="3070">
        <v>1122942</v>
      </c>
      <c r="R736" s="3070" t="s">
        <v>3227</v>
      </c>
      <c r="S736" s="3070" t="s">
        <v>9245</v>
      </c>
      <c r="T736" s="3070" t="s">
        <v>3246</v>
      </c>
      <c r="U736" s="3070" t="s">
        <v>3279</v>
      </c>
      <c r="V736" s="3070" t="s">
        <v>3230</v>
      </c>
      <c r="Y736" s="3070">
        <v>342942</v>
      </c>
      <c r="Z736" s="3070">
        <v>112294</v>
      </c>
      <c r="AA736" s="3070">
        <v>342942</v>
      </c>
      <c r="AB736" s="3070">
        <v>0</v>
      </c>
      <c r="AC736" s="3070">
        <v>780000</v>
      </c>
      <c r="AD736" s="3070">
        <v>780000</v>
      </c>
      <c r="AE736" s="3070">
        <v>0</v>
      </c>
      <c r="AI736" s="3070" t="s">
        <v>3227</v>
      </c>
      <c r="AJ736" s="3070">
        <v>0</v>
      </c>
      <c r="AK736" s="3070">
        <v>0</v>
      </c>
      <c r="AL736" s="3070">
        <v>0</v>
      </c>
      <c r="AM736" s="3070">
        <v>13270.41</v>
      </c>
      <c r="AN736" s="3070">
        <v>1122942</v>
      </c>
      <c r="AP736" s="3070">
        <v>1122942</v>
      </c>
      <c r="AQ736" s="3072">
        <v>45230</v>
      </c>
      <c r="AT736" s="3073">
        <v>45770</v>
      </c>
      <c r="AV736" s="3074">
        <v>3.21E+17</v>
      </c>
      <c r="AW736" s="3070" t="s">
        <v>9246</v>
      </c>
      <c r="AX736" s="3070" t="s">
        <v>9247</v>
      </c>
      <c r="AY736" s="3070" t="s">
        <v>3760</v>
      </c>
      <c r="BA736" s="3070" t="s">
        <v>3760</v>
      </c>
      <c r="BC736" s="3070" t="s">
        <v>9248</v>
      </c>
      <c r="BD736" s="3070" t="s">
        <v>3076</v>
      </c>
      <c r="BI736" s="3070" t="s">
        <v>3295</v>
      </c>
      <c r="BL736" s="3070" t="s">
        <v>9249</v>
      </c>
      <c r="BM736" s="3075">
        <v>44409</v>
      </c>
      <c r="BN736" s="3070">
        <v>-20</v>
      </c>
      <c r="BO736" s="3070" t="s">
        <v>3253</v>
      </c>
      <c r="BR736" s="3070">
        <v>16</v>
      </c>
      <c r="BS736" s="3070" t="s">
        <v>3238</v>
      </c>
      <c r="BT736" s="3070" t="s">
        <v>3481</v>
      </c>
      <c r="BU736" s="3070" t="s">
        <v>3760</v>
      </c>
      <c r="BV736" s="3070" t="s">
        <v>9250</v>
      </c>
      <c r="BZ736" s="3073">
        <v>44177.6875</v>
      </c>
      <c r="CA736" s="3070">
        <v>8</v>
      </c>
      <c r="CB736" s="3070" t="s">
        <v>3481</v>
      </c>
      <c r="CD736" s="3070" t="s">
        <v>3239</v>
      </c>
      <c r="CF736" s="3070" t="s">
        <v>3091</v>
      </c>
      <c r="CH736" s="3070" t="s">
        <v>3240</v>
      </c>
      <c r="CI736" s="3070">
        <v>0</v>
      </c>
      <c r="CK736" s="3070" t="s">
        <v>3760</v>
      </c>
      <c r="CL736" s="3070" t="s">
        <v>3760</v>
      </c>
      <c r="CM736" s="3070">
        <v>1030222.01</v>
      </c>
      <c r="CV736" s="3070" t="s">
        <v>3246</v>
      </c>
      <c r="CW736" s="3070" t="s">
        <v>9251</v>
      </c>
      <c r="CZ736" s="3070">
        <v>213894.57</v>
      </c>
      <c r="DA736" s="3070">
        <v>159426.93</v>
      </c>
      <c r="DB736" s="3070">
        <v>0</v>
      </c>
      <c r="DC736" s="3070">
        <v>0</v>
      </c>
      <c r="DD736" s="3070">
        <v>3290547602</v>
      </c>
      <c r="DE736" s="3070">
        <v>2764253109</v>
      </c>
      <c r="DF736" s="3070">
        <v>1464966739</v>
      </c>
      <c r="DG736" s="3070">
        <v>14938370</v>
      </c>
      <c r="DH736" s="3070">
        <v>1284348000</v>
      </c>
      <c r="DI736" s="3070">
        <v>1278128000</v>
      </c>
      <c r="DJ736" s="3070">
        <v>6220000</v>
      </c>
      <c r="DK736" s="3070">
        <v>0</v>
      </c>
      <c r="DL736" s="3070">
        <v>0</v>
      </c>
      <c r="DM736" s="3070">
        <v>25491817.620000001</v>
      </c>
      <c r="DN736" s="3070">
        <v>2764253109</v>
      </c>
      <c r="DP736" s="3070">
        <v>2764253109</v>
      </c>
    </row>
    <row r="737" spans="1:120">
      <c r="A737" s="3070">
        <v>736</v>
      </c>
      <c r="B737" s="3070" t="s">
        <v>3224</v>
      </c>
      <c r="C737" s="3070">
        <v>8</v>
      </c>
      <c r="D737" s="3070">
        <v>1</v>
      </c>
      <c r="E737" s="3070">
        <v>204</v>
      </c>
      <c r="F737" s="3070" t="s">
        <v>9252</v>
      </c>
      <c r="G737" s="3070" t="s">
        <v>9253</v>
      </c>
      <c r="H737" s="3070">
        <v>1491412</v>
      </c>
      <c r="I737" s="3070">
        <v>1491412</v>
      </c>
      <c r="J737" s="3070">
        <v>108.82</v>
      </c>
      <c r="K737" s="3070">
        <v>80.22</v>
      </c>
      <c r="L737" s="3070">
        <v>0</v>
      </c>
      <c r="M737" s="3070">
        <v>0</v>
      </c>
      <c r="N737" s="3070">
        <v>15534.44</v>
      </c>
      <c r="O737" s="3070">
        <v>1690458</v>
      </c>
      <c r="P737" s="3070">
        <v>13705.31</v>
      </c>
      <c r="Q737" s="3070">
        <v>1491412</v>
      </c>
      <c r="R737" s="3070" t="s">
        <v>3227</v>
      </c>
      <c r="S737" s="3070" t="s">
        <v>9254</v>
      </c>
      <c r="T737" s="3070" t="s">
        <v>3246</v>
      </c>
      <c r="U737" s="3070" t="s">
        <v>3381</v>
      </c>
      <c r="V737" s="3070" t="s">
        <v>3230</v>
      </c>
      <c r="Y737" s="3070">
        <v>451412</v>
      </c>
      <c r="Z737" s="3070">
        <v>451412</v>
      </c>
      <c r="AA737" s="3070">
        <v>451412</v>
      </c>
      <c r="AB737" s="3070">
        <v>0</v>
      </c>
      <c r="AC737" s="3070">
        <v>1040000</v>
      </c>
      <c r="AD737" s="3070">
        <v>1040000</v>
      </c>
      <c r="AE737" s="3070">
        <v>0</v>
      </c>
      <c r="AI737" s="3070" t="s">
        <v>3227</v>
      </c>
      <c r="AJ737" s="3070">
        <v>0</v>
      </c>
      <c r="AK737" s="3070">
        <v>0</v>
      </c>
      <c r="AL737" s="3070">
        <v>0</v>
      </c>
      <c r="AM737" s="3070">
        <v>13705.31</v>
      </c>
      <c r="AN737" s="3070">
        <v>1491412</v>
      </c>
      <c r="AP737" s="3070">
        <v>1491412</v>
      </c>
      <c r="AQ737" s="3072">
        <v>45230</v>
      </c>
      <c r="AT737" s="3073">
        <v>45770</v>
      </c>
      <c r="AV737" s="3074">
        <v>3.21E+17</v>
      </c>
      <c r="AW737" s="3070" t="s">
        <v>9255</v>
      </c>
      <c r="AX737" s="3070" t="s">
        <v>9256</v>
      </c>
      <c r="AY737" s="3070" t="s">
        <v>4100</v>
      </c>
      <c r="BA737" s="3070" t="s">
        <v>4100</v>
      </c>
      <c r="BC737" s="3070" t="s">
        <v>4175</v>
      </c>
      <c r="BD737" s="3070" t="s">
        <v>3077</v>
      </c>
      <c r="BI737" s="3070" t="s">
        <v>3235</v>
      </c>
      <c r="BJ737" s="3070" t="s">
        <v>9257</v>
      </c>
      <c r="BL737" s="3070" t="s">
        <v>9258</v>
      </c>
      <c r="BM737" s="3075">
        <v>44409</v>
      </c>
      <c r="BN737" s="3070">
        <v>-20</v>
      </c>
      <c r="BO737" s="3070" t="s">
        <v>3253</v>
      </c>
      <c r="BR737" s="3070">
        <v>0</v>
      </c>
      <c r="BS737" s="3070" t="s">
        <v>3238</v>
      </c>
      <c r="BU737" s="3070" t="s">
        <v>4100</v>
      </c>
      <c r="BZ737" s="3073">
        <v>44245.763194444444</v>
      </c>
      <c r="CA737" s="3070">
        <v>8</v>
      </c>
      <c r="CD737" s="3070" t="s">
        <v>3239</v>
      </c>
      <c r="CF737" s="3070" t="s">
        <v>3091</v>
      </c>
      <c r="CH737" s="3070" t="s">
        <v>3240</v>
      </c>
      <c r="CI737" s="3070">
        <v>0</v>
      </c>
      <c r="CK737" s="3070" t="s">
        <v>4100</v>
      </c>
      <c r="CL737" s="3070" t="s">
        <v>4100</v>
      </c>
      <c r="CM737" s="3070">
        <v>1368267.89</v>
      </c>
      <c r="CV737" s="3070" t="s">
        <v>3246</v>
      </c>
      <c r="CW737" s="3070" t="s">
        <v>9259</v>
      </c>
      <c r="CX737" s="3070" t="s">
        <v>3510</v>
      </c>
      <c r="CZ737" s="3070">
        <v>213894.57</v>
      </c>
      <c r="DA737" s="3070">
        <v>159426.93</v>
      </c>
      <c r="DB737" s="3070">
        <v>0</v>
      </c>
      <c r="DC737" s="3070">
        <v>0</v>
      </c>
      <c r="DD737" s="3070">
        <v>3290547602</v>
      </c>
      <c r="DE737" s="3070">
        <v>2764253109</v>
      </c>
      <c r="DF737" s="3070">
        <v>1464966739</v>
      </c>
      <c r="DG737" s="3070">
        <v>14938370</v>
      </c>
      <c r="DH737" s="3070">
        <v>1284348000</v>
      </c>
      <c r="DI737" s="3070">
        <v>1278128000</v>
      </c>
      <c r="DJ737" s="3070">
        <v>6220000</v>
      </c>
      <c r="DK737" s="3070">
        <v>0</v>
      </c>
      <c r="DL737" s="3070">
        <v>0</v>
      </c>
      <c r="DM737" s="3070">
        <v>25491817.620000001</v>
      </c>
      <c r="DN737" s="3070">
        <v>2764253109</v>
      </c>
      <c r="DP737" s="3070">
        <v>2764253109</v>
      </c>
    </row>
    <row r="738" spans="1:120">
      <c r="A738" s="3070">
        <v>737</v>
      </c>
      <c r="B738" s="3070" t="s">
        <v>3224</v>
      </c>
      <c r="C738" s="3070">
        <v>8</v>
      </c>
      <c r="D738" s="3070">
        <v>2</v>
      </c>
      <c r="E738" s="3070">
        <v>205</v>
      </c>
      <c r="F738" s="3070" t="s">
        <v>9260</v>
      </c>
      <c r="G738" s="3070" t="s">
        <v>9261</v>
      </c>
      <c r="H738" s="3070">
        <v>1326711</v>
      </c>
      <c r="I738" s="3070">
        <v>1326711</v>
      </c>
      <c r="J738" s="3070">
        <v>108.82</v>
      </c>
      <c r="K738" s="3070">
        <v>80.22</v>
      </c>
      <c r="L738" s="3070">
        <v>0</v>
      </c>
      <c r="M738" s="3070">
        <v>0</v>
      </c>
      <c r="N738" s="3070">
        <v>15534.44</v>
      </c>
      <c r="O738" s="3070">
        <v>1690458</v>
      </c>
      <c r="P738" s="3070">
        <v>12191.79</v>
      </c>
      <c r="Q738" s="3070">
        <v>1326711</v>
      </c>
      <c r="R738" s="3070" t="s">
        <v>3227</v>
      </c>
      <c r="S738" s="3070" t="s">
        <v>9262</v>
      </c>
      <c r="T738" s="3070" t="s">
        <v>3258</v>
      </c>
      <c r="U738" s="3070" t="s">
        <v>3259</v>
      </c>
      <c r="V738" s="3070" t="s">
        <v>3230</v>
      </c>
      <c r="Y738" s="3070">
        <v>636711</v>
      </c>
      <c r="Z738" s="3070">
        <v>636711</v>
      </c>
      <c r="AA738" s="3070">
        <v>636711</v>
      </c>
      <c r="AB738" s="3070">
        <v>0</v>
      </c>
      <c r="AC738" s="3070">
        <v>690000</v>
      </c>
      <c r="AD738" s="3070">
        <v>690000</v>
      </c>
      <c r="AE738" s="3070">
        <v>0</v>
      </c>
      <c r="AI738" s="3070" t="s">
        <v>3227</v>
      </c>
      <c r="AJ738" s="3070">
        <v>0</v>
      </c>
      <c r="AK738" s="3070">
        <v>0</v>
      </c>
      <c r="AL738" s="3070">
        <v>0</v>
      </c>
      <c r="AM738" s="3070">
        <v>12191.79</v>
      </c>
      <c r="AN738" s="3070">
        <v>1326711</v>
      </c>
      <c r="AP738" s="3070">
        <v>1326711</v>
      </c>
      <c r="AQ738" s="3072">
        <v>45230</v>
      </c>
      <c r="AT738" s="3073">
        <v>45770</v>
      </c>
      <c r="AV738" s="3070" t="s">
        <v>9263</v>
      </c>
      <c r="AW738" s="3070" t="s">
        <v>9264</v>
      </c>
      <c r="AX738" s="3070" t="s">
        <v>9265</v>
      </c>
      <c r="AY738" s="3070" t="s">
        <v>3981</v>
      </c>
      <c r="BC738" s="3070" t="s">
        <v>9266</v>
      </c>
      <c r="BD738" s="3070" t="s">
        <v>3077</v>
      </c>
      <c r="BI738" s="3070" t="s">
        <v>3235</v>
      </c>
      <c r="BL738" s="3070" t="s">
        <v>9267</v>
      </c>
      <c r="BM738" s="3075">
        <v>44410</v>
      </c>
      <c r="BN738" s="3070">
        <v>-20</v>
      </c>
      <c r="BO738" s="3070" t="s">
        <v>3253</v>
      </c>
      <c r="BP738" s="3070" t="s">
        <v>3253</v>
      </c>
      <c r="BR738" s="3070">
        <v>20</v>
      </c>
      <c r="BS738" s="3070" t="s">
        <v>3238</v>
      </c>
      <c r="BZ738" s="3073">
        <v>44227.799305555556</v>
      </c>
      <c r="CA738" s="3070">
        <v>8</v>
      </c>
      <c r="CD738" s="3070" t="s">
        <v>3239</v>
      </c>
      <c r="CF738" s="3070" t="s">
        <v>3091</v>
      </c>
      <c r="CH738" s="3070" t="s">
        <v>3240</v>
      </c>
      <c r="CI738" s="3070">
        <v>0</v>
      </c>
      <c r="CJ738" s="3070" t="s">
        <v>3259</v>
      </c>
      <c r="CK738" s="3070" t="s">
        <v>3981</v>
      </c>
      <c r="CL738" s="3070" t="s">
        <v>3981</v>
      </c>
      <c r="CM738" s="3070">
        <v>1217166.06</v>
      </c>
      <c r="CV738" s="3070" t="s">
        <v>3258</v>
      </c>
      <c r="CW738" s="3070" t="s">
        <v>9268</v>
      </c>
      <c r="CX738" s="3070" t="s">
        <v>3510</v>
      </c>
      <c r="CZ738" s="3070">
        <v>213894.57</v>
      </c>
      <c r="DA738" s="3070">
        <v>159426.93</v>
      </c>
      <c r="DB738" s="3070">
        <v>0</v>
      </c>
      <c r="DC738" s="3070">
        <v>0</v>
      </c>
      <c r="DD738" s="3070">
        <v>3290547602</v>
      </c>
      <c r="DE738" s="3070">
        <v>2764253109</v>
      </c>
      <c r="DF738" s="3070">
        <v>1464966739</v>
      </c>
      <c r="DG738" s="3070">
        <v>14938370</v>
      </c>
      <c r="DH738" s="3070">
        <v>1284348000</v>
      </c>
      <c r="DI738" s="3070">
        <v>1278128000</v>
      </c>
      <c r="DJ738" s="3070">
        <v>6220000</v>
      </c>
      <c r="DK738" s="3070">
        <v>0</v>
      </c>
      <c r="DL738" s="3070">
        <v>0</v>
      </c>
      <c r="DM738" s="3070">
        <v>25491817.620000001</v>
      </c>
      <c r="DN738" s="3070">
        <v>2764253109</v>
      </c>
      <c r="DP738" s="3070">
        <v>2764253109</v>
      </c>
    </row>
    <row r="739" spans="1:120">
      <c r="A739" s="3070">
        <v>738</v>
      </c>
      <c r="B739" s="3070" t="s">
        <v>3224</v>
      </c>
      <c r="C739" s="3070">
        <v>8</v>
      </c>
      <c r="D739" s="3070">
        <v>2</v>
      </c>
      <c r="E739" s="3070">
        <v>206</v>
      </c>
      <c r="F739" s="3070" t="s">
        <v>9269</v>
      </c>
      <c r="G739" s="3070" t="s">
        <v>9270</v>
      </c>
      <c r="H739" s="3070">
        <v>1074032</v>
      </c>
      <c r="I739" s="3070">
        <v>1074032</v>
      </c>
      <c r="J739" s="3070">
        <v>84.62</v>
      </c>
      <c r="K739" s="3070">
        <v>62.38</v>
      </c>
      <c r="L739" s="3070">
        <v>0</v>
      </c>
      <c r="M739" s="3070">
        <v>0</v>
      </c>
      <c r="N739" s="3070">
        <v>15633.44</v>
      </c>
      <c r="O739" s="3070">
        <v>1322902</v>
      </c>
      <c r="P739" s="3070">
        <v>12692.41</v>
      </c>
      <c r="Q739" s="3070">
        <v>1074032</v>
      </c>
      <c r="R739" s="3070" t="s">
        <v>3227</v>
      </c>
      <c r="S739" s="3070" t="s">
        <v>9271</v>
      </c>
      <c r="T739" s="3070" t="s">
        <v>3258</v>
      </c>
      <c r="U739" s="3070" t="s">
        <v>3259</v>
      </c>
      <c r="V739" s="3070" t="s">
        <v>3230</v>
      </c>
      <c r="Y739" s="3070">
        <v>324032</v>
      </c>
      <c r="Z739" s="3070">
        <v>324032</v>
      </c>
      <c r="AA739" s="3070">
        <v>324032</v>
      </c>
      <c r="AB739" s="3070">
        <v>0</v>
      </c>
      <c r="AC739" s="3070">
        <v>750000</v>
      </c>
      <c r="AD739" s="3070">
        <v>750000</v>
      </c>
      <c r="AE739" s="3070">
        <v>0</v>
      </c>
      <c r="AI739" s="3070" t="s">
        <v>3227</v>
      </c>
      <c r="AJ739" s="3070">
        <v>0</v>
      </c>
      <c r="AK739" s="3070">
        <v>0</v>
      </c>
      <c r="AL739" s="3070">
        <v>0</v>
      </c>
      <c r="AM739" s="3070">
        <v>12692.41</v>
      </c>
      <c r="AN739" s="3070">
        <v>1074032</v>
      </c>
      <c r="AP739" s="3070">
        <v>1074032</v>
      </c>
      <c r="AQ739" s="3072">
        <v>45230</v>
      </c>
      <c r="AT739" s="3073">
        <v>45770</v>
      </c>
      <c r="AV739" s="3070" t="s">
        <v>9272</v>
      </c>
      <c r="AW739" s="3070" t="s">
        <v>9273</v>
      </c>
      <c r="AX739" s="3070" t="s">
        <v>9274</v>
      </c>
      <c r="AY739" s="3070" t="s">
        <v>3337</v>
      </c>
      <c r="BC739" s="3070" t="s">
        <v>3263</v>
      </c>
      <c r="BD739" s="3070" t="s">
        <v>3076</v>
      </c>
      <c r="BI739" s="3070" t="s">
        <v>3235</v>
      </c>
      <c r="BJ739" s="3070" t="s">
        <v>3328</v>
      </c>
      <c r="BL739" s="3070" t="s">
        <v>9275</v>
      </c>
      <c r="BM739" s="3075">
        <v>44410</v>
      </c>
      <c r="BN739" s="3070">
        <v>-20</v>
      </c>
      <c r="BO739" s="3070" t="s">
        <v>3253</v>
      </c>
      <c r="BP739" s="3070" t="s">
        <v>3253</v>
      </c>
      <c r="BR739" s="3070">
        <v>17</v>
      </c>
      <c r="BS739" s="3070" t="s">
        <v>3238</v>
      </c>
      <c r="BZ739" s="3073">
        <v>44142.649305555555</v>
      </c>
      <c r="CA739" s="3070">
        <v>8</v>
      </c>
      <c r="CD739" s="3070" t="s">
        <v>3239</v>
      </c>
      <c r="CF739" s="3070" t="s">
        <v>3091</v>
      </c>
      <c r="CH739" s="3070" t="s">
        <v>3240</v>
      </c>
      <c r="CI739" s="3070">
        <v>0</v>
      </c>
      <c r="CJ739" s="3070" t="s">
        <v>3259</v>
      </c>
      <c r="CK739" s="3070" t="s">
        <v>3337</v>
      </c>
      <c r="CL739" s="3070" t="s">
        <v>3337</v>
      </c>
      <c r="CM739" s="3070">
        <v>985350.46</v>
      </c>
      <c r="CV739" s="3070" t="s">
        <v>3258</v>
      </c>
      <c r="CW739" s="3070" t="s">
        <v>9276</v>
      </c>
      <c r="CX739" s="3070" t="s">
        <v>3242</v>
      </c>
      <c r="CZ739" s="3070">
        <v>213894.57</v>
      </c>
      <c r="DA739" s="3070">
        <v>159426.93</v>
      </c>
      <c r="DB739" s="3070">
        <v>0</v>
      </c>
      <c r="DC739" s="3070">
        <v>0</v>
      </c>
      <c r="DD739" s="3070">
        <v>3290547602</v>
      </c>
      <c r="DE739" s="3070">
        <v>2764253109</v>
      </c>
      <c r="DF739" s="3070">
        <v>1464966739</v>
      </c>
      <c r="DG739" s="3070">
        <v>14938370</v>
      </c>
      <c r="DH739" s="3070">
        <v>1284348000</v>
      </c>
      <c r="DI739" s="3070">
        <v>1278128000</v>
      </c>
      <c r="DJ739" s="3070">
        <v>6220000</v>
      </c>
      <c r="DK739" s="3070">
        <v>0</v>
      </c>
      <c r="DL739" s="3070">
        <v>0</v>
      </c>
      <c r="DM739" s="3070">
        <v>25491817.620000001</v>
      </c>
      <c r="DN739" s="3070">
        <v>2764253109</v>
      </c>
      <c r="DP739" s="3070">
        <v>2764253109</v>
      </c>
    </row>
    <row r="740" spans="1:120">
      <c r="A740" s="3070">
        <v>739</v>
      </c>
      <c r="B740" s="3070" t="s">
        <v>3224</v>
      </c>
      <c r="C740" s="3070">
        <v>8</v>
      </c>
      <c r="D740" s="3070">
        <v>2</v>
      </c>
      <c r="E740" s="3070">
        <v>207</v>
      </c>
      <c r="F740" s="3070" t="s">
        <v>9277</v>
      </c>
      <c r="G740" s="3070" t="s">
        <v>9278</v>
      </c>
      <c r="H740" s="3070">
        <v>970209</v>
      </c>
      <c r="I740" s="3070">
        <v>970209</v>
      </c>
      <c r="J740" s="3070">
        <v>84.62</v>
      </c>
      <c r="K740" s="3070">
        <v>62.38</v>
      </c>
      <c r="L740" s="3070">
        <v>0</v>
      </c>
      <c r="M740" s="3070">
        <v>0</v>
      </c>
      <c r="N740" s="3070">
        <v>15633.44</v>
      </c>
      <c r="O740" s="3070">
        <v>1322902</v>
      </c>
      <c r="P740" s="3070">
        <v>11465.48</v>
      </c>
      <c r="Q740" s="3070">
        <v>970209</v>
      </c>
      <c r="R740" s="3070" t="s">
        <v>3227</v>
      </c>
      <c r="S740" s="3070" t="s">
        <v>3353</v>
      </c>
      <c r="T740" s="3070" t="s">
        <v>3991</v>
      </c>
      <c r="V740" s="3070" t="s">
        <v>3230</v>
      </c>
      <c r="Y740" s="3070">
        <v>291063</v>
      </c>
      <c r="Z740" s="3070">
        <v>97021</v>
      </c>
      <c r="AA740" s="3070">
        <v>970209</v>
      </c>
      <c r="AB740" s="3070">
        <v>0</v>
      </c>
      <c r="AC740" s="3070">
        <v>0</v>
      </c>
      <c r="AD740" s="3070">
        <v>0</v>
      </c>
      <c r="AE740" s="3070">
        <v>0</v>
      </c>
      <c r="AI740" s="3070" t="s">
        <v>3227</v>
      </c>
      <c r="AJ740" s="3070">
        <v>0</v>
      </c>
      <c r="AK740" s="3070">
        <v>0</v>
      </c>
      <c r="AL740" s="3070">
        <v>0</v>
      </c>
      <c r="AM740" s="3070">
        <v>11465.48</v>
      </c>
      <c r="AN740" s="3070">
        <v>970209</v>
      </c>
      <c r="AP740" s="3070">
        <v>970209</v>
      </c>
      <c r="AQ740" s="3072">
        <v>45230</v>
      </c>
      <c r="AT740" s="3073">
        <v>45770</v>
      </c>
      <c r="AV740" s="3070" t="s">
        <v>9279</v>
      </c>
      <c r="AW740" s="3070" t="s">
        <v>9280</v>
      </c>
      <c r="AX740" s="3070" t="s">
        <v>9281</v>
      </c>
      <c r="AY740" s="3070" t="s">
        <v>3883</v>
      </c>
      <c r="BA740" s="3070" t="s">
        <v>3883</v>
      </c>
      <c r="BC740" s="3070" t="s">
        <v>9282</v>
      </c>
      <c r="BD740" s="3070" t="s">
        <v>3076</v>
      </c>
      <c r="BI740" s="3070" t="s">
        <v>3295</v>
      </c>
      <c r="BL740" s="3070" t="s">
        <v>9283</v>
      </c>
      <c r="BM740" s="3075">
        <v>44410</v>
      </c>
      <c r="BN740" s="3070">
        <v>-20</v>
      </c>
      <c r="BR740" s="3070">
        <v>21</v>
      </c>
      <c r="BS740" s="3070" t="s">
        <v>3238</v>
      </c>
      <c r="BU740" s="3070" t="s">
        <v>3883</v>
      </c>
      <c r="BZ740" s="3073">
        <v>44201.767361111109</v>
      </c>
      <c r="CA740" s="3070">
        <v>8</v>
      </c>
      <c r="CD740" s="3070" t="s">
        <v>3239</v>
      </c>
      <c r="CF740" s="3070" t="s">
        <v>3091</v>
      </c>
      <c r="CH740" s="3070" t="s">
        <v>3240</v>
      </c>
      <c r="CI740" s="3070">
        <v>0</v>
      </c>
      <c r="CK740" s="3070" t="s">
        <v>3883</v>
      </c>
      <c r="CL740" s="3070" t="s">
        <v>3883</v>
      </c>
      <c r="CM740" s="3070">
        <v>890100</v>
      </c>
      <c r="CV740" s="3070" t="s">
        <v>3494</v>
      </c>
      <c r="CW740" s="3070" t="s">
        <v>9284</v>
      </c>
      <c r="CZ740" s="3070">
        <v>213894.57</v>
      </c>
      <c r="DA740" s="3070">
        <v>159426.93</v>
      </c>
      <c r="DB740" s="3070">
        <v>0</v>
      </c>
      <c r="DC740" s="3070">
        <v>0</v>
      </c>
      <c r="DD740" s="3070">
        <v>3290547602</v>
      </c>
      <c r="DE740" s="3070">
        <v>2764253109</v>
      </c>
      <c r="DF740" s="3070">
        <v>1464966739</v>
      </c>
      <c r="DG740" s="3070">
        <v>14938370</v>
      </c>
      <c r="DH740" s="3070">
        <v>1284348000</v>
      </c>
      <c r="DI740" s="3070">
        <v>1278128000</v>
      </c>
      <c r="DJ740" s="3070">
        <v>6220000</v>
      </c>
      <c r="DK740" s="3070">
        <v>0</v>
      </c>
      <c r="DL740" s="3070">
        <v>0</v>
      </c>
      <c r="DM740" s="3070">
        <v>25491817.620000001</v>
      </c>
      <c r="DN740" s="3070">
        <v>2764253109</v>
      </c>
      <c r="DP740" s="3070">
        <v>2764253109</v>
      </c>
    </row>
    <row r="741" spans="1:120">
      <c r="A741" s="3070">
        <v>740</v>
      </c>
      <c r="B741" s="3070" t="s">
        <v>3224</v>
      </c>
      <c r="C741" s="3070">
        <v>8</v>
      </c>
      <c r="D741" s="3070">
        <v>2</v>
      </c>
      <c r="E741" s="3070">
        <v>208</v>
      </c>
      <c r="F741" s="3070" t="s">
        <v>9285</v>
      </c>
      <c r="G741" s="3070" t="s">
        <v>9286</v>
      </c>
      <c r="H741" s="3070">
        <v>1618457</v>
      </c>
      <c r="I741" s="3070">
        <v>1618457</v>
      </c>
      <c r="J741" s="3070">
        <v>120.15</v>
      </c>
      <c r="K741" s="3070">
        <v>88.57</v>
      </c>
      <c r="L741" s="3070">
        <v>0</v>
      </c>
      <c r="M741" s="3070">
        <v>0</v>
      </c>
      <c r="N741" s="3070">
        <v>15244.44</v>
      </c>
      <c r="O741" s="3070">
        <v>1831619</v>
      </c>
      <c r="P741" s="3070">
        <v>13470.3</v>
      </c>
      <c r="Q741" s="3070">
        <v>1618457</v>
      </c>
      <c r="R741" s="3070" t="s">
        <v>3227</v>
      </c>
      <c r="S741" s="3070" t="s">
        <v>9287</v>
      </c>
      <c r="T741" s="3070" t="s">
        <v>3246</v>
      </c>
      <c r="U741" s="3070" t="s">
        <v>3279</v>
      </c>
      <c r="V741" s="3070" t="s">
        <v>3230</v>
      </c>
      <c r="Y741" s="3070">
        <v>488457</v>
      </c>
      <c r="Z741" s="3070">
        <v>161846</v>
      </c>
      <c r="AA741" s="3070">
        <v>488457</v>
      </c>
      <c r="AB741" s="3070">
        <v>0</v>
      </c>
      <c r="AC741" s="3070">
        <v>1130000</v>
      </c>
      <c r="AD741" s="3070">
        <v>1130000</v>
      </c>
      <c r="AE741" s="3070">
        <v>0</v>
      </c>
      <c r="AI741" s="3070" t="s">
        <v>3227</v>
      </c>
      <c r="AJ741" s="3070">
        <v>0</v>
      </c>
      <c r="AK741" s="3070">
        <v>0</v>
      </c>
      <c r="AL741" s="3070">
        <v>0</v>
      </c>
      <c r="AM741" s="3070">
        <v>13470.3</v>
      </c>
      <c r="AN741" s="3070">
        <v>1618457</v>
      </c>
      <c r="AP741" s="3070">
        <v>1618457</v>
      </c>
      <c r="AQ741" s="3072">
        <v>45230</v>
      </c>
      <c r="AT741" s="3073">
        <v>45770</v>
      </c>
      <c r="AV741" s="3070" t="s">
        <v>9288</v>
      </c>
      <c r="AW741" s="3070" t="s">
        <v>9289</v>
      </c>
      <c r="AX741" s="3070" t="s">
        <v>9290</v>
      </c>
      <c r="AY741" s="3070" t="s">
        <v>3981</v>
      </c>
      <c r="BA741" s="3070" t="s">
        <v>3981</v>
      </c>
      <c r="BC741" s="3070" t="s">
        <v>4175</v>
      </c>
      <c r="BD741" s="3070" t="s">
        <v>3075</v>
      </c>
      <c r="BI741" s="3070" t="s">
        <v>3235</v>
      </c>
      <c r="BJ741" s="3070" t="s">
        <v>3328</v>
      </c>
      <c r="BL741" s="3070" t="s">
        <v>9291</v>
      </c>
      <c r="BM741" s="3075">
        <v>44410</v>
      </c>
      <c r="BN741" s="3070">
        <v>-20</v>
      </c>
      <c r="BO741" s="3070" t="s">
        <v>3253</v>
      </c>
      <c r="BR741" s="3070">
        <v>0</v>
      </c>
      <c r="BS741" s="3070" t="s">
        <v>3238</v>
      </c>
      <c r="BT741" s="3070" t="s">
        <v>3404</v>
      </c>
      <c r="BU741" s="3070" t="s">
        <v>3981</v>
      </c>
      <c r="BZ741" s="3073">
        <v>44242.55972222222</v>
      </c>
      <c r="CA741" s="3070">
        <v>8</v>
      </c>
      <c r="CB741" s="3070" t="s">
        <v>3404</v>
      </c>
      <c r="CD741" s="3070" t="s">
        <v>3239</v>
      </c>
      <c r="CF741" s="3070" t="s">
        <v>3091</v>
      </c>
      <c r="CH741" s="3070" t="s">
        <v>3240</v>
      </c>
      <c r="CI741" s="3070">
        <v>0</v>
      </c>
      <c r="CK741" s="3070" t="s">
        <v>3985</v>
      </c>
      <c r="CL741" s="3070" t="s">
        <v>3981</v>
      </c>
      <c r="CM741" s="3070">
        <v>1484822.94</v>
      </c>
      <c r="CV741" s="3070" t="s">
        <v>3246</v>
      </c>
      <c r="CW741" s="3070" t="s">
        <v>9292</v>
      </c>
      <c r="CX741" s="3070" t="s">
        <v>3510</v>
      </c>
      <c r="CZ741" s="3070">
        <v>213894.57</v>
      </c>
      <c r="DA741" s="3070">
        <v>159426.93</v>
      </c>
      <c r="DB741" s="3070">
        <v>0</v>
      </c>
      <c r="DC741" s="3070">
        <v>0</v>
      </c>
      <c r="DD741" s="3070">
        <v>3290547602</v>
      </c>
      <c r="DE741" s="3070">
        <v>2764253109</v>
      </c>
      <c r="DF741" s="3070">
        <v>1464966739</v>
      </c>
      <c r="DG741" s="3070">
        <v>14938370</v>
      </c>
      <c r="DH741" s="3070">
        <v>1284348000</v>
      </c>
      <c r="DI741" s="3070">
        <v>1278128000</v>
      </c>
      <c r="DJ741" s="3070">
        <v>6220000</v>
      </c>
      <c r="DK741" s="3070">
        <v>0</v>
      </c>
      <c r="DL741" s="3070">
        <v>0</v>
      </c>
      <c r="DM741" s="3070">
        <v>25491817.620000001</v>
      </c>
      <c r="DN741" s="3070">
        <v>2764253109</v>
      </c>
      <c r="DP741" s="3070">
        <v>2764253109</v>
      </c>
    </row>
    <row r="742" spans="1:120">
      <c r="A742" s="3070">
        <v>741</v>
      </c>
      <c r="B742" s="3070" t="s">
        <v>3224</v>
      </c>
      <c r="C742" s="3070">
        <v>8</v>
      </c>
      <c r="D742" s="3070">
        <v>2</v>
      </c>
      <c r="E742" s="3070">
        <v>305</v>
      </c>
      <c r="F742" s="3070" t="s">
        <v>9293</v>
      </c>
      <c r="G742" s="3070" t="s">
        <v>9294</v>
      </c>
      <c r="H742" s="3070">
        <v>1314489</v>
      </c>
      <c r="I742" s="3070">
        <v>1314489</v>
      </c>
      <c r="J742" s="3070">
        <v>108.82</v>
      </c>
      <c r="K742" s="3070">
        <v>80.22</v>
      </c>
      <c r="L742" s="3070">
        <v>0</v>
      </c>
      <c r="M742" s="3070">
        <v>0</v>
      </c>
      <c r="N742" s="3070">
        <v>15634.44</v>
      </c>
      <c r="O742" s="3070">
        <v>1701340</v>
      </c>
      <c r="P742" s="3070">
        <v>12079.48</v>
      </c>
      <c r="Q742" s="3070">
        <v>1314489</v>
      </c>
      <c r="R742" s="3070" t="s">
        <v>3227</v>
      </c>
      <c r="S742" s="3070" t="s">
        <v>9295</v>
      </c>
      <c r="T742" s="3070" t="s">
        <v>3991</v>
      </c>
      <c r="V742" s="3070" t="s">
        <v>3230</v>
      </c>
      <c r="Y742" s="3070">
        <v>394347</v>
      </c>
      <c r="Z742" s="3070">
        <v>394347</v>
      </c>
      <c r="AA742" s="3070">
        <v>1314489</v>
      </c>
      <c r="AB742" s="3070">
        <v>0</v>
      </c>
      <c r="AC742" s="3070">
        <v>0</v>
      </c>
      <c r="AD742" s="3070">
        <v>0</v>
      </c>
      <c r="AE742" s="3070">
        <v>0</v>
      </c>
      <c r="AI742" s="3070" t="s">
        <v>3227</v>
      </c>
      <c r="AJ742" s="3070">
        <v>0</v>
      </c>
      <c r="AK742" s="3070">
        <v>0</v>
      </c>
      <c r="AL742" s="3070">
        <v>0</v>
      </c>
      <c r="AM742" s="3070">
        <v>12079.48</v>
      </c>
      <c r="AN742" s="3070">
        <v>1314489</v>
      </c>
      <c r="AP742" s="3070">
        <v>1314489</v>
      </c>
      <c r="AQ742" s="3072">
        <v>45230</v>
      </c>
      <c r="AT742" s="3073">
        <v>45770</v>
      </c>
      <c r="AV742" s="3070" t="s">
        <v>9296</v>
      </c>
      <c r="AW742" s="3070" t="s">
        <v>9297</v>
      </c>
      <c r="AX742" s="3070" t="s">
        <v>9298</v>
      </c>
      <c r="AY742" s="3070" t="s">
        <v>3892</v>
      </c>
      <c r="BA742" s="3070" t="s">
        <v>4527</v>
      </c>
      <c r="BC742" s="3070" t="s">
        <v>9299</v>
      </c>
      <c r="BD742" s="3070" t="s">
        <v>3077</v>
      </c>
      <c r="BI742" s="3070" t="s">
        <v>3295</v>
      </c>
      <c r="BL742" s="3070" t="s">
        <v>9300</v>
      </c>
      <c r="BM742" s="3075">
        <v>44410</v>
      </c>
      <c r="BN742" s="3070">
        <v>-30</v>
      </c>
      <c r="BR742" s="3070">
        <v>20</v>
      </c>
      <c r="BS742" s="3070" t="s">
        <v>3238</v>
      </c>
      <c r="BU742" s="3070" t="s">
        <v>4527</v>
      </c>
      <c r="BZ742" s="3073">
        <v>44199.679166666669</v>
      </c>
      <c r="CA742" s="3070">
        <v>8</v>
      </c>
      <c r="CD742" s="3070" t="s">
        <v>3239</v>
      </c>
      <c r="CF742" s="3070" t="s">
        <v>3091</v>
      </c>
      <c r="CH742" s="3070" t="s">
        <v>3240</v>
      </c>
      <c r="CI742" s="3070">
        <v>0</v>
      </c>
      <c r="CK742" s="3070" t="s">
        <v>3892</v>
      </c>
      <c r="CL742" s="3070" t="s">
        <v>4056</v>
      </c>
      <c r="CM742" s="3070">
        <v>1205953.21</v>
      </c>
      <c r="CV742" s="3070" t="s">
        <v>3494</v>
      </c>
      <c r="CW742" s="3070" t="s">
        <v>9301</v>
      </c>
      <c r="CZ742" s="3070">
        <v>213894.57</v>
      </c>
      <c r="DA742" s="3070">
        <v>159426.93</v>
      </c>
      <c r="DB742" s="3070">
        <v>0</v>
      </c>
      <c r="DC742" s="3070">
        <v>0</v>
      </c>
      <c r="DD742" s="3070">
        <v>3290547602</v>
      </c>
      <c r="DE742" s="3070">
        <v>2764253109</v>
      </c>
      <c r="DF742" s="3070">
        <v>1464966739</v>
      </c>
      <c r="DG742" s="3070">
        <v>14938370</v>
      </c>
      <c r="DH742" s="3070">
        <v>1284348000</v>
      </c>
      <c r="DI742" s="3070">
        <v>1278128000</v>
      </c>
      <c r="DJ742" s="3070">
        <v>6220000</v>
      </c>
      <c r="DK742" s="3070">
        <v>0</v>
      </c>
      <c r="DL742" s="3070">
        <v>0</v>
      </c>
      <c r="DM742" s="3070">
        <v>25491817.620000001</v>
      </c>
      <c r="DN742" s="3070">
        <v>2764253109</v>
      </c>
      <c r="DP742" s="3070">
        <v>2764253109</v>
      </c>
    </row>
    <row r="743" spans="1:120">
      <c r="A743" s="3070">
        <v>742</v>
      </c>
      <c r="B743" s="3070" t="s">
        <v>3224</v>
      </c>
      <c r="C743" s="3070">
        <v>8</v>
      </c>
      <c r="D743" s="3070">
        <v>2</v>
      </c>
      <c r="E743" s="3070">
        <v>306</v>
      </c>
      <c r="F743" s="3070" t="s">
        <v>9302</v>
      </c>
      <c r="G743" s="3070" t="s">
        <v>9303</v>
      </c>
      <c r="H743" s="3070">
        <v>1130740</v>
      </c>
      <c r="I743" s="3070">
        <v>1130740</v>
      </c>
      <c r="J743" s="3070">
        <v>84.62</v>
      </c>
      <c r="K743" s="3070">
        <v>62.38</v>
      </c>
      <c r="L743" s="3070">
        <v>0</v>
      </c>
      <c r="M743" s="3070">
        <v>0</v>
      </c>
      <c r="N743" s="3070">
        <v>15733.44</v>
      </c>
      <c r="O743" s="3070">
        <v>1331364</v>
      </c>
      <c r="P743" s="3070">
        <v>13362.56</v>
      </c>
      <c r="Q743" s="3070">
        <v>1130740</v>
      </c>
      <c r="R743" s="3070" t="s">
        <v>3227</v>
      </c>
      <c r="S743" s="3070" t="s">
        <v>9304</v>
      </c>
      <c r="T743" s="3070" t="s">
        <v>3246</v>
      </c>
      <c r="U743" s="3070" t="s">
        <v>3259</v>
      </c>
      <c r="V743" s="3070" t="s">
        <v>3230</v>
      </c>
      <c r="Y743" s="3070">
        <v>340740</v>
      </c>
      <c r="Z743" s="3070">
        <v>113074</v>
      </c>
      <c r="AA743" s="3070">
        <v>340740</v>
      </c>
      <c r="AB743" s="3070">
        <v>0</v>
      </c>
      <c r="AC743" s="3070">
        <v>790000</v>
      </c>
      <c r="AD743" s="3070">
        <v>790000</v>
      </c>
      <c r="AE743" s="3070">
        <v>0</v>
      </c>
      <c r="AI743" s="3070" t="s">
        <v>3227</v>
      </c>
      <c r="AJ743" s="3070">
        <v>0</v>
      </c>
      <c r="AK743" s="3070">
        <v>0</v>
      </c>
      <c r="AL743" s="3070">
        <v>0</v>
      </c>
      <c r="AM743" s="3070">
        <v>13362.56</v>
      </c>
      <c r="AN743" s="3070">
        <v>1130740</v>
      </c>
      <c r="AP743" s="3070">
        <v>1130740</v>
      </c>
      <c r="AQ743" s="3072">
        <v>45230</v>
      </c>
      <c r="AT743" s="3073">
        <v>45770</v>
      </c>
      <c r="AV743" s="3074">
        <v>3.21E+17</v>
      </c>
      <c r="AW743" s="3070" t="s">
        <v>9305</v>
      </c>
      <c r="AX743" s="3070" t="s">
        <v>9306</v>
      </c>
      <c r="AY743" s="3070" t="s">
        <v>3607</v>
      </c>
      <c r="BA743" s="3070" t="s">
        <v>3607</v>
      </c>
      <c r="BC743" s="3070" t="s">
        <v>6480</v>
      </c>
      <c r="BD743" s="3070" t="s">
        <v>3076</v>
      </c>
      <c r="BI743" s="3070" t="s">
        <v>3235</v>
      </c>
      <c r="BL743" s="3070" t="s">
        <v>9307</v>
      </c>
      <c r="BM743" s="3075">
        <v>44410</v>
      </c>
      <c r="BN743" s="3070">
        <v>-30</v>
      </c>
      <c r="BO743" s="3070" t="s">
        <v>3253</v>
      </c>
      <c r="BR743" s="3070">
        <v>16</v>
      </c>
      <c r="BS743" s="3070" t="s">
        <v>3238</v>
      </c>
      <c r="BT743" s="3070" t="s">
        <v>3481</v>
      </c>
      <c r="BU743" s="3070" t="s">
        <v>3607</v>
      </c>
      <c r="BV743" s="3070" t="s">
        <v>9308</v>
      </c>
      <c r="BZ743" s="3073">
        <v>44179.754861111112</v>
      </c>
      <c r="CA743" s="3070">
        <v>8</v>
      </c>
      <c r="CB743" s="3070" t="s">
        <v>3481</v>
      </c>
      <c r="CD743" s="3070" t="s">
        <v>3239</v>
      </c>
      <c r="CF743" s="3070" t="s">
        <v>3091</v>
      </c>
      <c r="CH743" s="3070" t="s">
        <v>3240</v>
      </c>
      <c r="CI743" s="3070">
        <v>0</v>
      </c>
      <c r="CK743" s="3070" t="s">
        <v>3607</v>
      </c>
      <c r="CL743" s="3070" t="s">
        <v>3607</v>
      </c>
      <c r="CM743" s="3070">
        <v>1037376.14</v>
      </c>
      <c r="CV743" s="3070" t="s">
        <v>3246</v>
      </c>
      <c r="CW743" s="3070" t="s">
        <v>9309</v>
      </c>
      <c r="CX743" s="3070" t="s">
        <v>3510</v>
      </c>
      <c r="CZ743" s="3070">
        <v>213894.57</v>
      </c>
      <c r="DA743" s="3070">
        <v>159426.93</v>
      </c>
      <c r="DB743" s="3070">
        <v>0</v>
      </c>
      <c r="DC743" s="3070">
        <v>0</v>
      </c>
      <c r="DD743" s="3070">
        <v>3290547602</v>
      </c>
      <c r="DE743" s="3070">
        <v>2764253109</v>
      </c>
      <c r="DF743" s="3070">
        <v>1464966739</v>
      </c>
      <c r="DG743" s="3070">
        <v>14938370</v>
      </c>
      <c r="DH743" s="3070">
        <v>1284348000</v>
      </c>
      <c r="DI743" s="3070">
        <v>1278128000</v>
      </c>
      <c r="DJ743" s="3070">
        <v>6220000</v>
      </c>
      <c r="DK743" s="3070">
        <v>0</v>
      </c>
      <c r="DL743" s="3070">
        <v>0</v>
      </c>
      <c r="DM743" s="3070">
        <v>25491817.620000001</v>
      </c>
      <c r="DN743" s="3070">
        <v>2764253109</v>
      </c>
      <c r="DP743" s="3070">
        <v>2764253109</v>
      </c>
    </row>
    <row r="744" spans="1:120">
      <c r="A744" s="3070">
        <v>743</v>
      </c>
      <c r="B744" s="3070" t="s">
        <v>3224</v>
      </c>
      <c r="C744" s="3070">
        <v>8</v>
      </c>
      <c r="D744" s="3070">
        <v>2</v>
      </c>
      <c r="E744" s="3070">
        <v>307</v>
      </c>
      <c r="F744" s="3070" t="s">
        <v>9310</v>
      </c>
      <c r="G744" s="3070" t="s">
        <v>9311</v>
      </c>
      <c r="H744" s="3070">
        <v>1130740</v>
      </c>
      <c r="I744" s="3070">
        <v>1130740</v>
      </c>
      <c r="J744" s="3070">
        <v>84.62</v>
      </c>
      <c r="K744" s="3070">
        <v>62.38</v>
      </c>
      <c r="L744" s="3070">
        <v>0</v>
      </c>
      <c r="M744" s="3070">
        <v>0</v>
      </c>
      <c r="N744" s="3070">
        <v>15733.44</v>
      </c>
      <c r="O744" s="3070">
        <v>1331364</v>
      </c>
      <c r="P744" s="3070">
        <v>13362.56</v>
      </c>
      <c r="Q744" s="3070">
        <v>1130740</v>
      </c>
      <c r="R744" s="3070" t="s">
        <v>3227</v>
      </c>
      <c r="S744" s="3070" t="s">
        <v>9312</v>
      </c>
      <c r="T744" s="3070" t="s">
        <v>3494</v>
      </c>
      <c r="V744" s="3070" t="s">
        <v>3230</v>
      </c>
      <c r="Y744" s="3070">
        <v>113074</v>
      </c>
      <c r="Z744" s="3070">
        <v>113074</v>
      </c>
      <c r="AA744" s="3070">
        <v>1130740</v>
      </c>
      <c r="AB744" s="3070">
        <v>0</v>
      </c>
      <c r="AC744" s="3070">
        <v>0</v>
      </c>
      <c r="AD744" s="3070">
        <v>0</v>
      </c>
      <c r="AE744" s="3070">
        <v>0</v>
      </c>
      <c r="AI744" s="3070" t="s">
        <v>3227</v>
      </c>
      <c r="AJ744" s="3070">
        <v>0</v>
      </c>
      <c r="AK744" s="3070">
        <v>0</v>
      </c>
      <c r="AL744" s="3070">
        <v>0</v>
      </c>
      <c r="AM744" s="3070">
        <v>13362.56</v>
      </c>
      <c r="AN744" s="3070">
        <v>1130740</v>
      </c>
      <c r="AP744" s="3070">
        <v>1130740</v>
      </c>
      <c r="AQ744" s="3072">
        <v>45230</v>
      </c>
      <c r="AT744" s="3073">
        <v>45770</v>
      </c>
      <c r="AV744" s="3070" t="s">
        <v>9313</v>
      </c>
      <c r="AW744" s="3070" t="s">
        <v>9314</v>
      </c>
      <c r="AX744" s="3070" t="s">
        <v>9315</v>
      </c>
      <c r="AY744" s="3070" t="s">
        <v>4527</v>
      </c>
      <c r="BC744" s="3070" t="s">
        <v>4117</v>
      </c>
      <c r="BD744" s="3070" t="s">
        <v>3076</v>
      </c>
      <c r="BI744" s="3070" t="s">
        <v>3235</v>
      </c>
      <c r="BL744" s="3070" t="s">
        <v>9316</v>
      </c>
      <c r="BM744" s="3075">
        <v>44410</v>
      </c>
      <c r="BN744" s="3070">
        <v>-30</v>
      </c>
      <c r="BR744" s="3070">
        <v>16</v>
      </c>
      <c r="BS744" s="3070" t="s">
        <v>3238</v>
      </c>
      <c r="BV744" s="3070" t="s">
        <v>9317</v>
      </c>
      <c r="BZ744" s="3073">
        <v>44191.781944444447</v>
      </c>
      <c r="CA744" s="3070">
        <v>8</v>
      </c>
      <c r="CD744" s="3070" t="s">
        <v>3239</v>
      </c>
      <c r="CF744" s="3070" t="s">
        <v>3091</v>
      </c>
      <c r="CH744" s="3070" t="s">
        <v>3240</v>
      </c>
      <c r="CI744" s="3070">
        <v>0</v>
      </c>
      <c r="CK744" s="3070" t="s">
        <v>5264</v>
      </c>
      <c r="CL744" s="3070" t="s">
        <v>5264</v>
      </c>
      <c r="CM744" s="3070">
        <v>1037376.15</v>
      </c>
      <c r="CV744" s="3070" t="s">
        <v>3494</v>
      </c>
      <c r="CW744" s="3070" t="s">
        <v>9318</v>
      </c>
      <c r="CX744" s="3070" t="s">
        <v>3510</v>
      </c>
      <c r="CZ744" s="3070">
        <v>213894.57</v>
      </c>
      <c r="DA744" s="3070">
        <v>159426.93</v>
      </c>
      <c r="DB744" s="3070">
        <v>0</v>
      </c>
      <c r="DC744" s="3070">
        <v>0</v>
      </c>
      <c r="DD744" s="3070">
        <v>3290547602</v>
      </c>
      <c r="DE744" s="3070">
        <v>2764253109</v>
      </c>
      <c r="DF744" s="3070">
        <v>1464966739</v>
      </c>
      <c r="DG744" s="3070">
        <v>14938370</v>
      </c>
      <c r="DH744" s="3070">
        <v>1284348000</v>
      </c>
      <c r="DI744" s="3070">
        <v>1278128000</v>
      </c>
      <c r="DJ744" s="3070">
        <v>6220000</v>
      </c>
      <c r="DK744" s="3070">
        <v>0</v>
      </c>
      <c r="DL744" s="3070">
        <v>0</v>
      </c>
      <c r="DM744" s="3070">
        <v>25491817.620000001</v>
      </c>
      <c r="DN744" s="3070">
        <v>2764253109</v>
      </c>
      <c r="DP744" s="3070">
        <v>2764253109</v>
      </c>
    </row>
    <row r="745" spans="1:120">
      <c r="A745" s="3070">
        <v>744</v>
      </c>
      <c r="B745" s="3070" t="s">
        <v>3224</v>
      </c>
      <c r="C745" s="3070">
        <v>8</v>
      </c>
      <c r="D745" s="3070">
        <v>2</v>
      </c>
      <c r="E745" s="3070">
        <v>308</v>
      </c>
      <c r="F745" s="3070" t="s">
        <v>9319</v>
      </c>
      <c r="G745" s="3070" t="s">
        <v>9320</v>
      </c>
      <c r="H745" s="3070">
        <v>1439578</v>
      </c>
      <c r="I745" s="3070">
        <v>1439578</v>
      </c>
      <c r="J745" s="3070">
        <v>120.15</v>
      </c>
      <c r="K745" s="3070">
        <v>88.57</v>
      </c>
      <c r="L745" s="3070">
        <v>0</v>
      </c>
      <c r="M745" s="3070">
        <v>0</v>
      </c>
      <c r="N745" s="3070">
        <v>15344.44</v>
      </c>
      <c r="O745" s="3070">
        <v>1843634</v>
      </c>
      <c r="P745" s="3070">
        <v>11981.51</v>
      </c>
      <c r="Q745" s="3070">
        <v>1439578</v>
      </c>
      <c r="R745" s="3070" t="s">
        <v>3227</v>
      </c>
      <c r="S745" s="3070" t="s">
        <v>9321</v>
      </c>
      <c r="T745" s="3070" t="s">
        <v>3991</v>
      </c>
      <c r="V745" s="3070" t="s">
        <v>3230</v>
      </c>
      <c r="Y745" s="3070">
        <v>431873</v>
      </c>
      <c r="Z745" s="3070">
        <v>431873</v>
      </c>
      <c r="AA745" s="3070">
        <v>1439578</v>
      </c>
      <c r="AB745" s="3070">
        <v>0</v>
      </c>
      <c r="AC745" s="3070">
        <v>0</v>
      </c>
      <c r="AD745" s="3070">
        <v>0</v>
      </c>
      <c r="AE745" s="3070">
        <v>0</v>
      </c>
      <c r="AI745" s="3070" t="s">
        <v>3227</v>
      </c>
      <c r="AJ745" s="3070">
        <v>0</v>
      </c>
      <c r="AK745" s="3070">
        <v>0</v>
      </c>
      <c r="AL745" s="3070">
        <v>0</v>
      </c>
      <c r="AM745" s="3070">
        <v>11981.51</v>
      </c>
      <c r="AN745" s="3070">
        <v>1439578</v>
      </c>
      <c r="AP745" s="3070">
        <v>1439578</v>
      </c>
      <c r="AQ745" s="3072">
        <v>45230</v>
      </c>
      <c r="AT745" s="3073">
        <v>45770</v>
      </c>
      <c r="AV745" s="3074">
        <v>3.21E+17</v>
      </c>
      <c r="AW745" s="3070" t="s">
        <v>9322</v>
      </c>
      <c r="AX745" s="3070" t="s">
        <v>9323</v>
      </c>
      <c r="AY745" s="3070" t="s">
        <v>4019</v>
      </c>
      <c r="BA745" s="3070" t="s">
        <v>4019</v>
      </c>
      <c r="BC745" s="3070" t="s">
        <v>4145</v>
      </c>
      <c r="BD745" s="3070" t="s">
        <v>3075</v>
      </c>
      <c r="BI745" s="3070" t="s">
        <v>3235</v>
      </c>
      <c r="BJ745" s="3070" t="s">
        <v>3236</v>
      </c>
      <c r="BL745" s="3070" t="s">
        <v>9324</v>
      </c>
      <c r="BM745" s="3075">
        <v>44410</v>
      </c>
      <c r="BN745" s="3070">
        <v>-30</v>
      </c>
      <c r="BR745" s="3070">
        <v>0</v>
      </c>
      <c r="BS745" s="3070" t="s">
        <v>3238</v>
      </c>
      <c r="BU745" s="3070" t="s">
        <v>4019</v>
      </c>
      <c r="BZ745" s="3073">
        <v>44227.981944444444</v>
      </c>
      <c r="CA745" s="3070">
        <v>8</v>
      </c>
      <c r="CD745" s="3070" t="s">
        <v>3239</v>
      </c>
      <c r="CF745" s="3070" t="s">
        <v>3091</v>
      </c>
      <c r="CH745" s="3070" t="s">
        <v>3240</v>
      </c>
      <c r="CI745" s="3070">
        <v>0</v>
      </c>
      <c r="CK745" s="3070" t="s">
        <v>4019</v>
      </c>
      <c r="CL745" s="3070" t="s">
        <v>4019</v>
      </c>
      <c r="CM745" s="3070">
        <v>1320713.76</v>
      </c>
      <c r="CV745" s="3070" t="s">
        <v>3494</v>
      </c>
      <c r="CW745" s="3070" t="s">
        <v>9325</v>
      </c>
      <c r="CZ745" s="3070">
        <v>213894.57</v>
      </c>
      <c r="DA745" s="3070">
        <v>159426.93</v>
      </c>
      <c r="DB745" s="3070">
        <v>0</v>
      </c>
      <c r="DC745" s="3070">
        <v>0</v>
      </c>
      <c r="DD745" s="3070">
        <v>3290547602</v>
      </c>
      <c r="DE745" s="3070">
        <v>2764253109</v>
      </c>
      <c r="DF745" s="3070">
        <v>1464966739</v>
      </c>
      <c r="DG745" s="3070">
        <v>14938370</v>
      </c>
      <c r="DH745" s="3070">
        <v>1284348000</v>
      </c>
      <c r="DI745" s="3070">
        <v>1278128000</v>
      </c>
      <c r="DJ745" s="3070">
        <v>6220000</v>
      </c>
      <c r="DK745" s="3070">
        <v>0</v>
      </c>
      <c r="DL745" s="3070">
        <v>0</v>
      </c>
      <c r="DM745" s="3070">
        <v>25491817.620000001</v>
      </c>
      <c r="DN745" s="3070">
        <v>2764253109</v>
      </c>
      <c r="DP745" s="3070">
        <v>2764253109</v>
      </c>
    </row>
    <row r="746" spans="1:120">
      <c r="A746" s="3070">
        <v>745</v>
      </c>
      <c r="B746" s="3070" t="s">
        <v>3224</v>
      </c>
      <c r="C746" s="3070">
        <v>8</v>
      </c>
      <c r="D746" s="3070">
        <v>1</v>
      </c>
      <c r="E746" s="3070">
        <v>401</v>
      </c>
      <c r="F746" s="3070" t="s">
        <v>9326</v>
      </c>
      <c r="G746" s="3070" t="s">
        <v>9327</v>
      </c>
      <c r="H746" s="3070">
        <v>1521463</v>
      </c>
      <c r="I746" s="3070">
        <v>1521463</v>
      </c>
      <c r="J746" s="3070">
        <v>120.15</v>
      </c>
      <c r="K746" s="3070">
        <v>88.57</v>
      </c>
      <c r="L746" s="3070">
        <v>0</v>
      </c>
      <c r="M746" s="3070">
        <v>0</v>
      </c>
      <c r="N746" s="3070">
        <v>15444.44</v>
      </c>
      <c r="O746" s="3070">
        <v>1855649</v>
      </c>
      <c r="P746" s="3070">
        <v>12663.03</v>
      </c>
      <c r="Q746" s="3070">
        <v>1521463</v>
      </c>
      <c r="R746" s="3070" t="s">
        <v>3227</v>
      </c>
      <c r="S746" s="3070" t="s">
        <v>9328</v>
      </c>
      <c r="T746" s="3070" t="s">
        <v>3494</v>
      </c>
      <c r="V746" s="3070" t="s">
        <v>3230</v>
      </c>
      <c r="Y746" s="3070">
        <v>152146</v>
      </c>
      <c r="Z746" s="3070">
        <v>152146</v>
      </c>
      <c r="AA746" s="3070">
        <v>1521463</v>
      </c>
      <c r="AB746" s="3070">
        <v>0</v>
      </c>
      <c r="AC746" s="3070">
        <v>0</v>
      </c>
      <c r="AD746" s="3070">
        <v>0</v>
      </c>
      <c r="AE746" s="3070">
        <v>0</v>
      </c>
      <c r="AI746" s="3070" t="s">
        <v>3227</v>
      </c>
      <c r="AJ746" s="3070">
        <v>0</v>
      </c>
      <c r="AK746" s="3070">
        <v>0</v>
      </c>
      <c r="AL746" s="3070">
        <v>0</v>
      </c>
      <c r="AM746" s="3070">
        <v>12663.03</v>
      </c>
      <c r="AN746" s="3070">
        <v>1521463</v>
      </c>
      <c r="AP746" s="3070">
        <v>1521463</v>
      </c>
      <c r="AQ746" s="3072">
        <v>45230</v>
      </c>
      <c r="AT746" s="3073">
        <v>45770</v>
      </c>
      <c r="AV746" s="3070" t="s">
        <v>9329</v>
      </c>
      <c r="AW746" s="3070" t="s">
        <v>9330</v>
      </c>
      <c r="AX746" s="3070" t="s">
        <v>9331</v>
      </c>
      <c r="AY746" s="3070" t="s">
        <v>4065</v>
      </c>
      <c r="BC746" s="3070" t="s">
        <v>9092</v>
      </c>
      <c r="BD746" s="3070" t="s">
        <v>3075</v>
      </c>
      <c r="BI746" s="3070" t="s">
        <v>3235</v>
      </c>
      <c r="BL746" s="3070" t="s">
        <v>9332</v>
      </c>
      <c r="BM746" s="3075">
        <v>44409</v>
      </c>
      <c r="BN746" s="3070">
        <v>-40</v>
      </c>
      <c r="BR746" s="3070">
        <v>16</v>
      </c>
      <c r="BS746" s="3070" t="s">
        <v>3238</v>
      </c>
      <c r="BV746" s="3070" t="s">
        <v>9333</v>
      </c>
      <c r="BZ746" s="3073">
        <v>44196.652777777781</v>
      </c>
      <c r="CA746" s="3070">
        <v>8</v>
      </c>
      <c r="CD746" s="3070" t="s">
        <v>3239</v>
      </c>
      <c r="CF746" s="3070" t="s">
        <v>3091</v>
      </c>
      <c r="CH746" s="3070" t="s">
        <v>3240</v>
      </c>
      <c r="CI746" s="3070">
        <v>0</v>
      </c>
      <c r="CK746" s="3070" t="s">
        <v>4242</v>
      </c>
      <c r="CL746" s="3070" t="s">
        <v>4065</v>
      </c>
      <c r="CM746" s="3070">
        <v>1395837.61</v>
      </c>
      <c r="CV746" s="3070" t="s">
        <v>3494</v>
      </c>
      <c r="CW746" s="3070" t="s">
        <v>9334</v>
      </c>
      <c r="CZ746" s="3070">
        <v>213894.57</v>
      </c>
      <c r="DA746" s="3070">
        <v>159426.93</v>
      </c>
      <c r="DB746" s="3070">
        <v>0</v>
      </c>
      <c r="DC746" s="3070">
        <v>0</v>
      </c>
      <c r="DD746" s="3070">
        <v>3290547602</v>
      </c>
      <c r="DE746" s="3070">
        <v>2764253109</v>
      </c>
      <c r="DF746" s="3070">
        <v>1464966739</v>
      </c>
      <c r="DG746" s="3070">
        <v>14938370</v>
      </c>
      <c r="DH746" s="3070">
        <v>1284348000</v>
      </c>
      <c r="DI746" s="3070">
        <v>1278128000</v>
      </c>
      <c r="DJ746" s="3070">
        <v>6220000</v>
      </c>
      <c r="DK746" s="3070">
        <v>0</v>
      </c>
      <c r="DL746" s="3070">
        <v>0</v>
      </c>
      <c r="DM746" s="3070">
        <v>25491817.620000001</v>
      </c>
      <c r="DN746" s="3070">
        <v>2764253109</v>
      </c>
      <c r="DP746" s="3070">
        <v>2764253109</v>
      </c>
    </row>
    <row r="747" spans="1:120">
      <c r="A747" s="3070">
        <v>746</v>
      </c>
      <c r="B747" s="3070" t="s">
        <v>3224</v>
      </c>
      <c r="C747" s="3070">
        <v>8</v>
      </c>
      <c r="D747" s="3070">
        <v>1</v>
      </c>
      <c r="E747" s="3070">
        <v>402</v>
      </c>
      <c r="F747" s="3070" t="s">
        <v>9335</v>
      </c>
      <c r="G747" s="3070" t="s">
        <v>9336</v>
      </c>
      <c r="H747" s="3070">
        <v>1052551</v>
      </c>
      <c r="I747" s="3070">
        <v>1052551</v>
      </c>
      <c r="J747" s="3070">
        <v>84.62</v>
      </c>
      <c r="K747" s="3070">
        <v>62.38</v>
      </c>
      <c r="L747" s="3070">
        <v>0</v>
      </c>
      <c r="M747" s="3070">
        <v>0</v>
      </c>
      <c r="N747" s="3070">
        <v>15633.44</v>
      </c>
      <c r="O747" s="3070">
        <v>1322902</v>
      </c>
      <c r="P747" s="3070">
        <v>12438.56</v>
      </c>
      <c r="Q747" s="3070">
        <v>1052551</v>
      </c>
      <c r="R747" s="3070" t="s">
        <v>3227</v>
      </c>
      <c r="S747" s="3070" t="s">
        <v>9337</v>
      </c>
      <c r="T747" s="3070" t="s">
        <v>3246</v>
      </c>
      <c r="U747" s="3070" t="s">
        <v>3247</v>
      </c>
      <c r="V747" s="3070" t="s">
        <v>3230</v>
      </c>
      <c r="Y747" s="3070">
        <v>322551</v>
      </c>
      <c r="Z747" s="3070">
        <v>322551</v>
      </c>
      <c r="AA747" s="3070">
        <v>322551</v>
      </c>
      <c r="AB747" s="3070">
        <v>0</v>
      </c>
      <c r="AC747" s="3070">
        <v>730000</v>
      </c>
      <c r="AD747" s="3070">
        <v>730000</v>
      </c>
      <c r="AE747" s="3070">
        <v>0</v>
      </c>
      <c r="AI747" s="3070" t="s">
        <v>3227</v>
      </c>
      <c r="AJ747" s="3070">
        <v>0</v>
      </c>
      <c r="AK747" s="3070">
        <v>0</v>
      </c>
      <c r="AL747" s="3070">
        <v>0</v>
      </c>
      <c r="AM747" s="3070">
        <v>12438.56</v>
      </c>
      <c r="AN747" s="3070">
        <v>1052551</v>
      </c>
      <c r="AP747" s="3070">
        <v>1052551</v>
      </c>
      <c r="AQ747" s="3072">
        <v>45230</v>
      </c>
      <c r="AT747" s="3073">
        <v>45770</v>
      </c>
      <c r="AV747" s="3070" t="s">
        <v>9338</v>
      </c>
      <c r="AW747" s="3070" t="s">
        <v>9339</v>
      </c>
      <c r="AX747" s="3070" t="s">
        <v>9340</v>
      </c>
      <c r="AY747" s="3070" t="s">
        <v>3262</v>
      </c>
      <c r="BC747" s="3070" t="s">
        <v>3507</v>
      </c>
      <c r="BD747" s="3070" t="s">
        <v>3076</v>
      </c>
      <c r="BI747" s="3070" t="s">
        <v>3235</v>
      </c>
      <c r="BL747" s="3070" t="s">
        <v>9341</v>
      </c>
      <c r="BM747" s="3075">
        <v>44409</v>
      </c>
      <c r="BN747" s="3070">
        <v>-40</v>
      </c>
      <c r="BO747" s="3070" t="s">
        <v>3253</v>
      </c>
      <c r="BR747" s="3070">
        <v>893</v>
      </c>
      <c r="BS747" s="3070" t="s">
        <v>3238</v>
      </c>
      <c r="BZ747" s="3073">
        <v>44143.67291666667</v>
      </c>
      <c r="CA747" s="3070">
        <v>8</v>
      </c>
      <c r="CD747" s="3070" t="s">
        <v>3239</v>
      </c>
      <c r="CF747" s="3070" t="s">
        <v>3091</v>
      </c>
      <c r="CH747" s="3070" t="s">
        <v>3240</v>
      </c>
      <c r="CI747" s="3070">
        <v>0</v>
      </c>
      <c r="CK747" s="3070" t="s">
        <v>3262</v>
      </c>
      <c r="CL747" s="3070" t="s">
        <v>3262</v>
      </c>
      <c r="CM747" s="3070">
        <v>965643.12</v>
      </c>
      <c r="CV747" s="3070" t="s">
        <v>3246</v>
      </c>
      <c r="CW747" s="3070" t="s">
        <v>9342</v>
      </c>
      <c r="CX747" s="3070" t="s">
        <v>3510</v>
      </c>
      <c r="CZ747" s="3070">
        <v>213894.57</v>
      </c>
      <c r="DA747" s="3070">
        <v>159426.93</v>
      </c>
      <c r="DB747" s="3070">
        <v>0</v>
      </c>
      <c r="DC747" s="3070">
        <v>0</v>
      </c>
      <c r="DD747" s="3070">
        <v>3290547602</v>
      </c>
      <c r="DE747" s="3070">
        <v>2764253109</v>
      </c>
      <c r="DF747" s="3070">
        <v>1464966739</v>
      </c>
      <c r="DG747" s="3070">
        <v>14938370</v>
      </c>
      <c r="DH747" s="3070">
        <v>1284348000</v>
      </c>
      <c r="DI747" s="3070">
        <v>1278128000</v>
      </c>
      <c r="DJ747" s="3070">
        <v>6220000</v>
      </c>
      <c r="DK747" s="3070">
        <v>0</v>
      </c>
      <c r="DL747" s="3070">
        <v>0</v>
      </c>
      <c r="DM747" s="3070">
        <v>25491817.620000001</v>
      </c>
      <c r="DN747" s="3070">
        <v>2764253109</v>
      </c>
      <c r="DP747" s="3070">
        <v>2764253109</v>
      </c>
    </row>
    <row r="748" spans="1:120">
      <c r="A748" s="3070">
        <v>747</v>
      </c>
      <c r="B748" s="3070" t="s">
        <v>3224</v>
      </c>
      <c r="C748" s="3070">
        <v>8</v>
      </c>
      <c r="D748" s="3070">
        <v>1</v>
      </c>
      <c r="E748" s="3070">
        <v>403</v>
      </c>
      <c r="F748" s="3070" t="s">
        <v>9343</v>
      </c>
      <c r="G748" s="3070" t="s">
        <v>9344</v>
      </c>
      <c r="H748" s="3070">
        <v>1122942</v>
      </c>
      <c r="I748" s="3070">
        <v>1122942</v>
      </c>
      <c r="J748" s="3070">
        <v>84.62</v>
      </c>
      <c r="K748" s="3070">
        <v>62.38</v>
      </c>
      <c r="L748" s="3070">
        <v>0</v>
      </c>
      <c r="M748" s="3070">
        <v>0</v>
      </c>
      <c r="N748" s="3070">
        <v>15633.44</v>
      </c>
      <c r="O748" s="3070">
        <v>1322902</v>
      </c>
      <c r="P748" s="3070">
        <v>13270.41</v>
      </c>
      <c r="Q748" s="3070">
        <v>1122942</v>
      </c>
      <c r="R748" s="3070" t="s">
        <v>3227</v>
      </c>
      <c r="S748" s="3070" t="s">
        <v>9345</v>
      </c>
      <c r="T748" s="3070" t="s">
        <v>3494</v>
      </c>
      <c r="V748" s="3070" t="s">
        <v>3230</v>
      </c>
      <c r="Y748" s="3070">
        <v>112294</v>
      </c>
      <c r="Z748" s="3070">
        <v>112294</v>
      </c>
      <c r="AA748" s="3070">
        <v>1122942</v>
      </c>
      <c r="AB748" s="3070">
        <v>0</v>
      </c>
      <c r="AC748" s="3070">
        <v>0</v>
      </c>
      <c r="AD748" s="3070">
        <v>0</v>
      </c>
      <c r="AE748" s="3070">
        <v>0</v>
      </c>
      <c r="AI748" s="3070" t="s">
        <v>3227</v>
      </c>
      <c r="AJ748" s="3070">
        <v>0</v>
      </c>
      <c r="AK748" s="3070">
        <v>0</v>
      </c>
      <c r="AL748" s="3070">
        <v>0</v>
      </c>
      <c r="AM748" s="3070">
        <v>13270.41</v>
      </c>
      <c r="AN748" s="3070">
        <v>1122942</v>
      </c>
      <c r="AP748" s="3070">
        <v>1122942</v>
      </c>
      <c r="AQ748" s="3072">
        <v>45230</v>
      </c>
      <c r="AT748" s="3073">
        <v>45770</v>
      </c>
      <c r="AV748" s="3070" t="s">
        <v>9346</v>
      </c>
      <c r="AW748" s="3070" t="s">
        <v>9347</v>
      </c>
      <c r="AX748" s="3070" t="s">
        <v>9348</v>
      </c>
      <c r="AY748" s="3070" t="s">
        <v>4618</v>
      </c>
      <c r="BC748" s="3070" t="s">
        <v>4117</v>
      </c>
      <c r="BD748" s="3070" t="s">
        <v>3076</v>
      </c>
      <c r="BI748" s="3070" t="s">
        <v>3235</v>
      </c>
      <c r="BL748" s="3070" t="s">
        <v>9349</v>
      </c>
      <c r="BM748" s="3075">
        <v>44409</v>
      </c>
      <c r="BN748" s="3070">
        <v>-40</v>
      </c>
      <c r="BR748" s="3070">
        <v>24</v>
      </c>
      <c r="BS748" s="3070" t="s">
        <v>3238</v>
      </c>
      <c r="BV748" s="3070" t="s">
        <v>9350</v>
      </c>
      <c r="BZ748" s="3073">
        <v>44192.843055555553</v>
      </c>
      <c r="CA748" s="3070">
        <v>8</v>
      </c>
      <c r="CD748" s="3070" t="s">
        <v>3239</v>
      </c>
      <c r="CF748" s="3070" t="s">
        <v>3091</v>
      </c>
      <c r="CH748" s="3070" t="s">
        <v>3240</v>
      </c>
      <c r="CI748" s="3070">
        <v>0</v>
      </c>
      <c r="CK748" s="3070" t="s">
        <v>4618</v>
      </c>
      <c r="CL748" s="3070" t="s">
        <v>4618</v>
      </c>
      <c r="CM748" s="3070">
        <v>1030222.02</v>
      </c>
      <c r="CV748" s="3070" t="s">
        <v>3494</v>
      </c>
      <c r="CW748" s="3070" t="s">
        <v>9351</v>
      </c>
      <c r="CX748" s="3070" t="s">
        <v>3510</v>
      </c>
      <c r="CZ748" s="3070">
        <v>213894.57</v>
      </c>
      <c r="DA748" s="3070">
        <v>159426.93</v>
      </c>
      <c r="DB748" s="3070">
        <v>0</v>
      </c>
      <c r="DC748" s="3070">
        <v>0</v>
      </c>
      <c r="DD748" s="3070">
        <v>3290547602</v>
      </c>
      <c r="DE748" s="3070">
        <v>2764253109</v>
      </c>
      <c r="DF748" s="3070">
        <v>1464966739</v>
      </c>
      <c r="DG748" s="3070">
        <v>14938370</v>
      </c>
      <c r="DH748" s="3070">
        <v>1284348000</v>
      </c>
      <c r="DI748" s="3070">
        <v>1278128000</v>
      </c>
      <c r="DJ748" s="3070">
        <v>6220000</v>
      </c>
      <c r="DK748" s="3070">
        <v>0</v>
      </c>
      <c r="DL748" s="3070">
        <v>0</v>
      </c>
      <c r="DM748" s="3070">
        <v>25491817.620000001</v>
      </c>
      <c r="DN748" s="3070">
        <v>2764253109</v>
      </c>
      <c r="DP748" s="3070">
        <v>2764253109</v>
      </c>
    </row>
    <row r="749" spans="1:120">
      <c r="A749" s="3070">
        <v>748</v>
      </c>
      <c r="B749" s="3070" t="s">
        <v>3224</v>
      </c>
      <c r="C749" s="3070">
        <v>8</v>
      </c>
      <c r="D749" s="3070">
        <v>1</v>
      </c>
      <c r="E749" s="3070">
        <v>404</v>
      </c>
      <c r="F749" s="3070" t="s">
        <v>9352</v>
      </c>
      <c r="G749" s="3070" t="s">
        <v>9353</v>
      </c>
      <c r="H749" s="3070">
        <v>1439737</v>
      </c>
      <c r="I749" s="3070">
        <v>1439737</v>
      </c>
      <c r="J749" s="3070">
        <v>108.82</v>
      </c>
      <c r="K749" s="3070">
        <v>80.22</v>
      </c>
      <c r="L749" s="3070">
        <v>0</v>
      </c>
      <c r="M749" s="3070">
        <v>0</v>
      </c>
      <c r="N749" s="3070">
        <v>15534.44</v>
      </c>
      <c r="O749" s="3070">
        <v>1690458</v>
      </c>
      <c r="P749" s="3070">
        <v>13230.44</v>
      </c>
      <c r="Q749" s="3070">
        <v>1439737</v>
      </c>
      <c r="R749" s="3070" t="s">
        <v>3227</v>
      </c>
      <c r="S749" s="3070" t="s">
        <v>9354</v>
      </c>
      <c r="T749" s="3070" t="s">
        <v>3246</v>
      </c>
      <c r="U749" s="3070" t="s">
        <v>3247</v>
      </c>
      <c r="V749" s="3070" t="s">
        <v>3230</v>
      </c>
      <c r="Y749" s="3070">
        <v>439737</v>
      </c>
      <c r="Z749" s="3070">
        <v>143974</v>
      </c>
      <c r="AA749" s="3070">
        <v>439737</v>
      </c>
      <c r="AB749" s="3070">
        <v>0</v>
      </c>
      <c r="AC749" s="3070">
        <v>1000000</v>
      </c>
      <c r="AD749" s="3070">
        <v>1000000</v>
      </c>
      <c r="AE749" s="3070">
        <v>0</v>
      </c>
      <c r="AI749" s="3070" t="s">
        <v>3227</v>
      </c>
      <c r="AJ749" s="3070">
        <v>0</v>
      </c>
      <c r="AK749" s="3070">
        <v>0</v>
      </c>
      <c r="AL749" s="3070">
        <v>0</v>
      </c>
      <c r="AM749" s="3070">
        <v>13230.44</v>
      </c>
      <c r="AN749" s="3070">
        <v>1439737</v>
      </c>
      <c r="AP749" s="3070">
        <v>1439737</v>
      </c>
      <c r="AQ749" s="3072">
        <v>45230</v>
      </c>
      <c r="AT749" s="3073">
        <v>45770</v>
      </c>
      <c r="AV749" s="3074">
        <v>3.42E+17</v>
      </c>
      <c r="AW749" s="3070" t="s">
        <v>9355</v>
      </c>
      <c r="AX749" s="3070" t="s">
        <v>9356</v>
      </c>
      <c r="AY749" s="3070" t="s">
        <v>3346</v>
      </c>
      <c r="BC749" s="3070" t="s">
        <v>9357</v>
      </c>
      <c r="BD749" s="3070" t="s">
        <v>3077</v>
      </c>
      <c r="BI749" s="3070" t="s">
        <v>3235</v>
      </c>
      <c r="BL749" s="3070" t="s">
        <v>9358</v>
      </c>
      <c r="BM749" s="3075">
        <v>44409</v>
      </c>
      <c r="BN749" s="3070">
        <v>-40</v>
      </c>
      <c r="BO749" s="3070" t="s">
        <v>3253</v>
      </c>
      <c r="BR749" s="3070">
        <v>20</v>
      </c>
      <c r="BS749" s="3070" t="s">
        <v>3238</v>
      </c>
      <c r="BT749" s="3070" t="s">
        <v>3404</v>
      </c>
      <c r="BV749" s="3070" t="s">
        <v>9359</v>
      </c>
      <c r="BW749" s="3070" t="s">
        <v>9360</v>
      </c>
      <c r="BZ749" s="3073">
        <v>44190.774305555555</v>
      </c>
      <c r="CA749" s="3070">
        <v>8</v>
      </c>
      <c r="CB749" s="3070" t="s">
        <v>3404</v>
      </c>
      <c r="CD749" s="3070" t="s">
        <v>3239</v>
      </c>
      <c r="CF749" s="3070" t="s">
        <v>3091</v>
      </c>
      <c r="CH749" s="3070" t="s">
        <v>3240</v>
      </c>
      <c r="CI749" s="3070">
        <v>0</v>
      </c>
      <c r="CK749" s="3070" t="s">
        <v>3346</v>
      </c>
      <c r="CL749" s="3070" t="s">
        <v>3346</v>
      </c>
      <c r="CM749" s="3070">
        <v>1320859.6299999999</v>
      </c>
      <c r="CV749" s="3070" t="s">
        <v>3246</v>
      </c>
      <c r="CW749" s="3070" t="s">
        <v>9361</v>
      </c>
      <c r="CZ749" s="3070">
        <v>213894.57</v>
      </c>
      <c r="DA749" s="3070">
        <v>159426.93</v>
      </c>
      <c r="DB749" s="3070">
        <v>0</v>
      </c>
      <c r="DC749" s="3070">
        <v>0</v>
      </c>
      <c r="DD749" s="3070">
        <v>3290547602</v>
      </c>
      <c r="DE749" s="3070">
        <v>2764253109</v>
      </c>
      <c r="DF749" s="3070">
        <v>1464966739</v>
      </c>
      <c r="DG749" s="3070">
        <v>14938370</v>
      </c>
      <c r="DH749" s="3070">
        <v>1284348000</v>
      </c>
      <c r="DI749" s="3070">
        <v>1278128000</v>
      </c>
      <c r="DJ749" s="3070">
        <v>6220000</v>
      </c>
      <c r="DK749" s="3070">
        <v>0</v>
      </c>
      <c r="DL749" s="3070">
        <v>0</v>
      </c>
      <c r="DM749" s="3070">
        <v>25491817.620000001</v>
      </c>
      <c r="DN749" s="3070">
        <v>2764253109</v>
      </c>
      <c r="DP749" s="3070">
        <v>2764253109</v>
      </c>
    </row>
    <row r="750" spans="1:120">
      <c r="A750" s="3070">
        <v>749</v>
      </c>
      <c r="B750" s="3070" t="s">
        <v>3224</v>
      </c>
      <c r="C750" s="3070">
        <v>8</v>
      </c>
      <c r="D750" s="3070">
        <v>2</v>
      </c>
      <c r="E750" s="3070">
        <v>405</v>
      </c>
      <c r="F750" s="3070" t="s">
        <v>9362</v>
      </c>
      <c r="G750" s="3070" t="s">
        <v>9363</v>
      </c>
      <c r="H750" s="3070">
        <v>1442737</v>
      </c>
      <c r="I750" s="3070">
        <v>1442737</v>
      </c>
      <c r="J750" s="3070">
        <v>108.82</v>
      </c>
      <c r="K750" s="3070">
        <v>80.22</v>
      </c>
      <c r="L750" s="3070">
        <v>0</v>
      </c>
      <c r="M750" s="3070">
        <v>0</v>
      </c>
      <c r="N750" s="3070">
        <v>15534.44</v>
      </c>
      <c r="O750" s="3070">
        <v>1690458</v>
      </c>
      <c r="P750" s="3070">
        <v>13258.01</v>
      </c>
      <c r="Q750" s="3070">
        <v>1442737</v>
      </c>
      <c r="R750" s="3070" t="s">
        <v>3227</v>
      </c>
      <c r="S750" s="3070" t="s">
        <v>9364</v>
      </c>
      <c r="T750" s="3070" t="s">
        <v>3258</v>
      </c>
      <c r="U750" s="3070" t="s">
        <v>3259</v>
      </c>
      <c r="V750" s="3070" t="s">
        <v>3230</v>
      </c>
      <c r="Y750" s="3070">
        <v>442737</v>
      </c>
      <c r="Z750" s="3070">
        <v>442737</v>
      </c>
      <c r="AA750" s="3070">
        <v>442737</v>
      </c>
      <c r="AB750" s="3070">
        <v>0</v>
      </c>
      <c r="AC750" s="3070">
        <v>1000000</v>
      </c>
      <c r="AD750" s="3070">
        <v>1000000</v>
      </c>
      <c r="AE750" s="3070">
        <v>0</v>
      </c>
      <c r="AI750" s="3070" t="s">
        <v>3227</v>
      </c>
      <c r="AJ750" s="3070">
        <v>0</v>
      </c>
      <c r="AK750" s="3070">
        <v>0</v>
      </c>
      <c r="AL750" s="3070">
        <v>0</v>
      </c>
      <c r="AM750" s="3070">
        <v>13258.01</v>
      </c>
      <c r="AN750" s="3070">
        <v>1442737</v>
      </c>
      <c r="AP750" s="3070">
        <v>1442737</v>
      </c>
      <c r="AQ750" s="3072">
        <v>45230</v>
      </c>
      <c r="AT750" s="3073">
        <v>45770</v>
      </c>
      <c r="AV750" s="3070" t="s">
        <v>9365</v>
      </c>
      <c r="AW750" s="3070" t="s">
        <v>9366</v>
      </c>
      <c r="AX750" s="3070" t="s">
        <v>9367</v>
      </c>
      <c r="AY750" s="3070" t="s">
        <v>4065</v>
      </c>
      <c r="BC750" s="3070" t="s">
        <v>3982</v>
      </c>
      <c r="BD750" s="3070" t="s">
        <v>3077</v>
      </c>
      <c r="BI750" s="3070" t="s">
        <v>3235</v>
      </c>
      <c r="BL750" s="3070" t="s">
        <v>9368</v>
      </c>
      <c r="BM750" s="3075">
        <v>44410</v>
      </c>
      <c r="BN750" s="3070">
        <v>-40</v>
      </c>
      <c r="BO750" s="3070" t="s">
        <v>3253</v>
      </c>
      <c r="BP750" s="3070" t="s">
        <v>3253</v>
      </c>
      <c r="BR750" s="3070">
        <v>26</v>
      </c>
      <c r="BS750" s="3070" t="s">
        <v>3238</v>
      </c>
      <c r="BV750" s="3070" t="s">
        <v>9369</v>
      </c>
      <c r="BZ750" s="3073">
        <v>44191.452777777777</v>
      </c>
      <c r="CA750" s="3070">
        <v>8</v>
      </c>
      <c r="CD750" s="3070" t="s">
        <v>3239</v>
      </c>
      <c r="CF750" s="3070" t="s">
        <v>3091</v>
      </c>
      <c r="CH750" s="3070" t="s">
        <v>3240</v>
      </c>
      <c r="CI750" s="3070">
        <v>0</v>
      </c>
      <c r="CJ750" s="3070" t="s">
        <v>3259</v>
      </c>
      <c r="CK750" s="3070" t="s">
        <v>4242</v>
      </c>
      <c r="CL750" s="3070" t="s">
        <v>4065</v>
      </c>
      <c r="CM750" s="3070">
        <v>1323611.92</v>
      </c>
      <c r="CV750" s="3070" t="s">
        <v>3258</v>
      </c>
      <c r="CW750" s="3070" t="s">
        <v>9370</v>
      </c>
      <c r="CZ750" s="3070">
        <v>213894.57</v>
      </c>
      <c r="DA750" s="3070">
        <v>159426.93</v>
      </c>
      <c r="DB750" s="3070">
        <v>0</v>
      </c>
      <c r="DC750" s="3070">
        <v>0</v>
      </c>
      <c r="DD750" s="3070">
        <v>3290547602</v>
      </c>
      <c r="DE750" s="3070">
        <v>2764253109</v>
      </c>
      <c r="DF750" s="3070">
        <v>1464966739</v>
      </c>
      <c r="DG750" s="3070">
        <v>14938370</v>
      </c>
      <c r="DH750" s="3070">
        <v>1284348000</v>
      </c>
      <c r="DI750" s="3070">
        <v>1278128000</v>
      </c>
      <c r="DJ750" s="3070">
        <v>6220000</v>
      </c>
      <c r="DK750" s="3070">
        <v>0</v>
      </c>
      <c r="DL750" s="3070">
        <v>0</v>
      </c>
      <c r="DM750" s="3070">
        <v>25491817.620000001</v>
      </c>
      <c r="DN750" s="3070">
        <v>2764253109</v>
      </c>
      <c r="DP750" s="3070">
        <v>2764253109</v>
      </c>
    </row>
    <row r="751" spans="1:120">
      <c r="A751" s="3070">
        <v>750</v>
      </c>
      <c r="B751" s="3070" t="s">
        <v>3224</v>
      </c>
      <c r="C751" s="3070">
        <v>8</v>
      </c>
      <c r="D751" s="3070">
        <v>2</v>
      </c>
      <c r="E751" s="3070">
        <v>406</v>
      </c>
      <c r="F751" s="3070" t="s">
        <v>9371</v>
      </c>
      <c r="G751" s="3070" t="s">
        <v>9372</v>
      </c>
      <c r="H751" s="3070">
        <v>1074032</v>
      </c>
      <c r="I751" s="3070">
        <v>1074032</v>
      </c>
      <c r="J751" s="3070">
        <v>84.62</v>
      </c>
      <c r="K751" s="3070">
        <v>62.38</v>
      </c>
      <c r="L751" s="3070">
        <v>0</v>
      </c>
      <c r="M751" s="3070">
        <v>0</v>
      </c>
      <c r="N751" s="3070">
        <v>15633.44</v>
      </c>
      <c r="O751" s="3070">
        <v>1322902</v>
      </c>
      <c r="P751" s="3070">
        <v>12692.41</v>
      </c>
      <c r="Q751" s="3070">
        <v>1074032</v>
      </c>
      <c r="R751" s="3070" t="s">
        <v>3227</v>
      </c>
      <c r="S751" s="3070" t="s">
        <v>9373</v>
      </c>
      <c r="T751" s="3070" t="s">
        <v>3246</v>
      </c>
      <c r="U751" s="3070" t="s">
        <v>3259</v>
      </c>
      <c r="V751" s="3070" t="s">
        <v>3230</v>
      </c>
      <c r="Y751" s="3070">
        <v>404032</v>
      </c>
      <c r="Z751" s="3070">
        <v>107403</v>
      </c>
      <c r="AA751" s="3070">
        <v>404032</v>
      </c>
      <c r="AB751" s="3070">
        <v>0</v>
      </c>
      <c r="AC751" s="3070">
        <v>670000</v>
      </c>
      <c r="AD751" s="3070">
        <v>670000</v>
      </c>
      <c r="AE751" s="3070">
        <v>0</v>
      </c>
      <c r="AI751" s="3070" t="s">
        <v>3227</v>
      </c>
      <c r="AJ751" s="3070">
        <v>0</v>
      </c>
      <c r="AK751" s="3070">
        <v>0</v>
      </c>
      <c r="AL751" s="3070">
        <v>0</v>
      </c>
      <c r="AM751" s="3070">
        <v>12692.41</v>
      </c>
      <c r="AN751" s="3070">
        <v>1074032</v>
      </c>
      <c r="AP751" s="3070">
        <v>1074032</v>
      </c>
      <c r="AQ751" s="3072">
        <v>45230</v>
      </c>
      <c r="AT751" s="3073">
        <v>45770</v>
      </c>
      <c r="AV751" s="3074">
        <v>3.21E+17</v>
      </c>
      <c r="AW751" s="3070" t="s">
        <v>9374</v>
      </c>
      <c r="AX751" s="3070" t="s">
        <v>9375</v>
      </c>
      <c r="AY751" s="3070" t="s">
        <v>3497</v>
      </c>
      <c r="BC751" s="3070" t="s">
        <v>3284</v>
      </c>
      <c r="BD751" s="3070" t="s">
        <v>3076</v>
      </c>
      <c r="BI751" s="3070" t="s">
        <v>3235</v>
      </c>
      <c r="BJ751" s="3070" t="s">
        <v>3338</v>
      </c>
      <c r="BL751" s="3070" t="s">
        <v>9376</v>
      </c>
      <c r="BM751" s="3075">
        <v>44410</v>
      </c>
      <c r="BN751" s="3070">
        <v>-40</v>
      </c>
      <c r="BO751" s="3070" t="s">
        <v>3253</v>
      </c>
      <c r="BR751" s="3070">
        <v>622</v>
      </c>
      <c r="BS751" s="3070" t="s">
        <v>3238</v>
      </c>
      <c r="BZ751" s="3073">
        <v>44150.736111111109</v>
      </c>
      <c r="CA751" s="3070">
        <v>8</v>
      </c>
      <c r="CD751" s="3070" t="s">
        <v>3239</v>
      </c>
      <c r="CF751" s="3070" t="s">
        <v>3091</v>
      </c>
      <c r="CH751" s="3070" t="s">
        <v>3240</v>
      </c>
      <c r="CI751" s="3070">
        <v>0</v>
      </c>
      <c r="CK751" s="3070" t="s">
        <v>3497</v>
      </c>
      <c r="CL751" s="3070" t="s">
        <v>3497</v>
      </c>
      <c r="CM751" s="3070">
        <v>985350.46</v>
      </c>
      <c r="CV751" s="3070" t="s">
        <v>3246</v>
      </c>
      <c r="CW751" s="3070" t="s">
        <v>9377</v>
      </c>
      <c r="CX751" s="3070" t="s">
        <v>3242</v>
      </c>
      <c r="CZ751" s="3070">
        <v>213894.57</v>
      </c>
      <c r="DA751" s="3070">
        <v>159426.93</v>
      </c>
      <c r="DB751" s="3070">
        <v>0</v>
      </c>
      <c r="DC751" s="3070">
        <v>0</v>
      </c>
      <c r="DD751" s="3070">
        <v>3290547602</v>
      </c>
      <c r="DE751" s="3070">
        <v>2764253109</v>
      </c>
      <c r="DF751" s="3070">
        <v>1464966739</v>
      </c>
      <c r="DG751" s="3070">
        <v>14938370</v>
      </c>
      <c r="DH751" s="3070">
        <v>1284348000</v>
      </c>
      <c r="DI751" s="3070">
        <v>1278128000</v>
      </c>
      <c r="DJ751" s="3070">
        <v>6220000</v>
      </c>
      <c r="DK751" s="3070">
        <v>0</v>
      </c>
      <c r="DL751" s="3070">
        <v>0</v>
      </c>
      <c r="DM751" s="3070">
        <v>25491817.620000001</v>
      </c>
      <c r="DN751" s="3070">
        <v>2764253109</v>
      </c>
      <c r="DP751" s="3070">
        <v>2764253109</v>
      </c>
    </row>
    <row r="752" spans="1:120">
      <c r="A752" s="3070">
        <v>751</v>
      </c>
      <c r="B752" s="3070" t="s">
        <v>3224</v>
      </c>
      <c r="C752" s="3070">
        <v>8</v>
      </c>
      <c r="D752" s="3070">
        <v>2</v>
      </c>
      <c r="E752" s="3070">
        <v>407</v>
      </c>
      <c r="F752" s="3070" t="s">
        <v>9378</v>
      </c>
      <c r="G752" s="3070" t="s">
        <v>9379</v>
      </c>
      <c r="H752" s="3070">
        <v>1122942</v>
      </c>
      <c r="I752" s="3070">
        <v>1122942</v>
      </c>
      <c r="J752" s="3070">
        <v>84.62</v>
      </c>
      <c r="K752" s="3070">
        <v>62.38</v>
      </c>
      <c r="L752" s="3070">
        <v>0</v>
      </c>
      <c r="M752" s="3070">
        <v>0</v>
      </c>
      <c r="N752" s="3070">
        <v>15633.44</v>
      </c>
      <c r="O752" s="3070">
        <v>1322902</v>
      </c>
      <c r="P752" s="3070">
        <v>13270.41</v>
      </c>
      <c r="Q752" s="3070">
        <v>1122942</v>
      </c>
      <c r="R752" s="3070" t="s">
        <v>3227</v>
      </c>
      <c r="S752" s="3070" t="s">
        <v>9380</v>
      </c>
      <c r="T752" s="3070" t="s">
        <v>3494</v>
      </c>
      <c r="V752" s="3070" t="s">
        <v>3230</v>
      </c>
      <c r="Y752" s="3070">
        <v>112294</v>
      </c>
      <c r="Z752" s="3070">
        <v>112294</v>
      </c>
      <c r="AA752" s="3070">
        <v>1122942</v>
      </c>
      <c r="AB752" s="3070">
        <v>0</v>
      </c>
      <c r="AC752" s="3070">
        <v>0</v>
      </c>
      <c r="AD752" s="3070">
        <v>0</v>
      </c>
      <c r="AE752" s="3070">
        <v>0</v>
      </c>
      <c r="AI752" s="3070" t="s">
        <v>3227</v>
      </c>
      <c r="AJ752" s="3070">
        <v>0</v>
      </c>
      <c r="AK752" s="3070">
        <v>0</v>
      </c>
      <c r="AL752" s="3070">
        <v>0</v>
      </c>
      <c r="AM752" s="3070">
        <v>13270.41</v>
      </c>
      <c r="AN752" s="3070">
        <v>1122942</v>
      </c>
      <c r="AP752" s="3070">
        <v>1122942</v>
      </c>
      <c r="AQ752" s="3072">
        <v>45230</v>
      </c>
      <c r="AT752" s="3073">
        <v>45770</v>
      </c>
      <c r="AV752" s="3070" t="s">
        <v>9381</v>
      </c>
      <c r="AW752" s="3070" t="s">
        <v>9382</v>
      </c>
      <c r="AX752" s="3070" t="s">
        <v>9383</v>
      </c>
      <c r="AY752" s="3070" t="s">
        <v>3587</v>
      </c>
      <c r="BC752" s="3070" t="s">
        <v>4117</v>
      </c>
      <c r="BD752" s="3070" t="s">
        <v>3076</v>
      </c>
      <c r="BI752" s="3070" t="s">
        <v>3235</v>
      </c>
      <c r="BL752" s="3070" t="s">
        <v>9384</v>
      </c>
      <c r="BM752" s="3075">
        <v>44410</v>
      </c>
      <c r="BN752" s="3070">
        <v>-40</v>
      </c>
      <c r="BR752" s="3070">
        <v>19</v>
      </c>
      <c r="BS752" s="3070" t="s">
        <v>3238</v>
      </c>
      <c r="BV752" s="3070" t="s">
        <v>9385</v>
      </c>
      <c r="BZ752" s="3073">
        <v>44189.702777777777</v>
      </c>
      <c r="CA752" s="3070">
        <v>8</v>
      </c>
      <c r="CD752" s="3070" t="s">
        <v>3239</v>
      </c>
      <c r="CF752" s="3070" t="s">
        <v>3091</v>
      </c>
      <c r="CH752" s="3070" t="s">
        <v>3240</v>
      </c>
      <c r="CI752" s="3070">
        <v>0</v>
      </c>
      <c r="CK752" s="3070" t="s">
        <v>3587</v>
      </c>
      <c r="CL752" s="3070" t="s">
        <v>3590</v>
      </c>
      <c r="CM752" s="3070">
        <v>1030222.02</v>
      </c>
      <c r="CV752" s="3070" t="s">
        <v>3494</v>
      </c>
      <c r="CW752" s="3070" t="s">
        <v>9386</v>
      </c>
      <c r="CZ752" s="3070">
        <v>213894.57</v>
      </c>
      <c r="DA752" s="3070">
        <v>159426.93</v>
      </c>
      <c r="DB752" s="3070">
        <v>0</v>
      </c>
      <c r="DC752" s="3070">
        <v>0</v>
      </c>
      <c r="DD752" s="3070">
        <v>3290547602</v>
      </c>
      <c r="DE752" s="3070">
        <v>2764253109</v>
      </c>
      <c r="DF752" s="3070">
        <v>1464966739</v>
      </c>
      <c r="DG752" s="3070">
        <v>14938370</v>
      </c>
      <c r="DH752" s="3070">
        <v>1284348000</v>
      </c>
      <c r="DI752" s="3070">
        <v>1278128000</v>
      </c>
      <c r="DJ752" s="3070">
        <v>6220000</v>
      </c>
      <c r="DK752" s="3070">
        <v>0</v>
      </c>
      <c r="DL752" s="3070">
        <v>0</v>
      </c>
      <c r="DM752" s="3070">
        <v>25491817.620000001</v>
      </c>
      <c r="DN752" s="3070">
        <v>2764253109</v>
      </c>
      <c r="DP752" s="3070">
        <v>2764253109</v>
      </c>
    </row>
    <row r="753" spans="1:120">
      <c r="A753" s="3070">
        <v>752</v>
      </c>
      <c r="B753" s="3070" t="s">
        <v>3224</v>
      </c>
      <c r="C753" s="3070">
        <v>8</v>
      </c>
      <c r="D753" s="3070">
        <v>2</v>
      </c>
      <c r="E753" s="3070">
        <v>408</v>
      </c>
      <c r="F753" s="3070" t="s">
        <v>9387</v>
      </c>
      <c r="G753" s="3070" t="s">
        <v>9388</v>
      </c>
      <c r="H753" s="3070">
        <v>1429509</v>
      </c>
      <c r="I753" s="3070">
        <v>1429509</v>
      </c>
      <c r="J753" s="3070">
        <v>120.15</v>
      </c>
      <c r="K753" s="3070">
        <v>88.57</v>
      </c>
      <c r="L753" s="3070">
        <v>0</v>
      </c>
      <c r="M753" s="3070">
        <v>0</v>
      </c>
      <c r="N753" s="3070">
        <v>15244.44</v>
      </c>
      <c r="O753" s="3070">
        <v>1831619</v>
      </c>
      <c r="P753" s="3070">
        <v>11897.7</v>
      </c>
      <c r="Q753" s="3070">
        <v>1429509</v>
      </c>
      <c r="R753" s="3070" t="s">
        <v>3227</v>
      </c>
      <c r="S753" s="3070" t="s">
        <v>9389</v>
      </c>
      <c r="T753" s="3070" t="s">
        <v>3991</v>
      </c>
      <c r="V753" s="3070" t="s">
        <v>3230</v>
      </c>
      <c r="Y753" s="3070">
        <v>428853</v>
      </c>
      <c r="Z753" s="3070">
        <v>428853</v>
      </c>
      <c r="AA753" s="3070">
        <v>1429509</v>
      </c>
      <c r="AB753" s="3070">
        <v>0</v>
      </c>
      <c r="AC753" s="3070">
        <v>0</v>
      </c>
      <c r="AD753" s="3070">
        <v>0</v>
      </c>
      <c r="AE753" s="3070">
        <v>0</v>
      </c>
      <c r="AI753" s="3070" t="s">
        <v>3227</v>
      </c>
      <c r="AJ753" s="3070">
        <v>0</v>
      </c>
      <c r="AK753" s="3070">
        <v>0</v>
      </c>
      <c r="AL753" s="3070">
        <v>0</v>
      </c>
      <c r="AM753" s="3070">
        <v>11897.7</v>
      </c>
      <c r="AN753" s="3070">
        <v>1429509</v>
      </c>
      <c r="AP753" s="3070">
        <v>1429509</v>
      </c>
      <c r="AQ753" s="3072">
        <v>45230</v>
      </c>
      <c r="AT753" s="3073">
        <v>45770</v>
      </c>
      <c r="AV753" s="3074">
        <v>3.21E+17</v>
      </c>
      <c r="AW753" s="3070" t="s">
        <v>9390</v>
      </c>
      <c r="AX753" s="3070" t="s">
        <v>9391</v>
      </c>
      <c r="AY753" s="3070" t="s">
        <v>3981</v>
      </c>
      <c r="BA753" s="3070" t="s">
        <v>3981</v>
      </c>
      <c r="BC753" s="3070" t="s">
        <v>4145</v>
      </c>
      <c r="BD753" s="3070" t="s">
        <v>3075</v>
      </c>
      <c r="BI753" s="3070" t="s">
        <v>3235</v>
      </c>
      <c r="BL753" s="3070" t="s">
        <v>9392</v>
      </c>
      <c r="BM753" s="3075">
        <v>44410</v>
      </c>
      <c r="BN753" s="3070">
        <v>-40</v>
      </c>
      <c r="BR753" s="3070">
        <v>21</v>
      </c>
      <c r="BS753" s="3070" t="s">
        <v>3238</v>
      </c>
      <c r="BU753" s="3070" t="s">
        <v>3981</v>
      </c>
      <c r="BZ753" s="3073">
        <v>44226.474999999999</v>
      </c>
      <c r="CA753" s="3070">
        <v>8</v>
      </c>
      <c r="CD753" s="3070" t="s">
        <v>3239</v>
      </c>
      <c r="CF753" s="3070" t="s">
        <v>3091</v>
      </c>
      <c r="CH753" s="3070" t="s">
        <v>3240</v>
      </c>
      <c r="CI753" s="3070">
        <v>0</v>
      </c>
      <c r="CK753" s="3070" t="s">
        <v>3981</v>
      </c>
      <c r="CL753" s="3070" t="s">
        <v>3986</v>
      </c>
      <c r="CM753" s="3070">
        <v>1311476.1499999999</v>
      </c>
      <c r="CV753" s="3070" t="s">
        <v>3494</v>
      </c>
      <c r="CW753" s="3070" t="s">
        <v>9393</v>
      </c>
      <c r="CX753" s="3070" t="s">
        <v>3311</v>
      </c>
      <c r="CZ753" s="3070">
        <v>213894.57</v>
      </c>
      <c r="DA753" s="3070">
        <v>159426.93</v>
      </c>
      <c r="DB753" s="3070">
        <v>0</v>
      </c>
      <c r="DC753" s="3070">
        <v>0</v>
      </c>
      <c r="DD753" s="3070">
        <v>3290547602</v>
      </c>
      <c r="DE753" s="3070">
        <v>2764253109</v>
      </c>
      <c r="DF753" s="3070">
        <v>1464966739</v>
      </c>
      <c r="DG753" s="3070">
        <v>14938370</v>
      </c>
      <c r="DH753" s="3070">
        <v>1284348000</v>
      </c>
      <c r="DI753" s="3070">
        <v>1278128000</v>
      </c>
      <c r="DJ753" s="3070">
        <v>6220000</v>
      </c>
      <c r="DK753" s="3070">
        <v>0</v>
      </c>
      <c r="DL753" s="3070">
        <v>0</v>
      </c>
      <c r="DM753" s="3070">
        <v>25491817.620000001</v>
      </c>
      <c r="DN753" s="3070">
        <v>2764253109</v>
      </c>
      <c r="DP753" s="3070">
        <v>2764253109</v>
      </c>
    </row>
    <row r="754" spans="1:120">
      <c r="A754" s="3070">
        <v>753</v>
      </c>
      <c r="B754" s="3070" t="s">
        <v>3224</v>
      </c>
      <c r="C754" s="3070">
        <v>8</v>
      </c>
      <c r="D754" s="3070">
        <v>1</v>
      </c>
      <c r="E754" s="3070">
        <v>501</v>
      </c>
      <c r="F754" s="3070" t="s">
        <v>9394</v>
      </c>
      <c r="G754" s="3070" t="s">
        <v>9395</v>
      </c>
      <c r="H754" s="3070">
        <v>1505334</v>
      </c>
      <c r="I754" s="3070">
        <v>1505334</v>
      </c>
      <c r="J754" s="3070">
        <v>120.15</v>
      </c>
      <c r="K754" s="3070">
        <v>88.57</v>
      </c>
      <c r="L754" s="3070">
        <v>0</v>
      </c>
      <c r="M754" s="3070">
        <v>0</v>
      </c>
      <c r="N754" s="3070">
        <v>15594.44</v>
      </c>
      <c r="O754" s="3070">
        <v>1873672</v>
      </c>
      <c r="P754" s="3070">
        <v>12528.79</v>
      </c>
      <c r="Q754" s="3070">
        <v>1505334</v>
      </c>
      <c r="R754" s="3070" t="s">
        <v>3227</v>
      </c>
      <c r="S754" s="3070" t="s">
        <v>9396</v>
      </c>
      <c r="T754" s="3070" t="s">
        <v>3229</v>
      </c>
      <c r="V754" s="3070" t="s">
        <v>3230</v>
      </c>
      <c r="Y754" s="3070">
        <v>451600</v>
      </c>
      <c r="Z754" s="3070">
        <v>451600</v>
      </c>
      <c r="AA754" s="3070">
        <v>1505334</v>
      </c>
      <c r="AB754" s="3070">
        <v>0</v>
      </c>
      <c r="AC754" s="3070">
        <v>0</v>
      </c>
      <c r="AD754" s="3070">
        <v>0</v>
      </c>
      <c r="AE754" s="3070">
        <v>0</v>
      </c>
      <c r="AI754" s="3070" t="s">
        <v>3227</v>
      </c>
      <c r="AJ754" s="3070">
        <v>0</v>
      </c>
      <c r="AK754" s="3070">
        <v>0</v>
      </c>
      <c r="AL754" s="3070">
        <v>0</v>
      </c>
      <c r="AM754" s="3070">
        <v>12528.79</v>
      </c>
      <c r="AN754" s="3070">
        <v>1505334</v>
      </c>
      <c r="AP754" s="3070">
        <v>1505334</v>
      </c>
      <c r="AQ754" s="3072">
        <v>45230</v>
      </c>
      <c r="AT754" s="3073">
        <v>45770</v>
      </c>
      <c r="AV754" s="3070" t="s">
        <v>9397</v>
      </c>
      <c r="AW754" s="3070" t="s">
        <v>9398</v>
      </c>
      <c r="AX754" s="3070" t="s">
        <v>9399</v>
      </c>
      <c r="AY754" s="3070" t="s">
        <v>3233</v>
      </c>
      <c r="BC754" s="3070" t="s">
        <v>3792</v>
      </c>
      <c r="BD754" s="3070" t="s">
        <v>3075</v>
      </c>
      <c r="BI754" s="3070" t="s">
        <v>3235</v>
      </c>
      <c r="BJ754" s="3070" t="s">
        <v>3296</v>
      </c>
      <c r="BL754" s="3070" t="s">
        <v>9400</v>
      </c>
      <c r="BM754" s="3075">
        <v>44409</v>
      </c>
      <c r="BN754" s="3070">
        <v>-50</v>
      </c>
      <c r="BR754" s="3070">
        <v>61</v>
      </c>
      <c r="BS754" s="3070" t="s">
        <v>3238</v>
      </c>
      <c r="BZ754" s="3073">
        <v>44146.385416666664</v>
      </c>
      <c r="CA754" s="3070">
        <v>8</v>
      </c>
      <c r="CD754" s="3070" t="s">
        <v>3239</v>
      </c>
      <c r="CF754" s="3070" t="s">
        <v>3091</v>
      </c>
      <c r="CH754" s="3070" t="s">
        <v>3240</v>
      </c>
      <c r="CI754" s="3070">
        <v>0</v>
      </c>
      <c r="CK754" s="3070" t="s">
        <v>3233</v>
      </c>
      <c r="CL754" s="3070" t="s">
        <v>3233</v>
      </c>
      <c r="CM754" s="3070">
        <v>1381040.37</v>
      </c>
      <c r="CV754" s="3070" t="s">
        <v>3229</v>
      </c>
      <c r="CW754" s="3070" t="s">
        <v>9401</v>
      </c>
      <c r="CX754" s="3070" t="s">
        <v>3510</v>
      </c>
      <c r="CZ754" s="3070">
        <v>213894.57</v>
      </c>
      <c r="DA754" s="3070">
        <v>159426.93</v>
      </c>
      <c r="DB754" s="3070">
        <v>0</v>
      </c>
      <c r="DC754" s="3070">
        <v>0</v>
      </c>
      <c r="DD754" s="3070">
        <v>3290547602</v>
      </c>
      <c r="DE754" s="3070">
        <v>2764253109</v>
      </c>
      <c r="DF754" s="3070">
        <v>1464966739</v>
      </c>
      <c r="DG754" s="3070">
        <v>14938370</v>
      </c>
      <c r="DH754" s="3070">
        <v>1284348000</v>
      </c>
      <c r="DI754" s="3070">
        <v>1278128000</v>
      </c>
      <c r="DJ754" s="3070">
        <v>6220000</v>
      </c>
      <c r="DK754" s="3070">
        <v>0</v>
      </c>
      <c r="DL754" s="3070">
        <v>0</v>
      </c>
      <c r="DM754" s="3070">
        <v>25491817.620000001</v>
      </c>
      <c r="DN754" s="3070">
        <v>2764253109</v>
      </c>
      <c r="DP754" s="3070">
        <v>2764253109</v>
      </c>
    </row>
    <row r="755" spans="1:120">
      <c r="A755" s="3070">
        <v>754</v>
      </c>
      <c r="B755" s="3070" t="s">
        <v>3224</v>
      </c>
      <c r="C755" s="3070">
        <v>8</v>
      </c>
      <c r="D755" s="3070">
        <v>1</v>
      </c>
      <c r="E755" s="3070">
        <v>502</v>
      </c>
      <c r="F755" s="3070" t="s">
        <v>9402</v>
      </c>
      <c r="G755" s="3070" t="s">
        <v>9403</v>
      </c>
      <c r="H755" s="3070">
        <v>1064376</v>
      </c>
      <c r="I755" s="3070">
        <v>1064376</v>
      </c>
      <c r="J755" s="3070">
        <v>84.62</v>
      </c>
      <c r="K755" s="3070">
        <v>62.38</v>
      </c>
      <c r="L755" s="3070">
        <v>0</v>
      </c>
      <c r="M755" s="3070">
        <v>0</v>
      </c>
      <c r="N755" s="3070">
        <v>15783.44</v>
      </c>
      <c r="O755" s="3070">
        <v>1335595</v>
      </c>
      <c r="P755" s="3070">
        <v>12578.3</v>
      </c>
      <c r="Q755" s="3070">
        <v>1064376</v>
      </c>
      <c r="R755" s="3070" t="s">
        <v>3227</v>
      </c>
      <c r="S755" s="3070" t="s">
        <v>9404</v>
      </c>
      <c r="T755" s="3070" t="s">
        <v>3258</v>
      </c>
      <c r="U755" s="3070" t="s">
        <v>3259</v>
      </c>
      <c r="V755" s="3070" t="s">
        <v>3230</v>
      </c>
      <c r="Y755" s="3070">
        <v>484376</v>
      </c>
      <c r="Z755" s="3070">
        <v>484376</v>
      </c>
      <c r="AA755" s="3070">
        <v>484376</v>
      </c>
      <c r="AB755" s="3070">
        <v>0</v>
      </c>
      <c r="AC755" s="3070">
        <v>580000</v>
      </c>
      <c r="AD755" s="3070">
        <v>580000</v>
      </c>
      <c r="AE755" s="3070">
        <v>0</v>
      </c>
      <c r="AI755" s="3070" t="s">
        <v>3227</v>
      </c>
      <c r="AJ755" s="3070">
        <v>0</v>
      </c>
      <c r="AK755" s="3070">
        <v>0</v>
      </c>
      <c r="AL755" s="3070">
        <v>0</v>
      </c>
      <c r="AM755" s="3070">
        <v>12578.3</v>
      </c>
      <c r="AN755" s="3070">
        <v>1064376</v>
      </c>
      <c r="AP755" s="3070">
        <v>1064376</v>
      </c>
      <c r="AQ755" s="3072">
        <v>45230</v>
      </c>
      <c r="AT755" s="3073">
        <v>45770</v>
      </c>
      <c r="AV755" s="3074">
        <v>3.21E+17</v>
      </c>
      <c r="AW755" s="3070" t="s">
        <v>9405</v>
      </c>
      <c r="AX755" s="3070" t="s">
        <v>9406</v>
      </c>
      <c r="AY755" s="3070" t="s">
        <v>3607</v>
      </c>
      <c r="BC755" s="3070" t="s">
        <v>9407</v>
      </c>
      <c r="BD755" s="3070" t="s">
        <v>3076</v>
      </c>
      <c r="BI755" s="3070" t="s">
        <v>3235</v>
      </c>
      <c r="BJ755" s="3070" t="s">
        <v>3296</v>
      </c>
      <c r="BL755" s="3070" t="s">
        <v>9408</v>
      </c>
      <c r="BM755" s="3075">
        <v>44409</v>
      </c>
      <c r="BN755" s="3070">
        <v>-50</v>
      </c>
      <c r="BO755" s="3070" t="s">
        <v>3253</v>
      </c>
      <c r="BP755" s="3070" t="s">
        <v>3253</v>
      </c>
      <c r="BR755" s="3070">
        <v>377</v>
      </c>
      <c r="BS755" s="3070" t="s">
        <v>3238</v>
      </c>
      <c r="BZ755" s="3073">
        <v>44142.590277777781</v>
      </c>
      <c r="CA755" s="3070">
        <v>8</v>
      </c>
      <c r="CD755" s="3070" t="s">
        <v>3239</v>
      </c>
      <c r="CF755" s="3070" t="s">
        <v>3091</v>
      </c>
      <c r="CH755" s="3070" t="s">
        <v>3240</v>
      </c>
      <c r="CI755" s="3070">
        <v>0</v>
      </c>
      <c r="CJ755" s="3070" t="s">
        <v>3259</v>
      </c>
      <c r="CK755" s="3070" t="s">
        <v>3607</v>
      </c>
      <c r="CL755" s="3070" t="s">
        <v>3607</v>
      </c>
      <c r="CM755" s="3070">
        <v>976491.74</v>
      </c>
      <c r="CV755" s="3070" t="s">
        <v>3258</v>
      </c>
      <c r="CW755" s="3070" t="s">
        <v>9409</v>
      </c>
      <c r="CX755" s="3070" t="s">
        <v>3510</v>
      </c>
      <c r="CZ755" s="3070">
        <v>213894.57</v>
      </c>
      <c r="DA755" s="3070">
        <v>159426.93</v>
      </c>
      <c r="DB755" s="3070">
        <v>0</v>
      </c>
      <c r="DC755" s="3070">
        <v>0</v>
      </c>
      <c r="DD755" s="3070">
        <v>3290547602</v>
      </c>
      <c r="DE755" s="3070">
        <v>2764253109</v>
      </c>
      <c r="DF755" s="3070">
        <v>1464966739</v>
      </c>
      <c r="DG755" s="3070">
        <v>14938370</v>
      </c>
      <c r="DH755" s="3070">
        <v>1284348000</v>
      </c>
      <c r="DI755" s="3070">
        <v>1278128000</v>
      </c>
      <c r="DJ755" s="3070">
        <v>6220000</v>
      </c>
      <c r="DK755" s="3070">
        <v>0</v>
      </c>
      <c r="DL755" s="3070">
        <v>0</v>
      </c>
      <c r="DM755" s="3070">
        <v>25491817.620000001</v>
      </c>
      <c r="DN755" s="3070">
        <v>2764253109</v>
      </c>
      <c r="DP755" s="3070">
        <v>2764253109</v>
      </c>
    </row>
    <row r="756" spans="1:120">
      <c r="A756" s="3070">
        <v>755</v>
      </c>
      <c r="B756" s="3070" t="s">
        <v>3224</v>
      </c>
      <c r="C756" s="3070">
        <v>8</v>
      </c>
      <c r="D756" s="3070">
        <v>1</v>
      </c>
      <c r="E756" s="3070">
        <v>503</v>
      </c>
      <c r="F756" s="3070" t="s">
        <v>9410</v>
      </c>
      <c r="G756" s="3070" t="s">
        <v>9411</v>
      </c>
      <c r="H756" s="3070">
        <v>1075237</v>
      </c>
      <c r="I756" s="3070">
        <v>1075237</v>
      </c>
      <c r="J756" s="3070">
        <v>84.62</v>
      </c>
      <c r="K756" s="3070">
        <v>62.38</v>
      </c>
      <c r="L756" s="3070">
        <v>0</v>
      </c>
      <c r="M756" s="3070">
        <v>0</v>
      </c>
      <c r="N756" s="3070">
        <v>15783.44</v>
      </c>
      <c r="O756" s="3070">
        <v>1335595</v>
      </c>
      <c r="P756" s="3070">
        <v>12706.65</v>
      </c>
      <c r="Q756" s="3070">
        <v>1075237</v>
      </c>
      <c r="R756" s="3070" t="s">
        <v>3227</v>
      </c>
      <c r="S756" s="3070" t="s">
        <v>9412</v>
      </c>
      <c r="T756" s="3070" t="s">
        <v>3229</v>
      </c>
      <c r="V756" s="3070" t="s">
        <v>3230</v>
      </c>
      <c r="Y756" s="3070">
        <v>322571</v>
      </c>
      <c r="Z756" s="3070">
        <v>322571</v>
      </c>
      <c r="AA756" s="3070">
        <v>1075237</v>
      </c>
      <c r="AB756" s="3070">
        <v>0</v>
      </c>
      <c r="AC756" s="3070">
        <v>0</v>
      </c>
      <c r="AD756" s="3070">
        <v>0</v>
      </c>
      <c r="AE756" s="3070">
        <v>0</v>
      </c>
      <c r="AI756" s="3070" t="s">
        <v>3227</v>
      </c>
      <c r="AJ756" s="3070">
        <v>0</v>
      </c>
      <c r="AK756" s="3070">
        <v>0</v>
      </c>
      <c r="AL756" s="3070">
        <v>0</v>
      </c>
      <c r="AM756" s="3070">
        <v>12706.65</v>
      </c>
      <c r="AN756" s="3070">
        <v>1075237</v>
      </c>
      <c r="AP756" s="3070">
        <v>1075237</v>
      </c>
      <c r="AQ756" s="3072">
        <v>45230</v>
      </c>
      <c r="AT756" s="3073">
        <v>45770</v>
      </c>
      <c r="AV756" s="3070" t="s">
        <v>9413</v>
      </c>
      <c r="AW756" s="3070" t="s">
        <v>9414</v>
      </c>
      <c r="AX756" s="3070" t="s">
        <v>9415</v>
      </c>
      <c r="AY756" s="3070" t="s">
        <v>3632</v>
      </c>
      <c r="BC756" s="3070" t="s">
        <v>3347</v>
      </c>
      <c r="BD756" s="3070" t="s">
        <v>3076</v>
      </c>
      <c r="BI756" s="3070" t="s">
        <v>3235</v>
      </c>
      <c r="BJ756" s="3070" t="s">
        <v>3338</v>
      </c>
      <c r="BL756" s="3070" t="s">
        <v>9416</v>
      </c>
      <c r="BM756" s="3075">
        <v>44409</v>
      </c>
      <c r="BN756" s="3070">
        <v>-50</v>
      </c>
      <c r="BR756" s="3070">
        <v>257</v>
      </c>
      <c r="BS756" s="3070" t="s">
        <v>3238</v>
      </c>
      <c r="BZ756" s="3073">
        <v>44142.958333333336</v>
      </c>
      <c r="CA756" s="3070">
        <v>8</v>
      </c>
      <c r="CD756" s="3070" t="s">
        <v>3239</v>
      </c>
      <c r="CF756" s="3070" t="s">
        <v>3091</v>
      </c>
      <c r="CH756" s="3070" t="s">
        <v>3240</v>
      </c>
      <c r="CI756" s="3070">
        <v>0</v>
      </c>
      <c r="CK756" s="3070" t="s">
        <v>3632</v>
      </c>
      <c r="CL756" s="3070" t="s">
        <v>3632</v>
      </c>
      <c r="CM756" s="3070">
        <v>986455.96</v>
      </c>
      <c r="CV756" s="3070" t="s">
        <v>3229</v>
      </c>
      <c r="CW756" s="3070" t="s">
        <v>9417</v>
      </c>
      <c r="CZ756" s="3070">
        <v>213894.57</v>
      </c>
      <c r="DA756" s="3070">
        <v>159426.93</v>
      </c>
      <c r="DB756" s="3070">
        <v>0</v>
      </c>
      <c r="DC756" s="3070">
        <v>0</v>
      </c>
      <c r="DD756" s="3070">
        <v>3290547602</v>
      </c>
      <c r="DE756" s="3070">
        <v>2764253109</v>
      </c>
      <c r="DF756" s="3070">
        <v>1464966739</v>
      </c>
      <c r="DG756" s="3070">
        <v>14938370</v>
      </c>
      <c r="DH756" s="3070">
        <v>1284348000</v>
      </c>
      <c r="DI756" s="3070">
        <v>1278128000</v>
      </c>
      <c r="DJ756" s="3070">
        <v>6220000</v>
      </c>
      <c r="DK756" s="3070">
        <v>0</v>
      </c>
      <c r="DL756" s="3070">
        <v>0</v>
      </c>
      <c r="DM756" s="3070">
        <v>25491817.620000001</v>
      </c>
      <c r="DN756" s="3070">
        <v>2764253109</v>
      </c>
      <c r="DP756" s="3070">
        <v>2764253109</v>
      </c>
    </row>
    <row r="757" spans="1:120">
      <c r="A757" s="3070">
        <v>756</v>
      </c>
      <c r="B757" s="3070" t="s">
        <v>3224</v>
      </c>
      <c r="C757" s="3070">
        <v>8</v>
      </c>
      <c r="D757" s="3070">
        <v>1</v>
      </c>
      <c r="E757" s="3070">
        <v>504</v>
      </c>
      <c r="F757" s="3070" t="s">
        <v>9418</v>
      </c>
      <c r="G757" s="3070" t="s">
        <v>9419</v>
      </c>
      <c r="H757" s="3070">
        <v>1386463</v>
      </c>
      <c r="I757" s="3070">
        <v>1386463</v>
      </c>
      <c r="J757" s="3070">
        <v>108.82</v>
      </c>
      <c r="K757" s="3070">
        <v>80.22</v>
      </c>
      <c r="L757" s="3070">
        <v>0</v>
      </c>
      <c r="M757" s="3070">
        <v>0</v>
      </c>
      <c r="N757" s="3070">
        <v>15684.44</v>
      </c>
      <c r="O757" s="3070">
        <v>1706781</v>
      </c>
      <c r="P757" s="3070">
        <v>12740.88</v>
      </c>
      <c r="Q757" s="3070">
        <v>1386463</v>
      </c>
      <c r="R757" s="3070" t="s">
        <v>3227</v>
      </c>
      <c r="S757" s="3070" t="s">
        <v>9420</v>
      </c>
      <c r="T757" s="3070" t="s">
        <v>3258</v>
      </c>
      <c r="U757" s="3070" t="s">
        <v>3259</v>
      </c>
      <c r="V757" s="3070" t="s">
        <v>3230</v>
      </c>
      <c r="Y757" s="3070">
        <v>946463</v>
      </c>
      <c r="Z757" s="3070">
        <v>416463</v>
      </c>
      <c r="AA757" s="3070">
        <v>946463</v>
      </c>
      <c r="AB757" s="3070">
        <v>0</v>
      </c>
      <c r="AC757" s="3070">
        <v>440000</v>
      </c>
      <c r="AD757" s="3070">
        <v>440000</v>
      </c>
      <c r="AE757" s="3070">
        <v>0</v>
      </c>
      <c r="AI757" s="3070" t="s">
        <v>3227</v>
      </c>
      <c r="AJ757" s="3070">
        <v>0</v>
      </c>
      <c r="AK757" s="3070">
        <v>0</v>
      </c>
      <c r="AL757" s="3070">
        <v>0</v>
      </c>
      <c r="AM757" s="3070">
        <v>12740.88</v>
      </c>
      <c r="AN757" s="3070">
        <v>1386463</v>
      </c>
      <c r="AP757" s="3070">
        <v>1386463</v>
      </c>
      <c r="AQ757" s="3072">
        <v>45230</v>
      </c>
      <c r="AT757" s="3073">
        <v>45770</v>
      </c>
      <c r="AV757" s="3070" t="s">
        <v>9421</v>
      </c>
      <c r="AW757" s="3070" t="s">
        <v>9422</v>
      </c>
      <c r="AX757" s="3070" t="s">
        <v>9423</v>
      </c>
      <c r="AY757" s="3070" t="s">
        <v>3607</v>
      </c>
      <c r="BC757" s="3070" t="s">
        <v>3263</v>
      </c>
      <c r="BD757" s="3070" t="s">
        <v>3077</v>
      </c>
      <c r="BI757" s="3070" t="s">
        <v>3235</v>
      </c>
      <c r="BJ757" s="3070" t="s">
        <v>3296</v>
      </c>
      <c r="BL757" s="3070" t="s">
        <v>9424</v>
      </c>
      <c r="BM757" s="3075">
        <v>44409</v>
      </c>
      <c r="BN757" s="3070">
        <v>-50</v>
      </c>
      <c r="BO757" s="3070" t="s">
        <v>3253</v>
      </c>
      <c r="BP757" s="3070" t="s">
        <v>3253</v>
      </c>
      <c r="BR757" s="3070">
        <v>24</v>
      </c>
      <c r="BS757" s="3070" t="s">
        <v>3238</v>
      </c>
      <c r="BZ757" s="3073">
        <v>44142.638888888891</v>
      </c>
      <c r="CA757" s="3070">
        <v>8</v>
      </c>
      <c r="CD757" s="3070" t="s">
        <v>3239</v>
      </c>
      <c r="CF757" s="3070" t="s">
        <v>3091</v>
      </c>
      <c r="CH757" s="3070" t="s">
        <v>3240</v>
      </c>
      <c r="CI757" s="3070">
        <v>0</v>
      </c>
      <c r="CJ757" s="3070" t="s">
        <v>3259</v>
      </c>
      <c r="CK757" s="3070" t="s">
        <v>3607</v>
      </c>
      <c r="CL757" s="3070" t="s">
        <v>3607</v>
      </c>
      <c r="CM757" s="3070">
        <v>1271984.3999999999</v>
      </c>
      <c r="CV757" s="3070" t="s">
        <v>3258</v>
      </c>
      <c r="CW757" s="3070" t="s">
        <v>9425</v>
      </c>
      <c r="CZ757" s="3070">
        <v>213894.57</v>
      </c>
      <c r="DA757" s="3070">
        <v>159426.93</v>
      </c>
      <c r="DB757" s="3070">
        <v>0</v>
      </c>
      <c r="DC757" s="3070">
        <v>0</v>
      </c>
      <c r="DD757" s="3070">
        <v>3290547602</v>
      </c>
      <c r="DE757" s="3070">
        <v>2764253109</v>
      </c>
      <c r="DF757" s="3070">
        <v>1464966739</v>
      </c>
      <c r="DG757" s="3070">
        <v>14938370</v>
      </c>
      <c r="DH757" s="3070">
        <v>1284348000</v>
      </c>
      <c r="DI757" s="3070">
        <v>1278128000</v>
      </c>
      <c r="DJ757" s="3070">
        <v>6220000</v>
      </c>
      <c r="DK757" s="3070">
        <v>0</v>
      </c>
      <c r="DL757" s="3070">
        <v>0</v>
      </c>
      <c r="DM757" s="3070">
        <v>25491817.620000001</v>
      </c>
      <c r="DN757" s="3070">
        <v>2764253109</v>
      </c>
      <c r="DP757" s="3070">
        <v>2764253109</v>
      </c>
    </row>
    <row r="758" spans="1:120">
      <c r="A758" s="3070">
        <v>757</v>
      </c>
      <c r="B758" s="3070" t="s">
        <v>3224</v>
      </c>
      <c r="C758" s="3070">
        <v>8</v>
      </c>
      <c r="D758" s="3070">
        <v>2</v>
      </c>
      <c r="E758" s="3070">
        <v>505</v>
      </c>
      <c r="F758" s="3070" t="s">
        <v>9426</v>
      </c>
      <c r="G758" s="3070" t="s">
        <v>9427</v>
      </c>
      <c r="H758" s="3070">
        <v>1386463</v>
      </c>
      <c r="I758" s="3070">
        <v>1386463</v>
      </c>
      <c r="J758" s="3070">
        <v>108.82</v>
      </c>
      <c r="K758" s="3070">
        <v>80.22</v>
      </c>
      <c r="L758" s="3070">
        <v>0</v>
      </c>
      <c r="M758" s="3070">
        <v>0</v>
      </c>
      <c r="N758" s="3070">
        <v>15684.44</v>
      </c>
      <c r="O758" s="3070">
        <v>1706781</v>
      </c>
      <c r="P758" s="3070">
        <v>12740.88</v>
      </c>
      <c r="Q758" s="3070">
        <v>1386463</v>
      </c>
      <c r="R758" s="3070" t="s">
        <v>3227</v>
      </c>
      <c r="S758" s="3070" t="s">
        <v>9428</v>
      </c>
      <c r="T758" s="3070" t="s">
        <v>3246</v>
      </c>
      <c r="U758" s="3070" t="s">
        <v>3381</v>
      </c>
      <c r="V758" s="3070" t="s">
        <v>3230</v>
      </c>
      <c r="Y758" s="3070">
        <v>626463</v>
      </c>
      <c r="Z758" s="3070">
        <v>626463</v>
      </c>
      <c r="AA758" s="3070">
        <v>626463</v>
      </c>
      <c r="AB758" s="3070">
        <v>0</v>
      </c>
      <c r="AC758" s="3070">
        <v>760000</v>
      </c>
      <c r="AD758" s="3070">
        <v>760000</v>
      </c>
      <c r="AE758" s="3070">
        <v>0</v>
      </c>
      <c r="AI758" s="3070" t="s">
        <v>3227</v>
      </c>
      <c r="AJ758" s="3070">
        <v>0</v>
      </c>
      <c r="AK758" s="3070">
        <v>0</v>
      </c>
      <c r="AL758" s="3070">
        <v>0</v>
      </c>
      <c r="AM758" s="3070">
        <v>12740.88</v>
      </c>
      <c r="AN758" s="3070">
        <v>1386463</v>
      </c>
      <c r="AP758" s="3070">
        <v>1386463</v>
      </c>
      <c r="AQ758" s="3072">
        <v>45230</v>
      </c>
      <c r="AT758" s="3073">
        <v>45770</v>
      </c>
      <c r="AV758" s="3070" t="s">
        <v>9429</v>
      </c>
      <c r="AW758" s="3070" t="s">
        <v>9430</v>
      </c>
      <c r="AX758" s="3070" t="s">
        <v>9431</v>
      </c>
      <c r="AY758" s="3070" t="s">
        <v>3429</v>
      </c>
      <c r="BC758" s="3070" t="s">
        <v>3284</v>
      </c>
      <c r="BD758" s="3070" t="s">
        <v>3077</v>
      </c>
      <c r="BI758" s="3070" t="s">
        <v>3235</v>
      </c>
      <c r="BJ758" s="3070" t="s">
        <v>3296</v>
      </c>
      <c r="BL758" s="3070" t="s">
        <v>9432</v>
      </c>
      <c r="BM758" s="3075">
        <v>44410</v>
      </c>
      <c r="BN758" s="3070">
        <v>-50</v>
      </c>
      <c r="BO758" s="3070" t="s">
        <v>3253</v>
      </c>
      <c r="BR758" s="3070">
        <v>195</v>
      </c>
      <c r="BS758" s="3070" t="s">
        <v>3238</v>
      </c>
      <c r="BZ758" s="3073">
        <v>44142.635416666664</v>
      </c>
      <c r="CA758" s="3070">
        <v>8</v>
      </c>
      <c r="CD758" s="3070" t="s">
        <v>3239</v>
      </c>
      <c r="CF758" s="3070" t="s">
        <v>3091</v>
      </c>
      <c r="CH758" s="3070" t="s">
        <v>3240</v>
      </c>
      <c r="CI758" s="3070">
        <v>0</v>
      </c>
      <c r="CK758" s="3070" t="s">
        <v>3429</v>
      </c>
      <c r="CL758" s="3070" t="s">
        <v>3429</v>
      </c>
      <c r="CM758" s="3070">
        <v>1271984.3999999999</v>
      </c>
      <c r="CV758" s="3070" t="s">
        <v>3246</v>
      </c>
      <c r="CW758" s="3070" t="s">
        <v>9433</v>
      </c>
      <c r="CX758" s="3070" t="s">
        <v>3242</v>
      </c>
      <c r="CZ758" s="3070">
        <v>213894.57</v>
      </c>
      <c r="DA758" s="3070">
        <v>159426.93</v>
      </c>
      <c r="DB758" s="3070">
        <v>0</v>
      </c>
      <c r="DC758" s="3070">
        <v>0</v>
      </c>
      <c r="DD758" s="3070">
        <v>3290547602</v>
      </c>
      <c r="DE758" s="3070">
        <v>2764253109</v>
      </c>
      <c r="DF758" s="3070">
        <v>1464966739</v>
      </c>
      <c r="DG758" s="3070">
        <v>14938370</v>
      </c>
      <c r="DH758" s="3070">
        <v>1284348000</v>
      </c>
      <c r="DI758" s="3070">
        <v>1278128000</v>
      </c>
      <c r="DJ758" s="3070">
        <v>6220000</v>
      </c>
      <c r="DK758" s="3070">
        <v>0</v>
      </c>
      <c r="DL758" s="3070">
        <v>0</v>
      </c>
      <c r="DM758" s="3070">
        <v>25491817.620000001</v>
      </c>
      <c r="DN758" s="3070">
        <v>2764253109</v>
      </c>
      <c r="DP758" s="3070">
        <v>2764253109</v>
      </c>
    </row>
    <row r="759" spans="1:120">
      <c r="A759" s="3070">
        <v>758</v>
      </c>
      <c r="B759" s="3070" t="s">
        <v>3224</v>
      </c>
      <c r="C759" s="3070">
        <v>8</v>
      </c>
      <c r="D759" s="3070">
        <v>2</v>
      </c>
      <c r="E759" s="3070">
        <v>506</v>
      </c>
      <c r="F759" s="3070" t="s">
        <v>9434</v>
      </c>
      <c r="G759" s="3070" t="s">
        <v>9435</v>
      </c>
      <c r="H759" s="3070">
        <v>1086098</v>
      </c>
      <c r="I759" s="3070">
        <v>1086098</v>
      </c>
      <c r="J759" s="3070">
        <v>84.62</v>
      </c>
      <c r="K759" s="3070">
        <v>62.38</v>
      </c>
      <c r="L759" s="3070">
        <v>0</v>
      </c>
      <c r="M759" s="3070">
        <v>0</v>
      </c>
      <c r="N759" s="3070">
        <v>15783.44</v>
      </c>
      <c r="O759" s="3070">
        <v>1335595</v>
      </c>
      <c r="P759" s="3070">
        <v>12835</v>
      </c>
      <c r="Q759" s="3070">
        <v>1086098</v>
      </c>
      <c r="R759" s="3070" t="s">
        <v>3227</v>
      </c>
      <c r="S759" s="3070" t="s">
        <v>9436</v>
      </c>
      <c r="T759" s="3070" t="s">
        <v>3246</v>
      </c>
      <c r="U759" s="3070" t="s">
        <v>3247</v>
      </c>
      <c r="V759" s="3070" t="s">
        <v>3230</v>
      </c>
      <c r="Y759" s="3070">
        <v>326098</v>
      </c>
      <c r="Z759" s="3070">
        <v>200000</v>
      </c>
      <c r="AA759" s="3070">
        <v>326098</v>
      </c>
      <c r="AB759" s="3070">
        <v>0</v>
      </c>
      <c r="AC759" s="3070">
        <v>760000</v>
      </c>
      <c r="AD759" s="3070">
        <v>760000</v>
      </c>
      <c r="AE759" s="3070">
        <v>0</v>
      </c>
      <c r="AI759" s="3070" t="s">
        <v>3227</v>
      </c>
      <c r="AJ759" s="3070">
        <v>0</v>
      </c>
      <c r="AK759" s="3070">
        <v>0</v>
      </c>
      <c r="AL759" s="3070">
        <v>0</v>
      </c>
      <c r="AM759" s="3070">
        <v>12835</v>
      </c>
      <c r="AN759" s="3070">
        <v>1086098</v>
      </c>
      <c r="AP759" s="3070">
        <v>1086098</v>
      </c>
      <c r="AQ759" s="3072">
        <v>45230</v>
      </c>
      <c r="AT759" s="3073">
        <v>45770</v>
      </c>
      <c r="AV759" s="3074">
        <v>2.32E+17</v>
      </c>
      <c r="AW759" s="3070" t="s">
        <v>9437</v>
      </c>
      <c r="AX759" s="3070" t="s">
        <v>9438</v>
      </c>
      <c r="AY759" s="3070" t="s">
        <v>3233</v>
      </c>
      <c r="BC759" s="3070" t="s">
        <v>3284</v>
      </c>
      <c r="BD759" s="3070" t="s">
        <v>3076</v>
      </c>
      <c r="BI759" s="3070" t="s">
        <v>3235</v>
      </c>
      <c r="BJ759" s="3070" t="s">
        <v>3296</v>
      </c>
      <c r="BL759" s="3070" t="s">
        <v>9439</v>
      </c>
      <c r="BM759" s="3075">
        <v>44410</v>
      </c>
      <c r="BN759" s="3070">
        <v>-50</v>
      </c>
      <c r="BO759" s="3070" t="s">
        <v>3253</v>
      </c>
      <c r="BR759" s="3070">
        <v>825</v>
      </c>
      <c r="BS759" s="3070" t="s">
        <v>3238</v>
      </c>
      <c r="BZ759" s="3073">
        <v>44142.646527777775</v>
      </c>
      <c r="CA759" s="3070">
        <v>8</v>
      </c>
      <c r="CD759" s="3070" t="s">
        <v>3239</v>
      </c>
      <c r="CF759" s="3070" t="s">
        <v>3091</v>
      </c>
      <c r="CH759" s="3070" t="s">
        <v>3240</v>
      </c>
      <c r="CI759" s="3070">
        <v>0</v>
      </c>
      <c r="CK759" s="3070" t="s">
        <v>3233</v>
      </c>
      <c r="CL759" s="3070" t="s">
        <v>3233</v>
      </c>
      <c r="CM759" s="3070">
        <v>996420.18</v>
      </c>
      <c r="CV759" s="3070" t="s">
        <v>3246</v>
      </c>
      <c r="CW759" s="3070" t="s">
        <v>9440</v>
      </c>
      <c r="CX759" s="3070" t="s">
        <v>3267</v>
      </c>
      <c r="CZ759" s="3070">
        <v>213894.57</v>
      </c>
      <c r="DA759" s="3070">
        <v>159426.93</v>
      </c>
      <c r="DB759" s="3070">
        <v>0</v>
      </c>
      <c r="DC759" s="3070">
        <v>0</v>
      </c>
      <c r="DD759" s="3070">
        <v>3290547602</v>
      </c>
      <c r="DE759" s="3070">
        <v>2764253109</v>
      </c>
      <c r="DF759" s="3070">
        <v>1464966739</v>
      </c>
      <c r="DG759" s="3070">
        <v>14938370</v>
      </c>
      <c r="DH759" s="3070">
        <v>1284348000</v>
      </c>
      <c r="DI759" s="3070">
        <v>1278128000</v>
      </c>
      <c r="DJ759" s="3070">
        <v>6220000</v>
      </c>
      <c r="DK759" s="3070">
        <v>0</v>
      </c>
      <c r="DL759" s="3070">
        <v>0</v>
      </c>
      <c r="DM759" s="3070">
        <v>25491817.620000001</v>
      </c>
      <c r="DN759" s="3070">
        <v>2764253109</v>
      </c>
      <c r="DP759" s="3070">
        <v>2764253109</v>
      </c>
    </row>
    <row r="760" spans="1:120">
      <c r="A760" s="3070">
        <v>759</v>
      </c>
      <c r="B760" s="3070" t="s">
        <v>3224</v>
      </c>
      <c r="C760" s="3070">
        <v>8</v>
      </c>
      <c r="D760" s="3070">
        <v>2</v>
      </c>
      <c r="E760" s="3070">
        <v>507</v>
      </c>
      <c r="F760" s="3070" t="s">
        <v>9441</v>
      </c>
      <c r="G760" s="3070" t="s">
        <v>9442</v>
      </c>
      <c r="H760" s="3070">
        <v>1086098</v>
      </c>
      <c r="I760" s="3070">
        <v>1086098</v>
      </c>
      <c r="J760" s="3070">
        <v>84.62</v>
      </c>
      <c r="K760" s="3070">
        <v>62.38</v>
      </c>
      <c r="L760" s="3070">
        <v>0</v>
      </c>
      <c r="M760" s="3070">
        <v>0</v>
      </c>
      <c r="N760" s="3070">
        <v>15783.44</v>
      </c>
      <c r="O760" s="3070">
        <v>1335595</v>
      </c>
      <c r="P760" s="3070">
        <v>12835</v>
      </c>
      <c r="Q760" s="3070">
        <v>1086098</v>
      </c>
      <c r="R760" s="3070" t="s">
        <v>3227</v>
      </c>
      <c r="S760" s="3070" t="s">
        <v>9443</v>
      </c>
      <c r="T760" s="3070" t="s">
        <v>3302</v>
      </c>
      <c r="V760" s="3070" t="s">
        <v>3230</v>
      </c>
      <c r="Y760" s="3070">
        <v>108610</v>
      </c>
      <c r="Z760" s="3070">
        <v>108610</v>
      </c>
      <c r="AA760" s="3070">
        <v>1086098</v>
      </c>
      <c r="AB760" s="3070">
        <v>0</v>
      </c>
      <c r="AC760" s="3070">
        <v>0</v>
      </c>
      <c r="AD760" s="3070">
        <v>0</v>
      </c>
      <c r="AE760" s="3070">
        <v>0</v>
      </c>
      <c r="AI760" s="3070" t="s">
        <v>3227</v>
      </c>
      <c r="AJ760" s="3070">
        <v>0</v>
      </c>
      <c r="AK760" s="3070">
        <v>0</v>
      </c>
      <c r="AL760" s="3070">
        <v>0</v>
      </c>
      <c r="AM760" s="3070">
        <v>12835</v>
      </c>
      <c r="AN760" s="3070">
        <v>1086098</v>
      </c>
      <c r="AP760" s="3070">
        <v>1086098</v>
      </c>
      <c r="AQ760" s="3072">
        <v>45230</v>
      </c>
      <c r="AT760" s="3073">
        <v>45770</v>
      </c>
      <c r="AV760" s="3074">
        <v>3.21E+17</v>
      </c>
      <c r="AW760" s="3070" t="s">
        <v>9444</v>
      </c>
      <c r="AX760" s="3070" t="s">
        <v>9445</v>
      </c>
      <c r="AY760" s="3070" t="s">
        <v>3648</v>
      </c>
      <c r="BC760" s="3070" t="s">
        <v>3307</v>
      </c>
      <c r="BD760" s="3070" t="s">
        <v>3076</v>
      </c>
      <c r="BI760" s="3070" t="s">
        <v>3235</v>
      </c>
      <c r="BL760" s="3070" t="s">
        <v>9446</v>
      </c>
      <c r="BM760" s="3075">
        <v>44410</v>
      </c>
      <c r="BN760" s="3070">
        <v>-50</v>
      </c>
      <c r="BR760" s="3070">
        <v>452</v>
      </c>
      <c r="BS760" s="3070" t="s">
        <v>3238</v>
      </c>
      <c r="BZ760" s="3073">
        <v>44153.817361111112</v>
      </c>
      <c r="CA760" s="3070">
        <v>8</v>
      </c>
      <c r="CD760" s="3070" t="s">
        <v>3239</v>
      </c>
      <c r="CF760" s="3070" t="s">
        <v>3091</v>
      </c>
      <c r="CH760" s="3070" t="s">
        <v>3240</v>
      </c>
      <c r="CI760" s="3070">
        <v>0</v>
      </c>
      <c r="CK760" s="3070" t="s">
        <v>3648</v>
      </c>
      <c r="CL760" s="3070" t="s">
        <v>3648</v>
      </c>
      <c r="CM760" s="3070">
        <v>996420.18</v>
      </c>
      <c r="CV760" s="3070" t="s">
        <v>3309</v>
      </c>
      <c r="CW760" s="3070" t="s">
        <v>9447</v>
      </c>
      <c r="CX760" s="3070" t="s">
        <v>3510</v>
      </c>
      <c r="CZ760" s="3070">
        <v>213894.57</v>
      </c>
      <c r="DA760" s="3070">
        <v>159426.93</v>
      </c>
      <c r="DB760" s="3070">
        <v>0</v>
      </c>
      <c r="DC760" s="3070">
        <v>0</v>
      </c>
      <c r="DD760" s="3070">
        <v>3290547602</v>
      </c>
      <c r="DE760" s="3070">
        <v>2764253109</v>
      </c>
      <c r="DF760" s="3070">
        <v>1464966739</v>
      </c>
      <c r="DG760" s="3070">
        <v>14938370</v>
      </c>
      <c r="DH760" s="3070">
        <v>1284348000</v>
      </c>
      <c r="DI760" s="3070">
        <v>1278128000</v>
      </c>
      <c r="DJ760" s="3070">
        <v>6220000</v>
      </c>
      <c r="DK760" s="3070">
        <v>0</v>
      </c>
      <c r="DL760" s="3070">
        <v>0</v>
      </c>
      <c r="DM760" s="3070">
        <v>25491817.620000001</v>
      </c>
      <c r="DN760" s="3070">
        <v>2764253109</v>
      </c>
      <c r="DP760" s="3070">
        <v>2764253109</v>
      </c>
    </row>
    <row r="761" spans="1:120">
      <c r="A761" s="3070">
        <v>760</v>
      </c>
      <c r="B761" s="3070" t="s">
        <v>3224</v>
      </c>
      <c r="C761" s="3070">
        <v>8</v>
      </c>
      <c r="D761" s="3070">
        <v>2</v>
      </c>
      <c r="E761" s="3070">
        <v>508</v>
      </c>
      <c r="F761" s="3070" t="s">
        <v>9448</v>
      </c>
      <c r="G761" s="3070" t="s">
        <v>9449</v>
      </c>
      <c r="H761" s="3070">
        <v>1580572</v>
      </c>
      <c r="I761" s="3070">
        <v>1580572</v>
      </c>
      <c r="J761" s="3070">
        <v>120.15</v>
      </c>
      <c r="K761" s="3070">
        <v>88.57</v>
      </c>
      <c r="L761" s="3070">
        <v>0</v>
      </c>
      <c r="M761" s="3070">
        <v>0</v>
      </c>
      <c r="N761" s="3070">
        <v>15394.44</v>
      </c>
      <c r="O761" s="3070">
        <v>1849642</v>
      </c>
      <c r="P761" s="3070">
        <v>13154.99</v>
      </c>
      <c r="Q761" s="3070">
        <v>1580572</v>
      </c>
      <c r="R761" s="3070" t="s">
        <v>3227</v>
      </c>
      <c r="S761" s="3070" t="s">
        <v>9450</v>
      </c>
      <c r="T761" s="3070" t="s">
        <v>3494</v>
      </c>
      <c r="V761" s="3070" t="s">
        <v>3230</v>
      </c>
      <c r="Y761" s="3070">
        <v>158057</v>
      </c>
      <c r="Z761" s="3070">
        <v>158057</v>
      </c>
      <c r="AA761" s="3070">
        <v>1580572</v>
      </c>
      <c r="AB761" s="3070">
        <v>0</v>
      </c>
      <c r="AC761" s="3070">
        <v>0</v>
      </c>
      <c r="AD761" s="3070">
        <v>0</v>
      </c>
      <c r="AE761" s="3070">
        <v>0</v>
      </c>
      <c r="AI761" s="3070" t="s">
        <v>3227</v>
      </c>
      <c r="AJ761" s="3070">
        <v>0</v>
      </c>
      <c r="AK761" s="3070">
        <v>0</v>
      </c>
      <c r="AL761" s="3070">
        <v>0</v>
      </c>
      <c r="AM761" s="3070">
        <v>13154.99</v>
      </c>
      <c r="AN761" s="3070">
        <v>1580572</v>
      </c>
      <c r="AP761" s="3070">
        <v>1580572</v>
      </c>
      <c r="AQ761" s="3072">
        <v>45230</v>
      </c>
      <c r="AT761" s="3073">
        <v>45770</v>
      </c>
      <c r="AV761" s="3074">
        <v>3.21E+17</v>
      </c>
      <c r="AW761" s="3070" t="s">
        <v>9451</v>
      </c>
      <c r="AX761" s="3070" t="s">
        <v>9452</v>
      </c>
      <c r="AY761" s="3070" t="s">
        <v>3892</v>
      </c>
      <c r="BA761" s="3070" t="s">
        <v>4056</v>
      </c>
      <c r="BC761" s="3070" t="s">
        <v>4117</v>
      </c>
      <c r="BD761" s="3070" t="s">
        <v>3075</v>
      </c>
      <c r="BI761" s="3070" t="s">
        <v>4630</v>
      </c>
      <c r="BL761" s="3070" t="s">
        <v>9453</v>
      </c>
      <c r="BM761" s="3075">
        <v>44410</v>
      </c>
      <c r="BN761" s="3070">
        <v>-50</v>
      </c>
      <c r="BR761" s="3070">
        <v>22</v>
      </c>
      <c r="BS761" s="3070" t="s">
        <v>3238</v>
      </c>
      <c r="BU761" s="3070" t="s">
        <v>4056</v>
      </c>
      <c r="BV761" s="3070" t="s">
        <v>9454</v>
      </c>
      <c r="BZ761" s="3073">
        <v>44194.631944444445</v>
      </c>
      <c r="CA761" s="3070">
        <v>8</v>
      </c>
      <c r="CD761" s="3070" t="s">
        <v>3239</v>
      </c>
      <c r="CF761" s="3070" t="s">
        <v>3091</v>
      </c>
      <c r="CH761" s="3070" t="s">
        <v>3240</v>
      </c>
      <c r="CI761" s="3070">
        <v>0</v>
      </c>
      <c r="CK761" s="3070" t="s">
        <v>3892</v>
      </c>
      <c r="CL761" s="3070" t="s">
        <v>4056</v>
      </c>
      <c r="CM761" s="3070">
        <v>1450066.06</v>
      </c>
      <c r="CV761" s="3070" t="s">
        <v>3494</v>
      </c>
      <c r="CW761" s="3070" t="s">
        <v>9455</v>
      </c>
      <c r="CZ761" s="3070">
        <v>213894.57</v>
      </c>
      <c r="DA761" s="3070">
        <v>159426.93</v>
      </c>
      <c r="DB761" s="3070">
        <v>0</v>
      </c>
      <c r="DC761" s="3070">
        <v>0</v>
      </c>
      <c r="DD761" s="3070">
        <v>3290547602</v>
      </c>
      <c r="DE761" s="3070">
        <v>2764253109</v>
      </c>
      <c r="DF761" s="3070">
        <v>1464966739</v>
      </c>
      <c r="DG761" s="3070">
        <v>14938370</v>
      </c>
      <c r="DH761" s="3070">
        <v>1284348000</v>
      </c>
      <c r="DI761" s="3070">
        <v>1278128000</v>
      </c>
      <c r="DJ761" s="3070">
        <v>6220000</v>
      </c>
      <c r="DK761" s="3070">
        <v>0</v>
      </c>
      <c r="DL761" s="3070">
        <v>0</v>
      </c>
      <c r="DM761" s="3070">
        <v>25491817.620000001</v>
      </c>
      <c r="DN761" s="3070">
        <v>2764253109</v>
      </c>
      <c r="DP761" s="3070">
        <v>2764253109</v>
      </c>
    </row>
    <row r="762" spans="1:120">
      <c r="A762" s="3070">
        <v>761</v>
      </c>
      <c r="B762" s="3070" t="s">
        <v>3224</v>
      </c>
      <c r="C762" s="3070">
        <v>8</v>
      </c>
      <c r="D762" s="3070">
        <v>1</v>
      </c>
      <c r="E762" s="3070">
        <v>601</v>
      </c>
      <c r="F762" s="3070" t="s">
        <v>9456</v>
      </c>
      <c r="G762" s="3070" t="s">
        <v>9457</v>
      </c>
      <c r="H762" s="3070">
        <v>1526249</v>
      </c>
      <c r="I762" s="3070">
        <v>1526249</v>
      </c>
      <c r="J762" s="3070">
        <v>120.15</v>
      </c>
      <c r="K762" s="3070">
        <v>88.57</v>
      </c>
      <c r="L762" s="3070">
        <v>0</v>
      </c>
      <c r="M762" s="3070">
        <v>0</v>
      </c>
      <c r="N762" s="3070">
        <v>15644.44</v>
      </c>
      <c r="O762" s="3070">
        <v>1879679</v>
      </c>
      <c r="P762" s="3070">
        <v>12702.86</v>
      </c>
      <c r="Q762" s="3070">
        <v>1526249</v>
      </c>
      <c r="R762" s="3070" t="s">
        <v>3227</v>
      </c>
      <c r="S762" s="3070" t="s">
        <v>9458</v>
      </c>
      <c r="T762" s="3070" t="s">
        <v>3246</v>
      </c>
      <c r="U762" s="3070" t="s">
        <v>3371</v>
      </c>
      <c r="V762" s="3070" t="s">
        <v>3230</v>
      </c>
      <c r="Y762" s="3070">
        <v>466249</v>
      </c>
      <c r="Z762" s="3070">
        <v>466249</v>
      </c>
      <c r="AA762" s="3070">
        <v>466249</v>
      </c>
      <c r="AB762" s="3070">
        <v>0</v>
      </c>
      <c r="AC762" s="3070">
        <v>1060000</v>
      </c>
      <c r="AD762" s="3070">
        <v>1060000</v>
      </c>
      <c r="AE762" s="3070">
        <v>0</v>
      </c>
      <c r="AI762" s="3070" t="s">
        <v>3227</v>
      </c>
      <c r="AJ762" s="3070">
        <v>0</v>
      </c>
      <c r="AK762" s="3070">
        <v>0</v>
      </c>
      <c r="AL762" s="3070">
        <v>0</v>
      </c>
      <c r="AM762" s="3070">
        <v>12702.86</v>
      </c>
      <c r="AN762" s="3070">
        <v>1526249</v>
      </c>
      <c r="AP762" s="3070">
        <v>1526249</v>
      </c>
      <c r="AQ762" s="3072">
        <v>45230</v>
      </c>
      <c r="AT762" s="3073">
        <v>45770</v>
      </c>
      <c r="AV762" s="3070" t="s">
        <v>9459</v>
      </c>
      <c r="AW762" s="3070" t="s">
        <v>9460</v>
      </c>
      <c r="AX762" s="3070" t="s">
        <v>9461</v>
      </c>
      <c r="AY762" s="3070" t="s">
        <v>3273</v>
      </c>
      <c r="BC762" s="3070" t="s">
        <v>3284</v>
      </c>
      <c r="BD762" s="3070" t="s">
        <v>3075</v>
      </c>
      <c r="BI762" s="3070" t="s">
        <v>3295</v>
      </c>
      <c r="BL762" s="3070" t="s">
        <v>9462</v>
      </c>
      <c r="BM762" s="3075">
        <v>44409</v>
      </c>
      <c r="BN762" s="3070">
        <v>-60</v>
      </c>
      <c r="BO762" s="3070" t="s">
        <v>3253</v>
      </c>
      <c r="BR762" s="3070">
        <v>930</v>
      </c>
      <c r="BS762" s="3070" t="s">
        <v>3238</v>
      </c>
      <c r="BZ762" s="3073">
        <v>44142.599305555559</v>
      </c>
      <c r="CA762" s="3070">
        <v>8</v>
      </c>
      <c r="CD762" s="3070" t="s">
        <v>3239</v>
      </c>
      <c r="CF762" s="3070" t="s">
        <v>3091</v>
      </c>
      <c r="CH762" s="3070" t="s">
        <v>3240</v>
      </c>
      <c r="CI762" s="3070">
        <v>0</v>
      </c>
      <c r="CK762" s="3070" t="s">
        <v>3273</v>
      </c>
      <c r="CL762" s="3070" t="s">
        <v>3273</v>
      </c>
      <c r="CM762" s="3070">
        <v>1400228.44</v>
      </c>
      <c r="CV762" s="3070" t="s">
        <v>3246</v>
      </c>
      <c r="CW762" s="3070" t="s">
        <v>9463</v>
      </c>
      <c r="CZ762" s="3070">
        <v>213894.57</v>
      </c>
      <c r="DA762" s="3070">
        <v>159426.93</v>
      </c>
      <c r="DB762" s="3070">
        <v>0</v>
      </c>
      <c r="DC762" s="3070">
        <v>0</v>
      </c>
      <c r="DD762" s="3070">
        <v>3290547602</v>
      </c>
      <c r="DE762" s="3070">
        <v>2764253109</v>
      </c>
      <c r="DF762" s="3070">
        <v>1464966739</v>
      </c>
      <c r="DG762" s="3070">
        <v>14938370</v>
      </c>
      <c r="DH762" s="3070">
        <v>1284348000</v>
      </c>
      <c r="DI762" s="3070">
        <v>1278128000</v>
      </c>
      <c r="DJ762" s="3070">
        <v>6220000</v>
      </c>
      <c r="DK762" s="3070">
        <v>0</v>
      </c>
      <c r="DL762" s="3070">
        <v>0</v>
      </c>
      <c r="DM762" s="3070">
        <v>25491817.620000001</v>
      </c>
      <c r="DN762" s="3070">
        <v>2764253109</v>
      </c>
      <c r="DP762" s="3070">
        <v>2764253109</v>
      </c>
    </row>
    <row r="763" spans="1:120">
      <c r="A763" s="3070">
        <v>762</v>
      </c>
      <c r="B763" s="3070" t="s">
        <v>3224</v>
      </c>
      <c r="C763" s="3070">
        <v>8</v>
      </c>
      <c r="D763" s="3070">
        <v>1</v>
      </c>
      <c r="E763" s="3070">
        <v>602</v>
      </c>
      <c r="F763" s="3070" t="s">
        <v>9464</v>
      </c>
      <c r="G763" s="3070" t="s">
        <v>9465</v>
      </c>
      <c r="H763" s="3070">
        <v>1090120</v>
      </c>
      <c r="I763" s="3070">
        <v>1090120</v>
      </c>
      <c r="J763" s="3070">
        <v>84.62</v>
      </c>
      <c r="K763" s="3070">
        <v>62.38</v>
      </c>
      <c r="L763" s="3070">
        <v>0</v>
      </c>
      <c r="M763" s="3070">
        <v>0</v>
      </c>
      <c r="N763" s="3070">
        <v>15833.44</v>
      </c>
      <c r="O763" s="3070">
        <v>1339826</v>
      </c>
      <c r="P763" s="3070">
        <v>12882.53</v>
      </c>
      <c r="Q763" s="3070">
        <v>1090120</v>
      </c>
      <c r="R763" s="3070" t="s">
        <v>3227</v>
      </c>
      <c r="S763" s="3070" t="s">
        <v>9466</v>
      </c>
      <c r="T763" s="3070" t="s">
        <v>3246</v>
      </c>
      <c r="U763" s="3070" t="s">
        <v>3247</v>
      </c>
      <c r="V763" s="3070" t="s">
        <v>3230</v>
      </c>
      <c r="Y763" s="3070">
        <v>400120</v>
      </c>
      <c r="Z763" s="3070">
        <v>400120</v>
      </c>
      <c r="AA763" s="3070">
        <v>400120</v>
      </c>
      <c r="AB763" s="3070">
        <v>0</v>
      </c>
      <c r="AC763" s="3070">
        <v>690000</v>
      </c>
      <c r="AD763" s="3070">
        <v>690000</v>
      </c>
      <c r="AE763" s="3070">
        <v>0</v>
      </c>
      <c r="AI763" s="3070" t="s">
        <v>3227</v>
      </c>
      <c r="AJ763" s="3070">
        <v>0</v>
      </c>
      <c r="AK763" s="3070">
        <v>0</v>
      </c>
      <c r="AL763" s="3070">
        <v>0</v>
      </c>
      <c r="AM763" s="3070">
        <v>12882.53</v>
      </c>
      <c r="AN763" s="3070">
        <v>1090120</v>
      </c>
      <c r="AP763" s="3070">
        <v>1090120</v>
      </c>
      <c r="AQ763" s="3072">
        <v>45230</v>
      </c>
      <c r="AT763" s="3073">
        <v>45770</v>
      </c>
      <c r="AV763" s="3074">
        <v>3.21E+17</v>
      </c>
      <c r="AW763" s="3070" t="s">
        <v>9467</v>
      </c>
      <c r="AX763" s="3070" t="s">
        <v>9468</v>
      </c>
      <c r="AY763" s="3070" t="s">
        <v>4084</v>
      </c>
      <c r="BC763" s="3070" t="s">
        <v>3284</v>
      </c>
      <c r="BD763" s="3070" t="s">
        <v>3076</v>
      </c>
      <c r="BI763" s="3070" t="s">
        <v>3295</v>
      </c>
      <c r="BJ763" s="3070" t="s">
        <v>3598</v>
      </c>
      <c r="BL763" s="3070" t="s">
        <v>9469</v>
      </c>
      <c r="BM763" s="3075">
        <v>44409</v>
      </c>
      <c r="BN763" s="3070">
        <v>-60</v>
      </c>
      <c r="BO763" s="3070" t="s">
        <v>3253</v>
      </c>
      <c r="BR763" s="3070">
        <v>373</v>
      </c>
      <c r="BS763" s="3070" t="s">
        <v>3238</v>
      </c>
      <c r="BZ763" s="3073">
        <v>44149.777777777781</v>
      </c>
      <c r="CA763" s="3070">
        <v>8</v>
      </c>
      <c r="CD763" s="3070" t="s">
        <v>3239</v>
      </c>
      <c r="CF763" s="3070" t="s">
        <v>3091</v>
      </c>
      <c r="CH763" s="3070" t="s">
        <v>3240</v>
      </c>
      <c r="CI763" s="3070">
        <v>0</v>
      </c>
      <c r="CK763" s="3070" t="s">
        <v>4084</v>
      </c>
      <c r="CL763" s="3070" t="s">
        <v>4084</v>
      </c>
      <c r="CM763" s="3070">
        <v>1000110.09</v>
      </c>
      <c r="CV763" s="3070" t="s">
        <v>3246</v>
      </c>
      <c r="CW763" s="3070" t="s">
        <v>9470</v>
      </c>
      <c r="CZ763" s="3070">
        <v>213894.57</v>
      </c>
      <c r="DA763" s="3070">
        <v>159426.93</v>
      </c>
      <c r="DB763" s="3070">
        <v>0</v>
      </c>
      <c r="DC763" s="3070">
        <v>0</v>
      </c>
      <c r="DD763" s="3070">
        <v>3290547602</v>
      </c>
      <c r="DE763" s="3070">
        <v>2764253109</v>
      </c>
      <c r="DF763" s="3070">
        <v>1464966739</v>
      </c>
      <c r="DG763" s="3070">
        <v>14938370</v>
      </c>
      <c r="DH763" s="3070">
        <v>1284348000</v>
      </c>
      <c r="DI763" s="3070">
        <v>1278128000</v>
      </c>
      <c r="DJ763" s="3070">
        <v>6220000</v>
      </c>
      <c r="DK763" s="3070">
        <v>0</v>
      </c>
      <c r="DL763" s="3070">
        <v>0</v>
      </c>
      <c r="DM763" s="3070">
        <v>25491817.620000001</v>
      </c>
      <c r="DN763" s="3070">
        <v>2764253109</v>
      </c>
      <c r="DP763" s="3070">
        <v>2764253109</v>
      </c>
    </row>
    <row r="764" spans="1:120">
      <c r="A764" s="3070">
        <v>763</v>
      </c>
      <c r="B764" s="3070" t="s">
        <v>3224</v>
      </c>
      <c r="C764" s="3070">
        <v>8</v>
      </c>
      <c r="D764" s="3070">
        <v>1</v>
      </c>
      <c r="E764" s="3070">
        <v>603</v>
      </c>
      <c r="F764" s="3070" t="s">
        <v>9471</v>
      </c>
      <c r="G764" s="3070" t="s">
        <v>9472</v>
      </c>
      <c r="H764" s="3070">
        <v>1090120</v>
      </c>
      <c r="I764" s="3070">
        <v>1090120</v>
      </c>
      <c r="J764" s="3070">
        <v>84.62</v>
      </c>
      <c r="K764" s="3070">
        <v>62.38</v>
      </c>
      <c r="L764" s="3070">
        <v>0</v>
      </c>
      <c r="M764" s="3070">
        <v>0</v>
      </c>
      <c r="N764" s="3070">
        <v>15833.44</v>
      </c>
      <c r="O764" s="3070">
        <v>1339826</v>
      </c>
      <c r="P764" s="3070">
        <v>12882.53</v>
      </c>
      <c r="Q764" s="3070">
        <v>1090120</v>
      </c>
      <c r="R764" s="3070" t="s">
        <v>3227</v>
      </c>
      <c r="S764" s="3070" t="s">
        <v>9473</v>
      </c>
      <c r="T764" s="3070" t="s">
        <v>3246</v>
      </c>
      <c r="U764" s="3070" t="s">
        <v>3247</v>
      </c>
      <c r="V764" s="3070" t="s">
        <v>3230</v>
      </c>
      <c r="Y764" s="3070">
        <v>430120</v>
      </c>
      <c r="Z764" s="3070">
        <v>430120</v>
      </c>
      <c r="AA764" s="3070">
        <v>430120</v>
      </c>
      <c r="AB764" s="3070">
        <v>0</v>
      </c>
      <c r="AC764" s="3070">
        <v>660000</v>
      </c>
      <c r="AD764" s="3070">
        <v>660000</v>
      </c>
      <c r="AE764" s="3070">
        <v>0</v>
      </c>
      <c r="AI764" s="3070" t="s">
        <v>3227</v>
      </c>
      <c r="AJ764" s="3070">
        <v>0</v>
      </c>
      <c r="AK764" s="3070">
        <v>0</v>
      </c>
      <c r="AL764" s="3070">
        <v>0</v>
      </c>
      <c r="AM764" s="3070">
        <v>12882.53</v>
      </c>
      <c r="AN764" s="3070">
        <v>1090120</v>
      </c>
      <c r="AP764" s="3070">
        <v>1090120</v>
      </c>
      <c r="AQ764" s="3072">
        <v>45230</v>
      </c>
      <c r="AT764" s="3073">
        <v>45770</v>
      </c>
      <c r="AV764" s="3070" t="s">
        <v>9474</v>
      </c>
      <c r="AW764" s="3070" t="s">
        <v>9475</v>
      </c>
      <c r="AX764" s="3070" t="s">
        <v>9476</v>
      </c>
      <c r="AY764" s="3070" t="s">
        <v>3497</v>
      </c>
      <c r="BC764" s="3070" t="s">
        <v>3284</v>
      </c>
      <c r="BD764" s="3070" t="s">
        <v>3076</v>
      </c>
      <c r="BI764" s="3070" t="s">
        <v>3235</v>
      </c>
      <c r="BJ764" s="3070" t="s">
        <v>3236</v>
      </c>
      <c r="BL764" s="3070" t="s">
        <v>9477</v>
      </c>
      <c r="BM764" s="3075">
        <v>44409</v>
      </c>
      <c r="BN764" s="3070">
        <v>-60</v>
      </c>
      <c r="BO764" s="3070" t="s">
        <v>3253</v>
      </c>
      <c r="BR764" s="3070">
        <v>716</v>
      </c>
      <c r="BS764" s="3070" t="s">
        <v>3238</v>
      </c>
      <c r="BZ764" s="3073">
        <v>44142.643055555556</v>
      </c>
      <c r="CA764" s="3070">
        <v>8</v>
      </c>
      <c r="CD764" s="3070" t="s">
        <v>3239</v>
      </c>
      <c r="CF764" s="3070" t="s">
        <v>3091</v>
      </c>
      <c r="CH764" s="3070" t="s">
        <v>3240</v>
      </c>
      <c r="CI764" s="3070">
        <v>0</v>
      </c>
      <c r="CK764" s="3070" t="s">
        <v>3497</v>
      </c>
      <c r="CL764" s="3070" t="s">
        <v>3497</v>
      </c>
      <c r="CM764" s="3070">
        <v>1000110.09</v>
      </c>
      <c r="CV764" s="3070" t="s">
        <v>3246</v>
      </c>
      <c r="CW764" s="3070" t="s">
        <v>9478</v>
      </c>
      <c r="CX764" s="3070" t="s">
        <v>3510</v>
      </c>
      <c r="CZ764" s="3070">
        <v>213894.57</v>
      </c>
      <c r="DA764" s="3070">
        <v>159426.93</v>
      </c>
      <c r="DB764" s="3070">
        <v>0</v>
      </c>
      <c r="DC764" s="3070">
        <v>0</v>
      </c>
      <c r="DD764" s="3070">
        <v>3290547602</v>
      </c>
      <c r="DE764" s="3070">
        <v>2764253109</v>
      </c>
      <c r="DF764" s="3070">
        <v>1464966739</v>
      </c>
      <c r="DG764" s="3070">
        <v>14938370</v>
      </c>
      <c r="DH764" s="3070">
        <v>1284348000</v>
      </c>
      <c r="DI764" s="3070">
        <v>1278128000</v>
      </c>
      <c r="DJ764" s="3070">
        <v>6220000</v>
      </c>
      <c r="DK764" s="3070">
        <v>0</v>
      </c>
      <c r="DL764" s="3070">
        <v>0</v>
      </c>
      <c r="DM764" s="3070">
        <v>25491817.620000001</v>
      </c>
      <c r="DN764" s="3070">
        <v>2764253109</v>
      </c>
      <c r="DP764" s="3070">
        <v>2764253109</v>
      </c>
    </row>
    <row r="765" spans="1:120">
      <c r="A765" s="3070">
        <v>764</v>
      </c>
      <c r="B765" s="3070" t="s">
        <v>3224</v>
      </c>
      <c r="C765" s="3070">
        <v>8</v>
      </c>
      <c r="D765" s="3070">
        <v>1</v>
      </c>
      <c r="E765" s="3070">
        <v>604</v>
      </c>
      <c r="F765" s="3070" t="s">
        <v>9479</v>
      </c>
      <c r="G765" s="3070" t="s">
        <v>9480</v>
      </c>
      <c r="H765" s="3070">
        <v>1397844</v>
      </c>
      <c r="I765" s="3070">
        <v>1397844</v>
      </c>
      <c r="J765" s="3070">
        <v>108.82</v>
      </c>
      <c r="K765" s="3070">
        <v>80.22</v>
      </c>
      <c r="L765" s="3070">
        <v>0</v>
      </c>
      <c r="M765" s="3070">
        <v>0</v>
      </c>
      <c r="N765" s="3070">
        <v>15734.44</v>
      </c>
      <c r="O765" s="3070">
        <v>1712222</v>
      </c>
      <c r="P765" s="3070">
        <v>12845.47</v>
      </c>
      <c r="Q765" s="3070">
        <v>1397844</v>
      </c>
      <c r="R765" s="3070" t="s">
        <v>3227</v>
      </c>
      <c r="S765" s="3070" t="s">
        <v>3353</v>
      </c>
      <c r="T765" s="3070" t="s">
        <v>3991</v>
      </c>
      <c r="V765" s="3070" t="s">
        <v>3230</v>
      </c>
      <c r="Y765" s="3070">
        <v>419353</v>
      </c>
      <c r="Z765" s="3070">
        <v>419353</v>
      </c>
      <c r="AA765" s="3070">
        <v>1397844</v>
      </c>
      <c r="AB765" s="3070">
        <v>0</v>
      </c>
      <c r="AC765" s="3070">
        <v>0</v>
      </c>
      <c r="AD765" s="3070">
        <v>0</v>
      </c>
      <c r="AE765" s="3070">
        <v>0</v>
      </c>
      <c r="AI765" s="3070" t="s">
        <v>3227</v>
      </c>
      <c r="AJ765" s="3070">
        <v>0</v>
      </c>
      <c r="AK765" s="3070">
        <v>0</v>
      </c>
      <c r="AL765" s="3070">
        <v>0</v>
      </c>
      <c r="AM765" s="3070">
        <v>12845.47</v>
      </c>
      <c r="AN765" s="3070">
        <v>1397844</v>
      </c>
      <c r="AP765" s="3070">
        <v>1397844</v>
      </c>
      <c r="AQ765" s="3072">
        <v>45230</v>
      </c>
      <c r="AT765" s="3073">
        <v>45770</v>
      </c>
      <c r="AV765" s="3074">
        <v>3.21E+17</v>
      </c>
      <c r="AW765" s="3070" t="s">
        <v>9481</v>
      </c>
      <c r="AX765" s="3070" t="s">
        <v>9482</v>
      </c>
      <c r="AY765" s="3070" t="s">
        <v>3892</v>
      </c>
      <c r="BA765" s="3070" t="s">
        <v>4056</v>
      </c>
      <c r="BC765" s="3070" t="s">
        <v>9483</v>
      </c>
      <c r="BD765" s="3070" t="s">
        <v>3077</v>
      </c>
      <c r="BI765" s="3070" t="s">
        <v>3235</v>
      </c>
      <c r="BL765" s="3070" t="s">
        <v>9484</v>
      </c>
      <c r="BM765" s="3075">
        <v>44409</v>
      </c>
      <c r="BN765" s="3070">
        <v>-60</v>
      </c>
      <c r="BR765" s="3070">
        <v>16</v>
      </c>
      <c r="BS765" s="3070" t="s">
        <v>3238</v>
      </c>
      <c r="BU765" s="3070" t="s">
        <v>4056</v>
      </c>
      <c r="BZ765" s="3073">
        <v>44222.813888888886</v>
      </c>
      <c r="CA765" s="3070">
        <v>8</v>
      </c>
      <c r="CD765" s="3070" t="s">
        <v>3239</v>
      </c>
      <c r="CF765" s="3070" t="s">
        <v>3091</v>
      </c>
      <c r="CH765" s="3070" t="s">
        <v>3240</v>
      </c>
      <c r="CI765" s="3070">
        <v>0</v>
      </c>
      <c r="CK765" s="3070" t="s">
        <v>3892</v>
      </c>
      <c r="CL765" s="3070" t="s">
        <v>4056</v>
      </c>
      <c r="CM765" s="3070">
        <v>1282425.69</v>
      </c>
      <c r="CV765" s="3070" t="s">
        <v>3494</v>
      </c>
      <c r="CW765" s="3070" t="s">
        <v>9485</v>
      </c>
      <c r="CZ765" s="3070">
        <v>213894.57</v>
      </c>
      <c r="DA765" s="3070">
        <v>159426.93</v>
      </c>
      <c r="DB765" s="3070">
        <v>0</v>
      </c>
      <c r="DC765" s="3070">
        <v>0</v>
      </c>
      <c r="DD765" s="3070">
        <v>3290547602</v>
      </c>
      <c r="DE765" s="3070">
        <v>2764253109</v>
      </c>
      <c r="DF765" s="3070">
        <v>1464966739</v>
      </c>
      <c r="DG765" s="3070">
        <v>14938370</v>
      </c>
      <c r="DH765" s="3070">
        <v>1284348000</v>
      </c>
      <c r="DI765" s="3070">
        <v>1278128000</v>
      </c>
      <c r="DJ765" s="3070">
        <v>6220000</v>
      </c>
      <c r="DK765" s="3070">
        <v>0</v>
      </c>
      <c r="DL765" s="3070">
        <v>0</v>
      </c>
      <c r="DM765" s="3070">
        <v>25491817.620000001</v>
      </c>
      <c r="DN765" s="3070">
        <v>2764253109</v>
      </c>
      <c r="DP765" s="3070">
        <v>2764253109</v>
      </c>
    </row>
    <row r="766" spans="1:120">
      <c r="A766" s="3070">
        <v>765</v>
      </c>
      <c r="B766" s="3070" t="s">
        <v>3224</v>
      </c>
      <c r="C766" s="3070">
        <v>8</v>
      </c>
      <c r="D766" s="3070">
        <v>2</v>
      </c>
      <c r="E766" s="3070">
        <v>605</v>
      </c>
      <c r="F766" s="3070" t="s">
        <v>9486</v>
      </c>
      <c r="G766" s="3070" t="s">
        <v>9487</v>
      </c>
      <c r="H766" s="3070">
        <v>1391636</v>
      </c>
      <c r="I766" s="3070">
        <v>1391636</v>
      </c>
      <c r="J766" s="3070">
        <v>108.82</v>
      </c>
      <c r="K766" s="3070">
        <v>80.22</v>
      </c>
      <c r="L766" s="3070">
        <v>0</v>
      </c>
      <c r="M766" s="3070">
        <v>0</v>
      </c>
      <c r="N766" s="3070">
        <v>15734.44</v>
      </c>
      <c r="O766" s="3070">
        <v>1712222</v>
      </c>
      <c r="P766" s="3070">
        <v>12788.42</v>
      </c>
      <c r="Q766" s="3070">
        <v>1391636</v>
      </c>
      <c r="R766" s="3070" t="s">
        <v>3227</v>
      </c>
      <c r="S766" s="3070" t="s">
        <v>9488</v>
      </c>
      <c r="T766" s="3070" t="s">
        <v>3246</v>
      </c>
      <c r="U766" s="3070" t="s">
        <v>3279</v>
      </c>
      <c r="V766" s="3070" t="s">
        <v>3230</v>
      </c>
      <c r="Y766" s="3070">
        <v>621636</v>
      </c>
      <c r="Z766" s="3070">
        <v>621636</v>
      </c>
      <c r="AA766" s="3070">
        <v>621636</v>
      </c>
      <c r="AB766" s="3070">
        <v>0</v>
      </c>
      <c r="AC766" s="3070">
        <v>770000</v>
      </c>
      <c r="AD766" s="3070">
        <v>770000</v>
      </c>
      <c r="AE766" s="3070">
        <v>0</v>
      </c>
      <c r="AI766" s="3070" t="s">
        <v>3227</v>
      </c>
      <c r="AJ766" s="3070">
        <v>0</v>
      </c>
      <c r="AK766" s="3070">
        <v>0</v>
      </c>
      <c r="AL766" s="3070">
        <v>0</v>
      </c>
      <c r="AM766" s="3070">
        <v>12788.42</v>
      </c>
      <c r="AN766" s="3070">
        <v>1391636</v>
      </c>
      <c r="AP766" s="3070">
        <v>1391636</v>
      </c>
      <c r="AQ766" s="3072">
        <v>45230</v>
      </c>
      <c r="AT766" s="3073">
        <v>45770</v>
      </c>
      <c r="AV766" s="3070" t="s">
        <v>9489</v>
      </c>
      <c r="AW766" s="3070" t="s">
        <v>9490</v>
      </c>
      <c r="AX766" s="3070" t="s">
        <v>9491</v>
      </c>
      <c r="AY766" s="3070" t="s">
        <v>3722</v>
      </c>
      <c r="BC766" s="3070" t="s">
        <v>3284</v>
      </c>
      <c r="BD766" s="3070" t="s">
        <v>3077</v>
      </c>
      <c r="BI766" s="3070" t="s">
        <v>3235</v>
      </c>
      <c r="BJ766" s="3070" t="s">
        <v>3296</v>
      </c>
      <c r="BL766" s="3070" t="s">
        <v>9492</v>
      </c>
      <c r="BM766" s="3075">
        <v>44410</v>
      </c>
      <c r="BN766" s="3070">
        <v>-60</v>
      </c>
      <c r="BO766" s="3070" t="s">
        <v>3253</v>
      </c>
      <c r="BR766" s="3070">
        <v>80</v>
      </c>
      <c r="BS766" s="3070" t="s">
        <v>3238</v>
      </c>
      <c r="BZ766" s="3073">
        <v>44142.620138888888</v>
      </c>
      <c r="CA766" s="3070">
        <v>8</v>
      </c>
      <c r="CD766" s="3070" t="s">
        <v>3239</v>
      </c>
      <c r="CF766" s="3070" t="s">
        <v>3091</v>
      </c>
      <c r="CH766" s="3070" t="s">
        <v>3240</v>
      </c>
      <c r="CI766" s="3070">
        <v>0</v>
      </c>
      <c r="CK766" s="3070" t="s">
        <v>3722</v>
      </c>
      <c r="CL766" s="3070" t="s">
        <v>3722</v>
      </c>
      <c r="CM766" s="3070">
        <v>1276730.28</v>
      </c>
      <c r="CV766" s="3070" t="s">
        <v>3246</v>
      </c>
      <c r="CW766" s="3070" t="s">
        <v>9493</v>
      </c>
      <c r="CX766" s="3070" t="s">
        <v>3311</v>
      </c>
      <c r="CZ766" s="3070">
        <v>213894.57</v>
      </c>
      <c r="DA766" s="3070">
        <v>159426.93</v>
      </c>
      <c r="DB766" s="3070">
        <v>0</v>
      </c>
      <c r="DC766" s="3070">
        <v>0</v>
      </c>
      <c r="DD766" s="3070">
        <v>3290547602</v>
      </c>
      <c r="DE766" s="3070">
        <v>2764253109</v>
      </c>
      <c r="DF766" s="3070">
        <v>1464966739</v>
      </c>
      <c r="DG766" s="3070">
        <v>14938370</v>
      </c>
      <c r="DH766" s="3070">
        <v>1284348000</v>
      </c>
      <c r="DI766" s="3070">
        <v>1278128000</v>
      </c>
      <c r="DJ766" s="3070">
        <v>6220000</v>
      </c>
      <c r="DK766" s="3070">
        <v>0</v>
      </c>
      <c r="DL766" s="3070">
        <v>0</v>
      </c>
      <c r="DM766" s="3070">
        <v>25491817.620000001</v>
      </c>
      <c r="DN766" s="3070">
        <v>2764253109</v>
      </c>
      <c r="DP766" s="3070">
        <v>2764253109</v>
      </c>
    </row>
    <row r="767" spans="1:120">
      <c r="A767" s="3070">
        <v>766</v>
      </c>
      <c r="B767" s="3070" t="s">
        <v>3224</v>
      </c>
      <c r="C767" s="3070">
        <v>8</v>
      </c>
      <c r="D767" s="3070">
        <v>2</v>
      </c>
      <c r="E767" s="3070">
        <v>606</v>
      </c>
      <c r="F767" s="3070" t="s">
        <v>9494</v>
      </c>
      <c r="G767" s="3070" t="s">
        <v>9495</v>
      </c>
      <c r="H767" s="3070">
        <v>1090120</v>
      </c>
      <c r="I767" s="3070">
        <v>1090120</v>
      </c>
      <c r="J767" s="3070">
        <v>84.62</v>
      </c>
      <c r="K767" s="3070">
        <v>62.38</v>
      </c>
      <c r="L767" s="3070">
        <v>0</v>
      </c>
      <c r="M767" s="3070">
        <v>0</v>
      </c>
      <c r="N767" s="3070">
        <v>15833.44</v>
      </c>
      <c r="O767" s="3070">
        <v>1339826</v>
      </c>
      <c r="P767" s="3070">
        <v>12882.53</v>
      </c>
      <c r="Q767" s="3070">
        <v>1090120</v>
      </c>
      <c r="R767" s="3070" t="s">
        <v>3227</v>
      </c>
      <c r="S767" s="3070" t="s">
        <v>9496</v>
      </c>
      <c r="T767" s="3070" t="s">
        <v>3258</v>
      </c>
      <c r="U767" s="3070" t="s">
        <v>3259</v>
      </c>
      <c r="V767" s="3070" t="s">
        <v>3230</v>
      </c>
      <c r="Y767" s="3070">
        <v>330120</v>
      </c>
      <c r="Z767" s="3070">
        <v>330120</v>
      </c>
      <c r="AA767" s="3070">
        <v>330120</v>
      </c>
      <c r="AB767" s="3070">
        <v>0</v>
      </c>
      <c r="AC767" s="3070">
        <v>760000</v>
      </c>
      <c r="AD767" s="3070">
        <v>760000</v>
      </c>
      <c r="AE767" s="3070">
        <v>0</v>
      </c>
      <c r="AI767" s="3070" t="s">
        <v>3227</v>
      </c>
      <c r="AJ767" s="3070">
        <v>0</v>
      </c>
      <c r="AK767" s="3070">
        <v>0</v>
      </c>
      <c r="AL767" s="3070">
        <v>0</v>
      </c>
      <c r="AM767" s="3070">
        <v>12882.53</v>
      </c>
      <c r="AN767" s="3070">
        <v>1090120</v>
      </c>
      <c r="AP767" s="3070">
        <v>1090120</v>
      </c>
      <c r="AQ767" s="3072">
        <v>45230</v>
      </c>
      <c r="AT767" s="3073">
        <v>45770</v>
      </c>
      <c r="AV767" s="3070" t="s">
        <v>9497</v>
      </c>
      <c r="AW767" s="3070" t="s">
        <v>9498</v>
      </c>
      <c r="AX767" s="3070" t="s">
        <v>9499</v>
      </c>
      <c r="AY767" s="3070" t="s">
        <v>3306</v>
      </c>
      <c r="BC767" s="3070" t="s">
        <v>3263</v>
      </c>
      <c r="BD767" s="3070" t="s">
        <v>3076</v>
      </c>
      <c r="BI767" s="3070" t="s">
        <v>3235</v>
      </c>
      <c r="BJ767" s="3070" t="s">
        <v>3328</v>
      </c>
      <c r="BL767" s="3070" t="s">
        <v>9500</v>
      </c>
      <c r="BM767" s="3075">
        <v>44410</v>
      </c>
      <c r="BN767" s="3070">
        <v>-60</v>
      </c>
      <c r="BO767" s="3070" t="s">
        <v>3253</v>
      </c>
      <c r="BP767" s="3070" t="s">
        <v>3253</v>
      </c>
      <c r="BR767" s="3070">
        <v>0</v>
      </c>
      <c r="BS767" s="3070" t="s">
        <v>3238</v>
      </c>
      <c r="BZ767" s="3073">
        <v>44143.773611111108</v>
      </c>
      <c r="CA767" s="3070">
        <v>8</v>
      </c>
      <c r="CD767" s="3070" t="s">
        <v>3239</v>
      </c>
      <c r="CF767" s="3070" t="s">
        <v>3091</v>
      </c>
      <c r="CH767" s="3070" t="s">
        <v>3240</v>
      </c>
      <c r="CI767" s="3070">
        <v>0</v>
      </c>
      <c r="CJ767" s="3070" t="s">
        <v>3259</v>
      </c>
      <c r="CK767" s="3070" t="s">
        <v>3306</v>
      </c>
      <c r="CL767" s="3070" t="s">
        <v>3306</v>
      </c>
      <c r="CM767" s="3070">
        <v>1000110.09</v>
      </c>
      <c r="CV767" s="3070" t="s">
        <v>3258</v>
      </c>
      <c r="CW767" s="3070" t="s">
        <v>9501</v>
      </c>
      <c r="CX767" s="3070" t="s">
        <v>3242</v>
      </c>
      <c r="CZ767" s="3070">
        <v>213894.57</v>
      </c>
      <c r="DA767" s="3070">
        <v>159426.93</v>
      </c>
      <c r="DB767" s="3070">
        <v>0</v>
      </c>
      <c r="DC767" s="3070">
        <v>0</v>
      </c>
      <c r="DD767" s="3070">
        <v>3290547602</v>
      </c>
      <c r="DE767" s="3070">
        <v>2764253109</v>
      </c>
      <c r="DF767" s="3070">
        <v>1464966739</v>
      </c>
      <c r="DG767" s="3070">
        <v>14938370</v>
      </c>
      <c r="DH767" s="3070">
        <v>1284348000</v>
      </c>
      <c r="DI767" s="3070">
        <v>1278128000</v>
      </c>
      <c r="DJ767" s="3070">
        <v>6220000</v>
      </c>
      <c r="DK767" s="3070">
        <v>0</v>
      </c>
      <c r="DL767" s="3070">
        <v>0</v>
      </c>
      <c r="DM767" s="3070">
        <v>25491817.620000001</v>
      </c>
      <c r="DN767" s="3070">
        <v>2764253109</v>
      </c>
      <c r="DP767" s="3070">
        <v>2764253109</v>
      </c>
    </row>
    <row r="768" spans="1:120">
      <c r="A768" s="3070">
        <v>767</v>
      </c>
      <c r="B768" s="3070" t="s">
        <v>3224</v>
      </c>
      <c r="C768" s="3070">
        <v>8</v>
      </c>
      <c r="D768" s="3070">
        <v>2</v>
      </c>
      <c r="E768" s="3070">
        <v>607</v>
      </c>
      <c r="F768" s="3070" t="s">
        <v>9502</v>
      </c>
      <c r="G768" s="3070" t="s">
        <v>9503</v>
      </c>
      <c r="H768" s="3070">
        <v>1090120</v>
      </c>
      <c r="I768" s="3070">
        <v>1090120</v>
      </c>
      <c r="J768" s="3070">
        <v>84.62</v>
      </c>
      <c r="K768" s="3070">
        <v>62.38</v>
      </c>
      <c r="L768" s="3070">
        <v>0</v>
      </c>
      <c r="M768" s="3070">
        <v>0</v>
      </c>
      <c r="N768" s="3070">
        <v>15833.44</v>
      </c>
      <c r="O768" s="3070">
        <v>1339826</v>
      </c>
      <c r="P768" s="3070">
        <v>12882.53</v>
      </c>
      <c r="Q768" s="3070">
        <v>1090120</v>
      </c>
      <c r="R768" s="3070" t="s">
        <v>3227</v>
      </c>
      <c r="S768" s="3070" t="s">
        <v>9504</v>
      </c>
      <c r="T768" s="3070" t="s">
        <v>3258</v>
      </c>
      <c r="U768" s="3070" t="s">
        <v>3259</v>
      </c>
      <c r="V768" s="3070" t="s">
        <v>3230</v>
      </c>
      <c r="Y768" s="3070">
        <v>330120</v>
      </c>
      <c r="Z768" s="3070">
        <v>330120</v>
      </c>
      <c r="AA768" s="3070">
        <v>330120</v>
      </c>
      <c r="AB768" s="3070">
        <v>0</v>
      </c>
      <c r="AC768" s="3070">
        <v>760000</v>
      </c>
      <c r="AD768" s="3070">
        <v>760000</v>
      </c>
      <c r="AE768" s="3070">
        <v>0</v>
      </c>
      <c r="AI768" s="3070" t="s">
        <v>3227</v>
      </c>
      <c r="AJ768" s="3070">
        <v>0</v>
      </c>
      <c r="AK768" s="3070">
        <v>0</v>
      </c>
      <c r="AL768" s="3070">
        <v>0</v>
      </c>
      <c r="AM768" s="3070">
        <v>12882.53</v>
      </c>
      <c r="AN768" s="3070">
        <v>1090120</v>
      </c>
      <c r="AP768" s="3070">
        <v>1090120</v>
      </c>
      <c r="AQ768" s="3072">
        <v>45230</v>
      </c>
      <c r="AT768" s="3073">
        <v>45770</v>
      </c>
      <c r="AV768" s="3070" t="s">
        <v>9505</v>
      </c>
      <c r="AW768" s="3070" t="s">
        <v>9506</v>
      </c>
      <c r="AX768" s="3070" t="s">
        <v>9507</v>
      </c>
      <c r="AY768" s="3070" t="s">
        <v>3607</v>
      </c>
      <c r="BC768" s="3070" t="s">
        <v>3263</v>
      </c>
      <c r="BD768" s="3070" t="s">
        <v>3076</v>
      </c>
      <c r="BI768" s="3070" t="s">
        <v>3235</v>
      </c>
      <c r="BJ768" s="3070" t="s">
        <v>3296</v>
      </c>
      <c r="BL768" s="3070" t="s">
        <v>9508</v>
      </c>
      <c r="BM768" s="3075">
        <v>44410</v>
      </c>
      <c r="BN768" s="3070">
        <v>-60</v>
      </c>
      <c r="BO768" s="3070" t="s">
        <v>3253</v>
      </c>
      <c r="BP768" s="3070" t="s">
        <v>3253</v>
      </c>
      <c r="BR768" s="3070">
        <v>147</v>
      </c>
      <c r="BS768" s="3070" t="s">
        <v>3238</v>
      </c>
      <c r="BZ768" s="3073">
        <v>44148.510416666664</v>
      </c>
      <c r="CA768" s="3070">
        <v>8</v>
      </c>
      <c r="CD768" s="3070" t="s">
        <v>3239</v>
      </c>
      <c r="CF768" s="3070" t="s">
        <v>3091</v>
      </c>
      <c r="CH768" s="3070" t="s">
        <v>3240</v>
      </c>
      <c r="CI768" s="3070">
        <v>0</v>
      </c>
      <c r="CJ768" s="3070" t="s">
        <v>3259</v>
      </c>
      <c r="CK768" s="3070" t="s">
        <v>3607</v>
      </c>
      <c r="CL768" s="3070" t="s">
        <v>3607</v>
      </c>
      <c r="CM768" s="3070">
        <v>1000110.09</v>
      </c>
      <c r="CV768" s="3070" t="s">
        <v>3258</v>
      </c>
      <c r="CW768" s="3070" t="s">
        <v>9509</v>
      </c>
      <c r="CZ768" s="3070">
        <v>213894.57</v>
      </c>
      <c r="DA768" s="3070">
        <v>159426.93</v>
      </c>
      <c r="DB768" s="3070">
        <v>0</v>
      </c>
      <c r="DC768" s="3070">
        <v>0</v>
      </c>
      <c r="DD768" s="3070">
        <v>3290547602</v>
      </c>
      <c r="DE768" s="3070">
        <v>2764253109</v>
      </c>
      <c r="DF768" s="3070">
        <v>1464966739</v>
      </c>
      <c r="DG768" s="3070">
        <v>14938370</v>
      </c>
      <c r="DH768" s="3070">
        <v>1284348000</v>
      </c>
      <c r="DI768" s="3070">
        <v>1278128000</v>
      </c>
      <c r="DJ768" s="3070">
        <v>6220000</v>
      </c>
      <c r="DK768" s="3070">
        <v>0</v>
      </c>
      <c r="DL768" s="3070">
        <v>0</v>
      </c>
      <c r="DM768" s="3070">
        <v>25491817.620000001</v>
      </c>
      <c r="DN768" s="3070">
        <v>2764253109</v>
      </c>
      <c r="DP768" s="3070">
        <v>2764253109</v>
      </c>
    </row>
    <row r="769" spans="1:120">
      <c r="A769" s="3070">
        <v>768</v>
      </c>
      <c r="B769" s="3070" t="s">
        <v>3224</v>
      </c>
      <c r="C769" s="3070">
        <v>8</v>
      </c>
      <c r="D769" s="3070">
        <v>2</v>
      </c>
      <c r="E769" s="3070">
        <v>608</v>
      </c>
      <c r="F769" s="3070" t="s">
        <v>9510</v>
      </c>
      <c r="G769" s="3070" t="s">
        <v>9511</v>
      </c>
      <c r="H769" s="3070">
        <v>1553785</v>
      </c>
      <c r="I769" s="3070">
        <v>1553785</v>
      </c>
      <c r="J769" s="3070">
        <v>120.15</v>
      </c>
      <c r="K769" s="3070">
        <v>88.57</v>
      </c>
      <c r="L769" s="3070">
        <v>0</v>
      </c>
      <c r="M769" s="3070">
        <v>0</v>
      </c>
      <c r="N769" s="3070">
        <v>15444.44</v>
      </c>
      <c r="O769" s="3070">
        <v>1855649</v>
      </c>
      <c r="P769" s="3070">
        <v>12932.04</v>
      </c>
      <c r="Q769" s="3070">
        <v>1553785</v>
      </c>
      <c r="R769" s="3070" t="s">
        <v>3227</v>
      </c>
      <c r="S769" s="3070" t="s">
        <v>9512</v>
      </c>
      <c r="T769" s="3070" t="s">
        <v>3246</v>
      </c>
      <c r="U769" s="3070" t="s">
        <v>3381</v>
      </c>
      <c r="V769" s="3070" t="s">
        <v>3230</v>
      </c>
      <c r="Y769" s="3070">
        <v>753785</v>
      </c>
      <c r="Z769" s="3070">
        <v>753785</v>
      </c>
      <c r="AA769" s="3070">
        <v>753785</v>
      </c>
      <c r="AB769" s="3070">
        <v>0</v>
      </c>
      <c r="AC769" s="3070">
        <v>800000</v>
      </c>
      <c r="AD769" s="3070">
        <v>800000</v>
      </c>
      <c r="AE769" s="3070">
        <v>0</v>
      </c>
      <c r="AI769" s="3070" t="s">
        <v>3227</v>
      </c>
      <c r="AJ769" s="3070">
        <v>0</v>
      </c>
      <c r="AK769" s="3070">
        <v>0</v>
      </c>
      <c r="AL769" s="3070">
        <v>0</v>
      </c>
      <c r="AM769" s="3070">
        <v>12932.04</v>
      </c>
      <c r="AN769" s="3070">
        <v>1553785</v>
      </c>
      <c r="AP769" s="3070">
        <v>1553785</v>
      </c>
      <c r="AQ769" s="3072">
        <v>45230</v>
      </c>
      <c r="AT769" s="3073">
        <v>45770</v>
      </c>
      <c r="AV769" s="3070" t="s">
        <v>9513</v>
      </c>
      <c r="AW769" s="3070" t="s">
        <v>9514</v>
      </c>
      <c r="AX769" s="3070" t="s">
        <v>9515</v>
      </c>
      <c r="AY769" s="3070" t="s">
        <v>3587</v>
      </c>
      <c r="BA769" s="3070" t="s">
        <v>3587</v>
      </c>
      <c r="BC769" s="3070" t="s">
        <v>9516</v>
      </c>
      <c r="BD769" s="3070" t="s">
        <v>3075</v>
      </c>
      <c r="BI769" s="3070" t="s">
        <v>3235</v>
      </c>
      <c r="BL769" s="3070" t="s">
        <v>9517</v>
      </c>
      <c r="BM769" s="3075">
        <v>44410</v>
      </c>
      <c r="BN769" s="3070">
        <v>-60</v>
      </c>
      <c r="BO769" s="3070" t="s">
        <v>3253</v>
      </c>
      <c r="BR769" s="3070">
        <v>26</v>
      </c>
      <c r="BS769" s="3070" t="s">
        <v>3238</v>
      </c>
      <c r="BU769" s="3070" t="s">
        <v>3587</v>
      </c>
      <c r="BV769" s="3070" t="s">
        <v>9518</v>
      </c>
      <c r="BZ769" s="3073">
        <v>44191.761111111111</v>
      </c>
      <c r="CA769" s="3070">
        <v>8</v>
      </c>
      <c r="CD769" s="3070" t="s">
        <v>3239</v>
      </c>
      <c r="CF769" s="3070" t="s">
        <v>3091</v>
      </c>
      <c r="CH769" s="3070" t="s">
        <v>3240</v>
      </c>
      <c r="CI769" s="3070">
        <v>0</v>
      </c>
      <c r="CK769" s="3070" t="s">
        <v>3590</v>
      </c>
      <c r="CL769" s="3070" t="s">
        <v>3590</v>
      </c>
      <c r="CM769" s="3070">
        <v>1425490.83</v>
      </c>
      <c r="CV769" s="3070" t="s">
        <v>3246</v>
      </c>
      <c r="CW769" s="3070" t="s">
        <v>9519</v>
      </c>
      <c r="CX769" s="3070" t="s">
        <v>3267</v>
      </c>
      <c r="CZ769" s="3070">
        <v>213894.57</v>
      </c>
      <c r="DA769" s="3070">
        <v>159426.93</v>
      </c>
      <c r="DB769" s="3070">
        <v>0</v>
      </c>
      <c r="DC769" s="3070">
        <v>0</v>
      </c>
      <c r="DD769" s="3070">
        <v>3290547602</v>
      </c>
      <c r="DE769" s="3070">
        <v>2764253109</v>
      </c>
      <c r="DF769" s="3070">
        <v>1464966739</v>
      </c>
      <c r="DG769" s="3070">
        <v>14938370</v>
      </c>
      <c r="DH769" s="3070">
        <v>1284348000</v>
      </c>
      <c r="DI769" s="3070">
        <v>1278128000</v>
      </c>
      <c r="DJ769" s="3070">
        <v>6220000</v>
      </c>
      <c r="DK769" s="3070">
        <v>0</v>
      </c>
      <c r="DL769" s="3070">
        <v>0</v>
      </c>
      <c r="DM769" s="3070">
        <v>25491817.620000001</v>
      </c>
      <c r="DN769" s="3070">
        <v>2764253109</v>
      </c>
      <c r="DP769" s="3070">
        <v>2764253109</v>
      </c>
    </row>
    <row r="770" spans="1:120">
      <c r="A770" s="3070">
        <v>769</v>
      </c>
      <c r="B770" s="3070" t="s">
        <v>3224</v>
      </c>
      <c r="C770" s="3070">
        <v>8</v>
      </c>
      <c r="D770" s="3070">
        <v>1</v>
      </c>
      <c r="E770" s="3070">
        <v>701</v>
      </c>
      <c r="F770" s="3070" t="s">
        <v>9520</v>
      </c>
      <c r="G770" s="3070" t="s">
        <v>9521</v>
      </c>
      <c r="H770" s="3070">
        <v>1531960</v>
      </c>
      <c r="I770" s="3070">
        <v>1531960</v>
      </c>
      <c r="J770" s="3070">
        <v>120.15</v>
      </c>
      <c r="K770" s="3070">
        <v>88.57</v>
      </c>
      <c r="L770" s="3070">
        <v>0</v>
      </c>
      <c r="M770" s="3070">
        <v>0</v>
      </c>
      <c r="N770" s="3070">
        <v>15694.44</v>
      </c>
      <c r="O770" s="3070">
        <v>1885687</v>
      </c>
      <c r="P770" s="3070">
        <v>12750.4</v>
      </c>
      <c r="Q770" s="3070">
        <v>1531960</v>
      </c>
      <c r="R770" s="3070" t="s">
        <v>3227</v>
      </c>
      <c r="S770" s="3070" t="s">
        <v>9522</v>
      </c>
      <c r="T770" s="3070" t="s">
        <v>3246</v>
      </c>
      <c r="U770" s="3070" t="s">
        <v>3381</v>
      </c>
      <c r="V770" s="3070" t="s">
        <v>3230</v>
      </c>
      <c r="Y770" s="3070">
        <v>601960</v>
      </c>
      <c r="Z770" s="3070">
        <v>601960</v>
      </c>
      <c r="AA770" s="3070">
        <v>601960</v>
      </c>
      <c r="AB770" s="3070">
        <v>0</v>
      </c>
      <c r="AC770" s="3070">
        <v>930000</v>
      </c>
      <c r="AD770" s="3070">
        <v>930000</v>
      </c>
      <c r="AE770" s="3070">
        <v>0</v>
      </c>
      <c r="AI770" s="3070" t="s">
        <v>3227</v>
      </c>
      <c r="AJ770" s="3070">
        <v>0</v>
      </c>
      <c r="AK770" s="3070">
        <v>0</v>
      </c>
      <c r="AL770" s="3070">
        <v>0</v>
      </c>
      <c r="AM770" s="3070">
        <v>12750.4</v>
      </c>
      <c r="AN770" s="3070">
        <v>1531960</v>
      </c>
      <c r="AP770" s="3070">
        <v>1531960</v>
      </c>
      <c r="AQ770" s="3072">
        <v>45230</v>
      </c>
      <c r="AT770" s="3073">
        <v>45770</v>
      </c>
      <c r="AV770" s="3070" t="s">
        <v>9523</v>
      </c>
      <c r="AW770" s="3070" t="s">
        <v>9524</v>
      </c>
      <c r="AX770" s="3070" t="s">
        <v>9525</v>
      </c>
      <c r="AY770" s="3070" t="s">
        <v>3364</v>
      </c>
      <c r="BC770" s="3070" t="s">
        <v>3284</v>
      </c>
      <c r="BD770" s="3070" t="s">
        <v>3075</v>
      </c>
      <c r="BI770" s="3070" t="s">
        <v>3235</v>
      </c>
      <c r="BJ770" s="3070" t="s">
        <v>3296</v>
      </c>
      <c r="BL770" s="3070" t="s">
        <v>9526</v>
      </c>
      <c r="BM770" s="3075">
        <v>44409</v>
      </c>
      <c r="BN770" s="3070">
        <v>-70</v>
      </c>
      <c r="BO770" s="3070" t="s">
        <v>3253</v>
      </c>
      <c r="BR770" s="3070">
        <v>114</v>
      </c>
      <c r="BS770" s="3070" t="s">
        <v>3238</v>
      </c>
      <c r="BZ770" s="3073">
        <v>44142.616666666669</v>
      </c>
      <c r="CA770" s="3070">
        <v>8</v>
      </c>
      <c r="CD770" s="3070" t="s">
        <v>3239</v>
      </c>
      <c r="CF770" s="3070" t="s">
        <v>3091</v>
      </c>
      <c r="CH770" s="3070" t="s">
        <v>3240</v>
      </c>
      <c r="CI770" s="3070">
        <v>0</v>
      </c>
      <c r="CK770" s="3070" t="s">
        <v>3364</v>
      </c>
      <c r="CL770" s="3070" t="s">
        <v>3364</v>
      </c>
      <c r="CM770" s="3070">
        <v>1405467.89</v>
      </c>
      <c r="CV770" s="3070" t="s">
        <v>3246</v>
      </c>
      <c r="CW770" s="3070" t="s">
        <v>9527</v>
      </c>
      <c r="CZ770" s="3070">
        <v>213894.57</v>
      </c>
      <c r="DA770" s="3070">
        <v>159426.93</v>
      </c>
      <c r="DB770" s="3070">
        <v>0</v>
      </c>
      <c r="DC770" s="3070">
        <v>0</v>
      </c>
      <c r="DD770" s="3070">
        <v>3290547602</v>
      </c>
      <c r="DE770" s="3070">
        <v>2764253109</v>
      </c>
      <c r="DF770" s="3070">
        <v>1464966739</v>
      </c>
      <c r="DG770" s="3070">
        <v>14938370</v>
      </c>
      <c r="DH770" s="3070">
        <v>1284348000</v>
      </c>
      <c r="DI770" s="3070">
        <v>1278128000</v>
      </c>
      <c r="DJ770" s="3070">
        <v>6220000</v>
      </c>
      <c r="DK770" s="3070">
        <v>0</v>
      </c>
      <c r="DL770" s="3070">
        <v>0</v>
      </c>
      <c r="DM770" s="3070">
        <v>25491817.620000001</v>
      </c>
      <c r="DN770" s="3070">
        <v>2764253109</v>
      </c>
      <c r="DP770" s="3070">
        <v>2764253109</v>
      </c>
    </row>
    <row r="771" spans="1:120">
      <c r="A771" s="3070">
        <v>770</v>
      </c>
      <c r="B771" s="3070" t="s">
        <v>3224</v>
      </c>
      <c r="C771" s="3070">
        <v>8</v>
      </c>
      <c r="D771" s="3070">
        <v>1</v>
      </c>
      <c r="E771" s="3070">
        <v>702</v>
      </c>
      <c r="F771" s="3070" t="s">
        <v>9528</v>
      </c>
      <c r="G771" s="3070" t="s">
        <v>9529</v>
      </c>
      <c r="H771" s="3070">
        <v>1094142</v>
      </c>
      <c r="I771" s="3070">
        <v>1094142</v>
      </c>
      <c r="J771" s="3070">
        <v>84.62</v>
      </c>
      <c r="K771" s="3070">
        <v>62.38</v>
      </c>
      <c r="L771" s="3070">
        <v>0</v>
      </c>
      <c r="M771" s="3070">
        <v>0</v>
      </c>
      <c r="N771" s="3070">
        <v>15883.44</v>
      </c>
      <c r="O771" s="3070">
        <v>1344057</v>
      </c>
      <c r="P771" s="3070">
        <v>12930.06</v>
      </c>
      <c r="Q771" s="3070">
        <v>1094142</v>
      </c>
      <c r="R771" s="3070" t="s">
        <v>3227</v>
      </c>
      <c r="S771" s="3070" t="s">
        <v>9530</v>
      </c>
      <c r="T771" s="3070" t="s">
        <v>3246</v>
      </c>
      <c r="U771" s="3070" t="s">
        <v>3371</v>
      </c>
      <c r="V771" s="3070" t="s">
        <v>3230</v>
      </c>
      <c r="Y771" s="3070">
        <v>744142</v>
      </c>
      <c r="Z771" s="3070">
        <v>744142</v>
      </c>
      <c r="AA771" s="3070">
        <v>744142</v>
      </c>
      <c r="AB771" s="3070">
        <v>0</v>
      </c>
      <c r="AC771" s="3070">
        <v>350000</v>
      </c>
      <c r="AD771" s="3070">
        <v>350000</v>
      </c>
      <c r="AE771" s="3070">
        <v>0</v>
      </c>
      <c r="AI771" s="3070" t="s">
        <v>3227</v>
      </c>
      <c r="AJ771" s="3070">
        <v>0</v>
      </c>
      <c r="AK771" s="3070">
        <v>0</v>
      </c>
      <c r="AL771" s="3070">
        <v>0</v>
      </c>
      <c r="AM771" s="3070">
        <v>12930.06</v>
      </c>
      <c r="AN771" s="3070">
        <v>1094142</v>
      </c>
      <c r="AP771" s="3070">
        <v>1094142</v>
      </c>
      <c r="AQ771" s="3072">
        <v>45230</v>
      </c>
      <c r="AT771" s="3073">
        <v>45770</v>
      </c>
      <c r="AV771" s="3070" t="s">
        <v>9531</v>
      </c>
      <c r="AW771" s="3070" t="s">
        <v>9532</v>
      </c>
      <c r="AX771" s="3070" t="s">
        <v>9533</v>
      </c>
      <c r="AY771" s="3070" t="s">
        <v>3233</v>
      </c>
      <c r="BC771" s="3070" t="s">
        <v>3284</v>
      </c>
      <c r="BD771" s="3070" t="s">
        <v>3076</v>
      </c>
      <c r="BI771" s="3070" t="s">
        <v>3235</v>
      </c>
      <c r="BJ771" s="3070" t="s">
        <v>3236</v>
      </c>
      <c r="BL771" s="3070" t="s">
        <v>9534</v>
      </c>
      <c r="BM771" s="3075">
        <v>44409</v>
      </c>
      <c r="BN771" s="3070">
        <v>-70</v>
      </c>
      <c r="BO771" s="3070" t="s">
        <v>3253</v>
      </c>
      <c r="BR771" s="3070">
        <v>558</v>
      </c>
      <c r="BS771" s="3070" t="s">
        <v>3238</v>
      </c>
      <c r="BZ771" s="3073">
        <v>44146.386805555558</v>
      </c>
      <c r="CA771" s="3070">
        <v>8</v>
      </c>
      <c r="CD771" s="3070" t="s">
        <v>3239</v>
      </c>
      <c r="CF771" s="3070" t="s">
        <v>3091</v>
      </c>
      <c r="CH771" s="3070" t="s">
        <v>3240</v>
      </c>
      <c r="CI771" s="3070">
        <v>0</v>
      </c>
      <c r="CK771" s="3070" t="s">
        <v>3233</v>
      </c>
      <c r="CL771" s="3070" t="s">
        <v>3233</v>
      </c>
      <c r="CM771" s="3070">
        <v>1003800</v>
      </c>
      <c r="CV771" s="3070" t="s">
        <v>3246</v>
      </c>
      <c r="CW771" s="3070" t="s">
        <v>9535</v>
      </c>
      <c r="CX771" s="3070" t="s">
        <v>3242</v>
      </c>
      <c r="CZ771" s="3070">
        <v>213894.57</v>
      </c>
      <c r="DA771" s="3070">
        <v>159426.93</v>
      </c>
      <c r="DB771" s="3070">
        <v>0</v>
      </c>
      <c r="DC771" s="3070">
        <v>0</v>
      </c>
      <c r="DD771" s="3070">
        <v>3290547602</v>
      </c>
      <c r="DE771" s="3070">
        <v>2764253109</v>
      </c>
      <c r="DF771" s="3070">
        <v>1464966739</v>
      </c>
      <c r="DG771" s="3070">
        <v>14938370</v>
      </c>
      <c r="DH771" s="3070">
        <v>1284348000</v>
      </c>
      <c r="DI771" s="3070">
        <v>1278128000</v>
      </c>
      <c r="DJ771" s="3070">
        <v>6220000</v>
      </c>
      <c r="DK771" s="3070">
        <v>0</v>
      </c>
      <c r="DL771" s="3070">
        <v>0</v>
      </c>
      <c r="DM771" s="3070">
        <v>25491817.620000001</v>
      </c>
      <c r="DN771" s="3070">
        <v>2764253109</v>
      </c>
      <c r="DP771" s="3070">
        <v>2764253109</v>
      </c>
    </row>
    <row r="772" spans="1:120">
      <c r="A772" s="3070">
        <v>771</v>
      </c>
      <c r="B772" s="3070" t="s">
        <v>3224</v>
      </c>
      <c r="C772" s="3070">
        <v>8</v>
      </c>
      <c r="D772" s="3070">
        <v>1</v>
      </c>
      <c r="E772" s="3070">
        <v>703</v>
      </c>
      <c r="F772" s="3070" t="s">
        <v>9536</v>
      </c>
      <c r="G772" s="3070" t="s">
        <v>9537</v>
      </c>
      <c r="H772" s="3070">
        <v>1142438</v>
      </c>
      <c r="I772" s="3070">
        <v>1142438</v>
      </c>
      <c r="J772" s="3070">
        <v>84.62</v>
      </c>
      <c r="K772" s="3070">
        <v>62.38</v>
      </c>
      <c r="L772" s="3070">
        <v>0</v>
      </c>
      <c r="M772" s="3070">
        <v>0</v>
      </c>
      <c r="N772" s="3070">
        <v>15883.44</v>
      </c>
      <c r="O772" s="3070">
        <v>1344057</v>
      </c>
      <c r="P772" s="3070">
        <v>13500.8</v>
      </c>
      <c r="Q772" s="3070">
        <v>1142438</v>
      </c>
      <c r="R772" s="3070" t="s">
        <v>3227</v>
      </c>
      <c r="S772" s="3070" t="s">
        <v>9538</v>
      </c>
      <c r="T772" s="3070" t="s">
        <v>3494</v>
      </c>
      <c r="V772" s="3070" t="s">
        <v>3230</v>
      </c>
      <c r="Y772" s="3070">
        <v>114244</v>
      </c>
      <c r="Z772" s="3070">
        <v>114244</v>
      </c>
      <c r="AA772" s="3070">
        <v>1142438</v>
      </c>
      <c r="AB772" s="3070">
        <v>0</v>
      </c>
      <c r="AC772" s="3070">
        <v>0</v>
      </c>
      <c r="AD772" s="3070">
        <v>0</v>
      </c>
      <c r="AE772" s="3070">
        <v>0</v>
      </c>
      <c r="AI772" s="3070" t="s">
        <v>3227</v>
      </c>
      <c r="AJ772" s="3070">
        <v>0</v>
      </c>
      <c r="AK772" s="3070">
        <v>0</v>
      </c>
      <c r="AL772" s="3070">
        <v>0</v>
      </c>
      <c r="AM772" s="3070">
        <v>13500.8</v>
      </c>
      <c r="AN772" s="3070">
        <v>1142438</v>
      </c>
      <c r="AP772" s="3070">
        <v>1142438</v>
      </c>
      <c r="AQ772" s="3072">
        <v>45230</v>
      </c>
      <c r="AT772" s="3073">
        <v>45770</v>
      </c>
      <c r="AV772" s="3074">
        <v>3.21E+17</v>
      </c>
      <c r="AW772" s="3070" t="s">
        <v>9539</v>
      </c>
      <c r="AX772" s="3070" t="s">
        <v>9540</v>
      </c>
      <c r="AY772" s="3070" t="s">
        <v>3981</v>
      </c>
      <c r="BC772" s="3070" t="s">
        <v>4117</v>
      </c>
      <c r="BD772" s="3070" t="s">
        <v>3076</v>
      </c>
      <c r="BI772" s="3070" t="s">
        <v>4630</v>
      </c>
      <c r="BL772" s="3070" t="s">
        <v>9541</v>
      </c>
      <c r="BM772" s="3075">
        <v>44409</v>
      </c>
      <c r="BN772" s="3070">
        <v>-70</v>
      </c>
      <c r="BR772" s="3070">
        <v>21</v>
      </c>
      <c r="BS772" s="3070" t="s">
        <v>3238</v>
      </c>
      <c r="BV772" s="3070" t="s">
        <v>9542</v>
      </c>
      <c r="BZ772" s="3073">
        <v>44188.522222222222</v>
      </c>
      <c r="CA772" s="3070">
        <v>8</v>
      </c>
      <c r="CD772" s="3070" t="s">
        <v>3239</v>
      </c>
      <c r="CF772" s="3070" t="s">
        <v>3091</v>
      </c>
      <c r="CH772" s="3070" t="s">
        <v>3240</v>
      </c>
      <c r="CI772" s="3070">
        <v>0</v>
      </c>
      <c r="CK772" s="3070" t="s">
        <v>3981</v>
      </c>
      <c r="CL772" s="3070" t="s">
        <v>3986</v>
      </c>
      <c r="CM772" s="3070">
        <v>1048108.26</v>
      </c>
      <c r="CV772" s="3070" t="s">
        <v>3494</v>
      </c>
      <c r="CW772" s="3070" t="s">
        <v>9543</v>
      </c>
      <c r="CZ772" s="3070">
        <v>213894.57</v>
      </c>
      <c r="DA772" s="3070">
        <v>159426.93</v>
      </c>
      <c r="DB772" s="3070">
        <v>0</v>
      </c>
      <c r="DC772" s="3070">
        <v>0</v>
      </c>
      <c r="DD772" s="3070">
        <v>3290547602</v>
      </c>
      <c r="DE772" s="3070">
        <v>2764253109</v>
      </c>
      <c r="DF772" s="3070">
        <v>1464966739</v>
      </c>
      <c r="DG772" s="3070">
        <v>14938370</v>
      </c>
      <c r="DH772" s="3070">
        <v>1284348000</v>
      </c>
      <c r="DI772" s="3070">
        <v>1278128000</v>
      </c>
      <c r="DJ772" s="3070">
        <v>6220000</v>
      </c>
      <c r="DK772" s="3070">
        <v>0</v>
      </c>
      <c r="DL772" s="3070">
        <v>0</v>
      </c>
      <c r="DM772" s="3070">
        <v>25491817.620000001</v>
      </c>
      <c r="DN772" s="3070">
        <v>2764253109</v>
      </c>
      <c r="DP772" s="3070">
        <v>2764253109</v>
      </c>
    </row>
    <row r="773" spans="1:120">
      <c r="A773" s="3070">
        <v>772</v>
      </c>
      <c r="B773" s="3070" t="s">
        <v>3224</v>
      </c>
      <c r="C773" s="3070">
        <v>8</v>
      </c>
      <c r="D773" s="3070">
        <v>1</v>
      </c>
      <c r="E773" s="3070">
        <v>704</v>
      </c>
      <c r="F773" s="3070" t="s">
        <v>9544</v>
      </c>
      <c r="G773" s="3070" t="s">
        <v>9545</v>
      </c>
      <c r="H773" s="3070">
        <v>1396808</v>
      </c>
      <c r="I773" s="3070">
        <v>1396808</v>
      </c>
      <c r="J773" s="3070">
        <v>108.82</v>
      </c>
      <c r="K773" s="3070">
        <v>80.22</v>
      </c>
      <c r="L773" s="3070">
        <v>0</v>
      </c>
      <c r="M773" s="3070">
        <v>0</v>
      </c>
      <c r="N773" s="3070">
        <v>15784.44</v>
      </c>
      <c r="O773" s="3070">
        <v>1717663</v>
      </c>
      <c r="P773" s="3070">
        <v>12835.95</v>
      </c>
      <c r="Q773" s="3070">
        <v>1396808</v>
      </c>
      <c r="R773" s="3070" t="s">
        <v>3227</v>
      </c>
      <c r="S773" s="3070" t="s">
        <v>9546</v>
      </c>
      <c r="T773" s="3070" t="s">
        <v>3258</v>
      </c>
      <c r="U773" s="3070" t="s">
        <v>3259</v>
      </c>
      <c r="V773" s="3070" t="s">
        <v>3230</v>
      </c>
      <c r="Y773" s="3070">
        <v>996808</v>
      </c>
      <c r="Z773" s="3070">
        <v>796808</v>
      </c>
      <c r="AA773" s="3070">
        <v>996808</v>
      </c>
      <c r="AB773" s="3070">
        <v>0</v>
      </c>
      <c r="AC773" s="3070">
        <v>400000</v>
      </c>
      <c r="AD773" s="3070">
        <v>400000</v>
      </c>
      <c r="AE773" s="3070">
        <v>0</v>
      </c>
      <c r="AI773" s="3070" t="s">
        <v>3227</v>
      </c>
      <c r="AJ773" s="3070">
        <v>0</v>
      </c>
      <c r="AK773" s="3070">
        <v>0</v>
      </c>
      <c r="AL773" s="3070">
        <v>0</v>
      </c>
      <c r="AM773" s="3070">
        <v>12835.95</v>
      </c>
      <c r="AN773" s="3070">
        <v>1396808</v>
      </c>
      <c r="AP773" s="3070">
        <v>1396808</v>
      </c>
      <c r="AQ773" s="3072">
        <v>45230</v>
      </c>
      <c r="AT773" s="3073">
        <v>45770</v>
      </c>
      <c r="AV773" s="3074">
        <v>3.21E+17</v>
      </c>
      <c r="AW773" s="3070" t="s">
        <v>9547</v>
      </c>
      <c r="AX773" s="3070" t="s">
        <v>9548</v>
      </c>
      <c r="AY773" s="3070" t="s">
        <v>3262</v>
      </c>
      <c r="BC773" s="3070" t="s">
        <v>3263</v>
      </c>
      <c r="BD773" s="3070" t="s">
        <v>3077</v>
      </c>
      <c r="BI773" s="3070" t="s">
        <v>3235</v>
      </c>
      <c r="BJ773" s="3070" t="s">
        <v>3296</v>
      </c>
      <c r="BL773" s="3070" t="s">
        <v>9549</v>
      </c>
      <c r="BM773" s="3075">
        <v>44409</v>
      </c>
      <c r="BN773" s="3070">
        <v>-70</v>
      </c>
      <c r="BO773" s="3070" t="s">
        <v>3253</v>
      </c>
      <c r="BP773" s="3070" t="s">
        <v>3253</v>
      </c>
      <c r="BR773" s="3070">
        <v>97</v>
      </c>
      <c r="BS773" s="3070" t="s">
        <v>3238</v>
      </c>
      <c r="BZ773" s="3073">
        <v>44142.65625</v>
      </c>
      <c r="CA773" s="3070">
        <v>8</v>
      </c>
      <c r="CD773" s="3070" t="s">
        <v>3239</v>
      </c>
      <c r="CF773" s="3070" t="s">
        <v>3091</v>
      </c>
      <c r="CH773" s="3070" t="s">
        <v>3240</v>
      </c>
      <c r="CI773" s="3070">
        <v>0</v>
      </c>
      <c r="CJ773" s="3070" t="s">
        <v>3259</v>
      </c>
      <c r="CK773" s="3070" t="s">
        <v>3262</v>
      </c>
      <c r="CL773" s="3070" t="s">
        <v>3262</v>
      </c>
      <c r="CM773" s="3070">
        <v>1281475.23</v>
      </c>
      <c r="CV773" s="3070" t="s">
        <v>3258</v>
      </c>
      <c r="CW773" s="3070" t="s">
        <v>9550</v>
      </c>
      <c r="CX773" s="3070" t="s">
        <v>3267</v>
      </c>
      <c r="CZ773" s="3070">
        <v>213894.57</v>
      </c>
      <c r="DA773" s="3070">
        <v>159426.93</v>
      </c>
      <c r="DB773" s="3070">
        <v>0</v>
      </c>
      <c r="DC773" s="3070">
        <v>0</v>
      </c>
      <c r="DD773" s="3070">
        <v>3290547602</v>
      </c>
      <c r="DE773" s="3070">
        <v>2764253109</v>
      </c>
      <c r="DF773" s="3070">
        <v>1464966739</v>
      </c>
      <c r="DG773" s="3070">
        <v>14938370</v>
      </c>
      <c r="DH773" s="3070">
        <v>1284348000</v>
      </c>
      <c r="DI773" s="3070">
        <v>1278128000</v>
      </c>
      <c r="DJ773" s="3070">
        <v>6220000</v>
      </c>
      <c r="DK773" s="3070">
        <v>0</v>
      </c>
      <c r="DL773" s="3070">
        <v>0</v>
      </c>
      <c r="DM773" s="3070">
        <v>25491817.620000001</v>
      </c>
      <c r="DN773" s="3070">
        <v>2764253109</v>
      </c>
      <c r="DP773" s="3070">
        <v>2764253109</v>
      </c>
    </row>
    <row r="774" spans="1:120">
      <c r="A774" s="3070">
        <v>773</v>
      </c>
      <c r="B774" s="3070" t="s">
        <v>3224</v>
      </c>
      <c r="C774" s="3070">
        <v>8</v>
      </c>
      <c r="D774" s="3070">
        <v>2</v>
      </c>
      <c r="E774" s="3070">
        <v>705</v>
      </c>
      <c r="F774" s="3070" t="s">
        <v>9551</v>
      </c>
      <c r="G774" s="3070" t="s">
        <v>9552</v>
      </c>
      <c r="H774" s="3070">
        <v>1396808</v>
      </c>
      <c r="I774" s="3070">
        <v>1396808</v>
      </c>
      <c r="J774" s="3070">
        <v>108.82</v>
      </c>
      <c r="K774" s="3070">
        <v>80.22</v>
      </c>
      <c r="L774" s="3070">
        <v>0</v>
      </c>
      <c r="M774" s="3070">
        <v>0</v>
      </c>
      <c r="N774" s="3070">
        <v>15784.44</v>
      </c>
      <c r="O774" s="3070">
        <v>1717663</v>
      </c>
      <c r="P774" s="3070">
        <v>12835.95</v>
      </c>
      <c r="Q774" s="3070">
        <v>1396808</v>
      </c>
      <c r="R774" s="3070" t="s">
        <v>3227</v>
      </c>
      <c r="S774" s="3070" t="s">
        <v>9553</v>
      </c>
      <c r="T774" s="3070" t="s">
        <v>3246</v>
      </c>
      <c r="U774" s="3070" t="s">
        <v>3247</v>
      </c>
      <c r="V774" s="3070" t="s">
        <v>3230</v>
      </c>
      <c r="Y774" s="3070">
        <v>476808</v>
      </c>
      <c r="Z774" s="3070">
        <v>476808</v>
      </c>
      <c r="AA774" s="3070">
        <v>476808</v>
      </c>
      <c r="AB774" s="3070">
        <v>0</v>
      </c>
      <c r="AC774" s="3070">
        <v>920000</v>
      </c>
      <c r="AD774" s="3070">
        <v>920000</v>
      </c>
      <c r="AE774" s="3070">
        <v>0</v>
      </c>
      <c r="AI774" s="3070" t="s">
        <v>3227</v>
      </c>
      <c r="AJ774" s="3070">
        <v>0</v>
      </c>
      <c r="AK774" s="3070">
        <v>0</v>
      </c>
      <c r="AL774" s="3070">
        <v>0</v>
      </c>
      <c r="AM774" s="3070">
        <v>12835.95</v>
      </c>
      <c r="AN774" s="3070">
        <v>1396808</v>
      </c>
      <c r="AP774" s="3070">
        <v>1396808</v>
      </c>
      <c r="AQ774" s="3072">
        <v>45230</v>
      </c>
      <c r="AT774" s="3073">
        <v>45770</v>
      </c>
      <c r="AV774" s="3070" t="s">
        <v>9554</v>
      </c>
      <c r="AW774" s="3070" t="s">
        <v>9555</v>
      </c>
      <c r="AX774" s="3070" t="s">
        <v>9556</v>
      </c>
      <c r="AY774" s="3070" t="s">
        <v>3419</v>
      </c>
      <c r="BC774" s="3070" t="s">
        <v>3284</v>
      </c>
      <c r="BD774" s="3070" t="s">
        <v>3077</v>
      </c>
      <c r="BI774" s="3070" t="s">
        <v>3235</v>
      </c>
      <c r="BJ774" s="3070" t="s">
        <v>3338</v>
      </c>
      <c r="BL774" s="3070" t="s">
        <v>9557</v>
      </c>
      <c r="BM774" s="3075">
        <v>44410</v>
      </c>
      <c r="BN774" s="3070">
        <v>-70</v>
      </c>
      <c r="BO774" s="3070" t="s">
        <v>3253</v>
      </c>
      <c r="BR774" s="3070">
        <v>336</v>
      </c>
      <c r="BS774" s="3070" t="s">
        <v>3238</v>
      </c>
      <c r="BZ774" s="3073">
        <v>44142.614583333336</v>
      </c>
      <c r="CA774" s="3070">
        <v>8</v>
      </c>
      <c r="CD774" s="3070" t="s">
        <v>3239</v>
      </c>
      <c r="CF774" s="3070" t="s">
        <v>3091</v>
      </c>
      <c r="CH774" s="3070" t="s">
        <v>3240</v>
      </c>
      <c r="CI774" s="3070">
        <v>0</v>
      </c>
      <c r="CK774" s="3070" t="s">
        <v>3419</v>
      </c>
      <c r="CL774" s="3070" t="s">
        <v>3419</v>
      </c>
      <c r="CM774" s="3070">
        <v>1281475.23</v>
      </c>
      <c r="CV774" s="3070" t="s">
        <v>3246</v>
      </c>
      <c r="CW774" s="3070" t="s">
        <v>9558</v>
      </c>
      <c r="CZ774" s="3070">
        <v>213894.57</v>
      </c>
      <c r="DA774" s="3070">
        <v>159426.93</v>
      </c>
      <c r="DB774" s="3070">
        <v>0</v>
      </c>
      <c r="DC774" s="3070">
        <v>0</v>
      </c>
      <c r="DD774" s="3070">
        <v>3290547602</v>
      </c>
      <c r="DE774" s="3070">
        <v>2764253109</v>
      </c>
      <c r="DF774" s="3070">
        <v>1464966739</v>
      </c>
      <c r="DG774" s="3070">
        <v>14938370</v>
      </c>
      <c r="DH774" s="3070">
        <v>1284348000</v>
      </c>
      <c r="DI774" s="3070">
        <v>1278128000</v>
      </c>
      <c r="DJ774" s="3070">
        <v>6220000</v>
      </c>
      <c r="DK774" s="3070">
        <v>0</v>
      </c>
      <c r="DL774" s="3070">
        <v>0</v>
      </c>
      <c r="DM774" s="3070">
        <v>25491817.620000001</v>
      </c>
      <c r="DN774" s="3070">
        <v>2764253109</v>
      </c>
      <c r="DP774" s="3070">
        <v>2764253109</v>
      </c>
    </row>
    <row r="775" spans="1:120">
      <c r="A775" s="3070">
        <v>774</v>
      </c>
      <c r="B775" s="3070" t="s">
        <v>3224</v>
      </c>
      <c r="C775" s="3070">
        <v>8</v>
      </c>
      <c r="D775" s="3070">
        <v>2</v>
      </c>
      <c r="E775" s="3070">
        <v>706</v>
      </c>
      <c r="F775" s="3070" t="s">
        <v>9559</v>
      </c>
      <c r="G775" s="3070" t="s">
        <v>9560</v>
      </c>
      <c r="H775" s="3070">
        <v>1094142</v>
      </c>
      <c r="I775" s="3070">
        <v>1094142</v>
      </c>
      <c r="J775" s="3070">
        <v>84.62</v>
      </c>
      <c r="K775" s="3070">
        <v>62.38</v>
      </c>
      <c r="L775" s="3070">
        <v>0</v>
      </c>
      <c r="M775" s="3070">
        <v>0</v>
      </c>
      <c r="N775" s="3070">
        <v>15883.44</v>
      </c>
      <c r="O775" s="3070">
        <v>1344057</v>
      </c>
      <c r="P775" s="3070">
        <v>12930.06</v>
      </c>
      <c r="Q775" s="3070">
        <v>1094142</v>
      </c>
      <c r="R775" s="3070" t="s">
        <v>3227</v>
      </c>
      <c r="S775" s="3070" t="s">
        <v>9561</v>
      </c>
      <c r="T775" s="3070" t="s">
        <v>3246</v>
      </c>
      <c r="U775" s="3070" t="s">
        <v>3247</v>
      </c>
      <c r="V775" s="3070" t="s">
        <v>3230</v>
      </c>
      <c r="Y775" s="3070">
        <v>444142</v>
      </c>
      <c r="Z775" s="3070">
        <v>109414</v>
      </c>
      <c r="AA775" s="3070">
        <v>444142</v>
      </c>
      <c r="AB775" s="3070">
        <v>0</v>
      </c>
      <c r="AC775" s="3070">
        <v>650000</v>
      </c>
      <c r="AD775" s="3070">
        <v>650000</v>
      </c>
      <c r="AE775" s="3070">
        <v>0</v>
      </c>
      <c r="AI775" s="3070" t="s">
        <v>3227</v>
      </c>
      <c r="AJ775" s="3070">
        <v>0</v>
      </c>
      <c r="AK775" s="3070">
        <v>0</v>
      </c>
      <c r="AL775" s="3070">
        <v>0</v>
      </c>
      <c r="AM775" s="3070">
        <v>12930.06</v>
      </c>
      <c r="AN775" s="3070">
        <v>1094142</v>
      </c>
      <c r="AP775" s="3070">
        <v>1094142</v>
      </c>
      <c r="AQ775" s="3072">
        <v>45230</v>
      </c>
      <c r="AT775" s="3073">
        <v>45770</v>
      </c>
      <c r="AV775" s="3070" t="s">
        <v>9562</v>
      </c>
      <c r="AW775" s="3070" t="s">
        <v>9563</v>
      </c>
      <c r="AX775" s="3070" t="s">
        <v>9564</v>
      </c>
      <c r="AY775" s="3070" t="s">
        <v>3385</v>
      </c>
      <c r="BC775" s="3070" t="s">
        <v>3284</v>
      </c>
      <c r="BD775" s="3070" t="s">
        <v>3076</v>
      </c>
      <c r="BI775" s="3070" t="s">
        <v>3295</v>
      </c>
      <c r="BJ775" s="3070" t="s">
        <v>3296</v>
      </c>
      <c r="BL775" s="3070" t="s">
        <v>9565</v>
      </c>
      <c r="BM775" s="3075">
        <v>44410</v>
      </c>
      <c r="BN775" s="3070">
        <v>-70</v>
      </c>
      <c r="BO775" s="3070" t="s">
        <v>3253</v>
      </c>
      <c r="BR775" s="3070">
        <v>633</v>
      </c>
      <c r="BS775" s="3070" t="s">
        <v>3238</v>
      </c>
      <c r="BZ775" s="3073">
        <v>44153.818055555559</v>
      </c>
      <c r="CA775" s="3070">
        <v>8</v>
      </c>
      <c r="CD775" s="3070" t="s">
        <v>3239</v>
      </c>
      <c r="CF775" s="3070" t="s">
        <v>3091</v>
      </c>
      <c r="CH775" s="3070" t="s">
        <v>3240</v>
      </c>
      <c r="CI775" s="3070">
        <v>0</v>
      </c>
      <c r="CK775" s="3070" t="s">
        <v>3385</v>
      </c>
      <c r="CL775" s="3070" t="s">
        <v>3385</v>
      </c>
      <c r="CM775" s="3070">
        <v>1003800</v>
      </c>
      <c r="CV775" s="3070" t="s">
        <v>3246</v>
      </c>
      <c r="CW775" s="3070" t="s">
        <v>9566</v>
      </c>
      <c r="CZ775" s="3070">
        <v>213894.57</v>
      </c>
      <c r="DA775" s="3070">
        <v>159426.93</v>
      </c>
      <c r="DB775" s="3070">
        <v>0</v>
      </c>
      <c r="DC775" s="3070">
        <v>0</v>
      </c>
      <c r="DD775" s="3070">
        <v>3290547602</v>
      </c>
      <c r="DE775" s="3070">
        <v>2764253109</v>
      </c>
      <c r="DF775" s="3070">
        <v>1464966739</v>
      </c>
      <c r="DG775" s="3070">
        <v>14938370</v>
      </c>
      <c r="DH775" s="3070">
        <v>1284348000</v>
      </c>
      <c r="DI775" s="3070">
        <v>1278128000</v>
      </c>
      <c r="DJ775" s="3070">
        <v>6220000</v>
      </c>
      <c r="DK775" s="3070">
        <v>0</v>
      </c>
      <c r="DL775" s="3070">
        <v>0</v>
      </c>
      <c r="DM775" s="3070">
        <v>25491817.620000001</v>
      </c>
      <c r="DN775" s="3070">
        <v>2764253109</v>
      </c>
      <c r="DP775" s="3070">
        <v>2764253109</v>
      </c>
    </row>
    <row r="776" spans="1:120">
      <c r="A776" s="3070">
        <v>775</v>
      </c>
      <c r="B776" s="3070" t="s">
        <v>3224</v>
      </c>
      <c r="C776" s="3070">
        <v>8</v>
      </c>
      <c r="D776" s="3070">
        <v>2</v>
      </c>
      <c r="E776" s="3070">
        <v>707</v>
      </c>
      <c r="F776" s="3070" t="s">
        <v>9567</v>
      </c>
      <c r="G776" s="3070" t="s">
        <v>9568</v>
      </c>
      <c r="H776" s="3070">
        <v>1094142</v>
      </c>
      <c r="I776" s="3070">
        <v>1094142</v>
      </c>
      <c r="J776" s="3070">
        <v>84.62</v>
      </c>
      <c r="K776" s="3070">
        <v>62.38</v>
      </c>
      <c r="L776" s="3070">
        <v>0</v>
      </c>
      <c r="M776" s="3070">
        <v>0</v>
      </c>
      <c r="N776" s="3070">
        <v>15883.44</v>
      </c>
      <c r="O776" s="3070">
        <v>1344057</v>
      </c>
      <c r="P776" s="3070">
        <v>12930.06</v>
      </c>
      <c r="Q776" s="3070">
        <v>1094142</v>
      </c>
      <c r="R776" s="3070" t="s">
        <v>3227</v>
      </c>
      <c r="S776" s="3070" t="s">
        <v>9569</v>
      </c>
      <c r="T776" s="3070" t="s">
        <v>3246</v>
      </c>
      <c r="U776" s="3070" t="s">
        <v>3247</v>
      </c>
      <c r="V776" s="3070" t="s">
        <v>3230</v>
      </c>
      <c r="Y776" s="3070">
        <v>444142</v>
      </c>
      <c r="Z776" s="3070">
        <v>444142</v>
      </c>
      <c r="AA776" s="3070">
        <v>444142</v>
      </c>
      <c r="AB776" s="3070">
        <v>0</v>
      </c>
      <c r="AC776" s="3070">
        <v>650000</v>
      </c>
      <c r="AD776" s="3070">
        <v>650000</v>
      </c>
      <c r="AE776" s="3070">
        <v>0</v>
      </c>
      <c r="AI776" s="3070" t="s">
        <v>3227</v>
      </c>
      <c r="AJ776" s="3070">
        <v>0</v>
      </c>
      <c r="AK776" s="3070">
        <v>0</v>
      </c>
      <c r="AL776" s="3070">
        <v>0</v>
      </c>
      <c r="AM776" s="3070">
        <v>12930.06</v>
      </c>
      <c r="AN776" s="3070">
        <v>1094142</v>
      </c>
      <c r="AP776" s="3070">
        <v>1094142</v>
      </c>
      <c r="AQ776" s="3072">
        <v>45230</v>
      </c>
      <c r="AT776" s="3073">
        <v>45770</v>
      </c>
      <c r="AV776" s="3074">
        <v>3.21E+17</v>
      </c>
      <c r="AW776" s="3070" t="s">
        <v>9570</v>
      </c>
      <c r="AX776" s="3070" t="s">
        <v>9571</v>
      </c>
      <c r="AY776" s="3070" t="s">
        <v>3597</v>
      </c>
      <c r="BC776" s="3070" t="s">
        <v>3284</v>
      </c>
      <c r="BD776" s="3070" t="s">
        <v>3076</v>
      </c>
      <c r="BI776" s="3070" t="s">
        <v>3235</v>
      </c>
      <c r="BL776" s="3070" t="s">
        <v>9572</v>
      </c>
      <c r="BM776" s="3075">
        <v>44410</v>
      </c>
      <c r="BN776" s="3070">
        <v>-70</v>
      </c>
      <c r="BO776" s="3070" t="s">
        <v>3253</v>
      </c>
      <c r="BR776" s="3070">
        <v>128</v>
      </c>
      <c r="BS776" s="3070" t="s">
        <v>3238</v>
      </c>
      <c r="BZ776" s="3073">
        <v>44149.775000000001</v>
      </c>
      <c r="CA776" s="3070">
        <v>8</v>
      </c>
      <c r="CD776" s="3070" t="s">
        <v>3239</v>
      </c>
      <c r="CF776" s="3070" t="s">
        <v>3091</v>
      </c>
      <c r="CH776" s="3070" t="s">
        <v>3240</v>
      </c>
      <c r="CI776" s="3070">
        <v>0</v>
      </c>
      <c r="CK776" s="3070" t="s">
        <v>3597</v>
      </c>
      <c r="CL776" s="3070" t="s">
        <v>3597</v>
      </c>
      <c r="CM776" s="3070">
        <v>1003800</v>
      </c>
      <c r="CV776" s="3070" t="s">
        <v>3246</v>
      </c>
      <c r="CW776" s="3070" t="s">
        <v>9573</v>
      </c>
      <c r="CZ776" s="3070">
        <v>213894.57</v>
      </c>
      <c r="DA776" s="3070">
        <v>159426.93</v>
      </c>
      <c r="DB776" s="3070">
        <v>0</v>
      </c>
      <c r="DC776" s="3070">
        <v>0</v>
      </c>
      <c r="DD776" s="3070">
        <v>3290547602</v>
      </c>
      <c r="DE776" s="3070">
        <v>2764253109</v>
      </c>
      <c r="DF776" s="3070">
        <v>1464966739</v>
      </c>
      <c r="DG776" s="3070">
        <v>14938370</v>
      </c>
      <c r="DH776" s="3070">
        <v>1284348000</v>
      </c>
      <c r="DI776" s="3070">
        <v>1278128000</v>
      </c>
      <c r="DJ776" s="3070">
        <v>6220000</v>
      </c>
      <c r="DK776" s="3070">
        <v>0</v>
      </c>
      <c r="DL776" s="3070">
        <v>0</v>
      </c>
      <c r="DM776" s="3070">
        <v>25491817.620000001</v>
      </c>
      <c r="DN776" s="3070">
        <v>2764253109</v>
      </c>
      <c r="DP776" s="3070">
        <v>2764253109</v>
      </c>
    </row>
    <row r="777" spans="1:120">
      <c r="A777" s="3070">
        <v>776</v>
      </c>
      <c r="B777" s="3070" t="s">
        <v>3224</v>
      </c>
      <c r="C777" s="3070">
        <v>8</v>
      </c>
      <c r="D777" s="3070">
        <v>2</v>
      </c>
      <c r="E777" s="3070">
        <v>708</v>
      </c>
      <c r="F777" s="3070" t="s">
        <v>9574</v>
      </c>
      <c r="G777" s="3070" t="s">
        <v>9575</v>
      </c>
      <c r="H777" s="3070">
        <v>1509117</v>
      </c>
      <c r="I777" s="3070">
        <v>1509117</v>
      </c>
      <c r="J777" s="3070">
        <v>120.15</v>
      </c>
      <c r="K777" s="3070">
        <v>88.57</v>
      </c>
      <c r="L777" s="3070">
        <v>0</v>
      </c>
      <c r="M777" s="3070">
        <v>0</v>
      </c>
      <c r="N777" s="3070">
        <v>15494.44</v>
      </c>
      <c r="O777" s="3070">
        <v>1861657</v>
      </c>
      <c r="P777" s="3070">
        <v>12560.27</v>
      </c>
      <c r="Q777" s="3070">
        <v>1509117</v>
      </c>
      <c r="R777" s="3070" t="s">
        <v>3227</v>
      </c>
      <c r="S777" s="3070" t="s">
        <v>9576</v>
      </c>
      <c r="T777" s="3070" t="s">
        <v>3258</v>
      </c>
      <c r="U777" s="3070" t="s">
        <v>3259</v>
      </c>
      <c r="V777" s="3070" t="s">
        <v>3230</v>
      </c>
      <c r="Y777" s="3070">
        <v>459117</v>
      </c>
      <c r="Z777" s="3070">
        <v>459117</v>
      </c>
      <c r="AA777" s="3070">
        <v>459117</v>
      </c>
      <c r="AB777" s="3070">
        <v>0</v>
      </c>
      <c r="AC777" s="3070">
        <v>1050000</v>
      </c>
      <c r="AD777" s="3070">
        <v>1050000</v>
      </c>
      <c r="AE777" s="3070">
        <v>0</v>
      </c>
      <c r="AI777" s="3070" t="s">
        <v>3227</v>
      </c>
      <c r="AJ777" s="3070">
        <v>0</v>
      </c>
      <c r="AK777" s="3070">
        <v>0</v>
      </c>
      <c r="AL777" s="3070">
        <v>0</v>
      </c>
      <c r="AM777" s="3070">
        <v>12560.27</v>
      </c>
      <c r="AN777" s="3070">
        <v>1509117</v>
      </c>
      <c r="AP777" s="3070">
        <v>1509117</v>
      </c>
      <c r="AQ777" s="3072">
        <v>45230</v>
      </c>
      <c r="AT777" s="3073">
        <v>45770</v>
      </c>
      <c r="AV777" s="3074">
        <v>3.21E+17</v>
      </c>
      <c r="AW777" s="3070" t="s">
        <v>9577</v>
      </c>
      <c r="AX777" s="3070" t="s">
        <v>9578</v>
      </c>
      <c r="AY777" s="3070" t="s">
        <v>3419</v>
      </c>
      <c r="BC777" s="3070" t="s">
        <v>3263</v>
      </c>
      <c r="BD777" s="3070" t="s">
        <v>3075</v>
      </c>
      <c r="BI777" s="3070" t="s">
        <v>3295</v>
      </c>
      <c r="BJ777" s="3070" t="s">
        <v>3296</v>
      </c>
      <c r="BL777" s="3070" t="s">
        <v>9579</v>
      </c>
      <c r="BM777" s="3075">
        <v>44410</v>
      </c>
      <c r="BN777" s="3070">
        <v>-70</v>
      </c>
      <c r="BO777" s="3070" t="s">
        <v>3253</v>
      </c>
      <c r="BP777" s="3070" t="s">
        <v>3253</v>
      </c>
      <c r="BR777" s="3070">
        <v>145</v>
      </c>
      <c r="BS777" s="3070" t="s">
        <v>3238</v>
      </c>
      <c r="BV777" s="3070">
        <v>1136</v>
      </c>
      <c r="BZ777" s="3073">
        <v>44142.626388888886</v>
      </c>
      <c r="CA777" s="3070">
        <v>8</v>
      </c>
      <c r="CD777" s="3070" t="s">
        <v>3239</v>
      </c>
      <c r="CF777" s="3070" t="s">
        <v>3091</v>
      </c>
      <c r="CH777" s="3070" t="s">
        <v>3240</v>
      </c>
      <c r="CI777" s="3070">
        <v>0</v>
      </c>
      <c r="CJ777" s="3070" t="s">
        <v>3259</v>
      </c>
      <c r="CK777" s="3070" t="s">
        <v>3419</v>
      </c>
      <c r="CL777" s="3070" t="s">
        <v>3419</v>
      </c>
      <c r="CM777" s="3070">
        <v>1384511.01</v>
      </c>
      <c r="CV777" s="3070" t="s">
        <v>3258</v>
      </c>
      <c r="CW777" s="3070" t="s">
        <v>9580</v>
      </c>
      <c r="CZ777" s="3070">
        <v>213894.57</v>
      </c>
      <c r="DA777" s="3070">
        <v>159426.93</v>
      </c>
      <c r="DB777" s="3070">
        <v>0</v>
      </c>
      <c r="DC777" s="3070">
        <v>0</v>
      </c>
      <c r="DD777" s="3070">
        <v>3290547602</v>
      </c>
      <c r="DE777" s="3070">
        <v>2764253109</v>
      </c>
      <c r="DF777" s="3070">
        <v>1464966739</v>
      </c>
      <c r="DG777" s="3070">
        <v>14938370</v>
      </c>
      <c r="DH777" s="3070">
        <v>1284348000</v>
      </c>
      <c r="DI777" s="3070">
        <v>1278128000</v>
      </c>
      <c r="DJ777" s="3070">
        <v>6220000</v>
      </c>
      <c r="DK777" s="3070">
        <v>0</v>
      </c>
      <c r="DL777" s="3070">
        <v>0</v>
      </c>
      <c r="DM777" s="3070">
        <v>25491817.620000001</v>
      </c>
      <c r="DN777" s="3070">
        <v>2764253109</v>
      </c>
      <c r="DP777" s="3070">
        <v>2764253109</v>
      </c>
    </row>
    <row r="778" spans="1:120">
      <c r="A778" s="3070">
        <v>777</v>
      </c>
      <c r="B778" s="3070" t="s">
        <v>3224</v>
      </c>
      <c r="C778" s="3070">
        <v>8</v>
      </c>
      <c r="D778" s="3070">
        <v>1</v>
      </c>
      <c r="E778" s="3070">
        <v>801</v>
      </c>
      <c r="F778" s="3070" t="s">
        <v>9581</v>
      </c>
      <c r="G778" s="3070" t="s">
        <v>9582</v>
      </c>
      <c r="H778" s="3070">
        <v>1522294</v>
      </c>
      <c r="I778" s="3070">
        <v>1522294</v>
      </c>
      <c r="J778" s="3070">
        <v>120.15</v>
      </c>
      <c r="K778" s="3070">
        <v>88.57</v>
      </c>
      <c r="L778" s="3070">
        <v>0</v>
      </c>
      <c r="M778" s="3070">
        <v>0</v>
      </c>
      <c r="N778" s="3070">
        <v>15744.44</v>
      </c>
      <c r="O778" s="3070">
        <v>1891694</v>
      </c>
      <c r="P778" s="3070">
        <v>12669.95</v>
      </c>
      <c r="Q778" s="3070">
        <v>1522294</v>
      </c>
      <c r="R778" s="3070" t="s">
        <v>3227</v>
      </c>
      <c r="S778" s="3070" t="s">
        <v>9583</v>
      </c>
      <c r="T778" s="3070" t="s">
        <v>3229</v>
      </c>
      <c r="V778" s="3070" t="s">
        <v>3230</v>
      </c>
      <c r="Y778" s="3070">
        <v>456688</v>
      </c>
      <c r="Z778" s="3070">
        <v>456688</v>
      </c>
      <c r="AA778" s="3070">
        <v>1522294</v>
      </c>
      <c r="AB778" s="3070">
        <v>0</v>
      </c>
      <c r="AC778" s="3070">
        <v>0</v>
      </c>
      <c r="AD778" s="3070">
        <v>0</v>
      </c>
      <c r="AE778" s="3070">
        <v>0</v>
      </c>
      <c r="AI778" s="3070" t="s">
        <v>3227</v>
      </c>
      <c r="AJ778" s="3070">
        <v>0</v>
      </c>
      <c r="AK778" s="3070">
        <v>0</v>
      </c>
      <c r="AL778" s="3070">
        <v>0</v>
      </c>
      <c r="AM778" s="3070">
        <v>12669.95</v>
      </c>
      <c r="AN778" s="3070">
        <v>1522294</v>
      </c>
      <c r="AP778" s="3070">
        <v>1522294</v>
      </c>
      <c r="AQ778" s="3072">
        <v>45230</v>
      </c>
      <c r="AT778" s="3073">
        <v>45770</v>
      </c>
      <c r="AV778" s="3074">
        <v>3.21E+17</v>
      </c>
      <c r="AW778" s="3070" t="s">
        <v>9584</v>
      </c>
      <c r="AX778" s="3070" t="s">
        <v>9585</v>
      </c>
      <c r="AY778" s="3070" t="s">
        <v>3656</v>
      </c>
      <c r="BC778" s="3070" t="s">
        <v>3347</v>
      </c>
      <c r="BD778" s="3070" t="s">
        <v>3075</v>
      </c>
      <c r="BI778" s="3070" t="s">
        <v>3235</v>
      </c>
      <c r="BJ778" s="3070" t="s">
        <v>3236</v>
      </c>
      <c r="BL778" s="3070" t="s">
        <v>9586</v>
      </c>
      <c r="BM778" s="3075">
        <v>44409</v>
      </c>
      <c r="BN778" s="3070">
        <v>-80</v>
      </c>
      <c r="BR778" s="3070">
        <v>86</v>
      </c>
      <c r="BS778" s="3070" t="s">
        <v>3238</v>
      </c>
      <c r="BZ778" s="3073">
        <v>44153.818749999999</v>
      </c>
      <c r="CA778" s="3070">
        <v>8</v>
      </c>
      <c r="CD778" s="3070" t="s">
        <v>3239</v>
      </c>
      <c r="CF778" s="3070" t="s">
        <v>3091</v>
      </c>
      <c r="CH778" s="3070" t="s">
        <v>3240</v>
      </c>
      <c r="CI778" s="3070">
        <v>0</v>
      </c>
      <c r="CK778" s="3070" t="s">
        <v>3656</v>
      </c>
      <c r="CL778" s="3070" t="s">
        <v>3656</v>
      </c>
      <c r="CM778" s="3070">
        <v>1396600</v>
      </c>
      <c r="CV778" s="3070" t="s">
        <v>3229</v>
      </c>
      <c r="CW778" s="3070" t="s">
        <v>9587</v>
      </c>
      <c r="CZ778" s="3070">
        <v>213894.57</v>
      </c>
      <c r="DA778" s="3070">
        <v>159426.93</v>
      </c>
      <c r="DB778" s="3070">
        <v>0</v>
      </c>
      <c r="DC778" s="3070">
        <v>0</v>
      </c>
      <c r="DD778" s="3070">
        <v>3290547602</v>
      </c>
      <c r="DE778" s="3070">
        <v>2764253109</v>
      </c>
      <c r="DF778" s="3070">
        <v>1464966739</v>
      </c>
      <c r="DG778" s="3070">
        <v>14938370</v>
      </c>
      <c r="DH778" s="3070">
        <v>1284348000</v>
      </c>
      <c r="DI778" s="3070">
        <v>1278128000</v>
      </c>
      <c r="DJ778" s="3070">
        <v>6220000</v>
      </c>
      <c r="DK778" s="3070">
        <v>0</v>
      </c>
      <c r="DL778" s="3070">
        <v>0</v>
      </c>
      <c r="DM778" s="3070">
        <v>25491817.620000001</v>
      </c>
      <c r="DN778" s="3070">
        <v>2764253109</v>
      </c>
      <c r="DP778" s="3070">
        <v>2764253109</v>
      </c>
    </row>
    <row r="779" spans="1:120">
      <c r="A779" s="3070">
        <v>778</v>
      </c>
      <c r="B779" s="3070" t="s">
        <v>3224</v>
      </c>
      <c r="C779" s="3070">
        <v>8</v>
      </c>
      <c r="D779" s="3070">
        <v>1</v>
      </c>
      <c r="E779" s="3070">
        <v>802</v>
      </c>
      <c r="F779" s="3070" t="s">
        <v>9588</v>
      </c>
      <c r="G779" s="3070" t="s">
        <v>9589</v>
      </c>
      <c r="H779" s="3070">
        <v>1098164</v>
      </c>
      <c r="I779" s="3070">
        <v>1098164</v>
      </c>
      <c r="J779" s="3070">
        <v>84.62</v>
      </c>
      <c r="K779" s="3070">
        <v>62.38</v>
      </c>
      <c r="L779" s="3070">
        <v>0</v>
      </c>
      <c r="M779" s="3070">
        <v>0</v>
      </c>
      <c r="N779" s="3070">
        <v>15933.44</v>
      </c>
      <c r="O779" s="3070">
        <v>1348288</v>
      </c>
      <c r="P779" s="3070">
        <v>12977.59</v>
      </c>
      <c r="Q779" s="3070">
        <v>1098164</v>
      </c>
      <c r="R779" s="3070" t="s">
        <v>3227</v>
      </c>
      <c r="S779" s="3070" t="s">
        <v>9590</v>
      </c>
      <c r="T779" s="3070" t="s">
        <v>3246</v>
      </c>
      <c r="U779" s="3070" t="s">
        <v>3371</v>
      </c>
      <c r="V779" s="3070" t="s">
        <v>3230</v>
      </c>
      <c r="Y779" s="3070">
        <v>573164</v>
      </c>
      <c r="Z779" s="3070">
        <v>458164</v>
      </c>
      <c r="AA779" s="3070">
        <v>573164</v>
      </c>
      <c r="AB779" s="3070">
        <v>0</v>
      </c>
      <c r="AC779" s="3070">
        <v>525000</v>
      </c>
      <c r="AD779" s="3070">
        <v>525000</v>
      </c>
      <c r="AE779" s="3070">
        <v>0</v>
      </c>
      <c r="AI779" s="3070" t="s">
        <v>3227</v>
      </c>
      <c r="AJ779" s="3070">
        <v>0</v>
      </c>
      <c r="AK779" s="3070">
        <v>0</v>
      </c>
      <c r="AL779" s="3070">
        <v>0</v>
      </c>
      <c r="AM779" s="3070">
        <v>12977.59</v>
      </c>
      <c r="AN779" s="3070">
        <v>1098164</v>
      </c>
      <c r="AP779" s="3070">
        <v>1098164</v>
      </c>
      <c r="AQ779" s="3072">
        <v>45230</v>
      </c>
      <c r="AT779" s="3073">
        <v>45770</v>
      </c>
      <c r="AV779" s="3070" t="s">
        <v>9591</v>
      </c>
      <c r="AW779" s="3070" t="s">
        <v>9592</v>
      </c>
      <c r="AX779" s="3070" t="s">
        <v>9593</v>
      </c>
      <c r="AY779" s="3070" t="s">
        <v>3393</v>
      </c>
      <c r="BC779" s="3070" t="s">
        <v>3284</v>
      </c>
      <c r="BD779" s="3070" t="s">
        <v>3076</v>
      </c>
      <c r="BI779" s="3070" t="s">
        <v>3235</v>
      </c>
      <c r="BJ779" s="3070" t="s">
        <v>3296</v>
      </c>
      <c r="BL779" s="3070" t="s">
        <v>9594</v>
      </c>
      <c r="BM779" s="3075">
        <v>44409</v>
      </c>
      <c r="BN779" s="3070">
        <v>-80</v>
      </c>
      <c r="BO779" s="3070" t="s">
        <v>3253</v>
      </c>
      <c r="BR779" s="3070">
        <v>924</v>
      </c>
      <c r="BS779" s="3070" t="s">
        <v>3238</v>
      </c>
      <c r="BZ779" s="3073">
        <v>44142.629861111112</v>
      </c>
      <c r="CA779" s="3070">
        <v>8</v>
      </c>
      <c r="CD779" s="3070" t="s">
        <v>3239</v>
      </c>
      <c r="CF779" s="3070" t="s">
        <v>3091</v>
      </c>
      <c r="CH779" s="3070" t="s">
        <v>3240</v>
      </c>
      <c r="CI779" s="3070">
        <v>0</v>
      </c>
      <c r="CK779" s="3070" t="s">
        <v>3393</v>
      </c>
      <c r="CL779" s="3070" t="s">
        <v>3393</v>
      </c>
      <c r="CM779" s="3070">
        <v>1007489.91</v>
      </c>
      <c r="CV779" s="3070" t="s">
        <v>3246</v>
      </c>
      <c r="CW779" s="3070" t="s">
        <v>9595</v>
      </c>
      <c r="CX779" s="3070" t="s">
        <v>3267</v>
      </c>
      <c r="CZ779" s="3070">
        <v>213894.57</v>
      </c>
      <c r="DA779" s="3070">
        <v>159426.93</v>
      </c>
      <c r="DB779" s="3070">
        <v>0</v>
      </c>
      <c r="DC779" s="3070">
        <v>0</v>
      </c>
      <c r="DD779" s="3070">
        <v>3290547602</v>
      </c>
      <c r="DE779" s="3070">
        <v>2764253109</v>
      </c>
      <c r="DF779" s="3070">
        <v>1464966739</v>
      </c>
      <c r="DG779" s="3070">
        <v>14938370</v>
      </c>
      <c r="DH779" s="3070">
        <v>1284348000</v>
      </c>
      <c r="DI779" s="3070">
        <v>1278128000</v>
      </c>
      <c r="DJ779" s="3070">
        <v>6220000</v>
      </c>
      <c r="DK779" s="3070">
        <v>0</v>
      </c>
      <c r="DL779" s="3070">
        <v>0</v>
      </c>
      <c r="DM779" s="3070">
        <v>25491817.620000001</v>
      </c>
      <c r="DN779" s="3070">
        <v>2764253109</v>
      </c>
      <c r="DP779" s="3070">
        <v>2764253109</v>
      </c>
    </row>
    <row r="780" spans="1:120">
      <c r="A780" s="3070">
        <v>779</v>
      </c>
      <c r="B780" s="3070" t="s">
        <v>3224</v>
      </c>
      <c r="C780" s="3070">
        <v>8</v>
      </c>
      <c r="D780" s="3070">
        <v>1</v>
      </c>
      <c r="E780" s="3070">
        <v>803</v>
      </c>
      <c r="F780" s="3070" t="s">
        <v>9596</v>
      </c>
      <c r="G780" s="3070" t="s">
        <v>9597</v>
      </c>
      <c r="H780" s="3070">
        <v>1098164</v>
      </c>
      <c r="I780" s="3070">
        <v>1098164</v>
      </c>
      <c r="J780" s="3070">
        <v>84.62</v>
      </c>
      <c r="K780" s="3070">
        <v>62.38</v>
      </c>
      <c r="L780" s="3070">
        <v>0</v>
      </c>
      <c r="M780" s="3070">
        <v>0</v>
      </c>
      <c r="N780" s="3070">
        <v>15933.44</v>
      </c>
      <c r="O780" s="3070">
        <v>1348288</v>
      </c>
      <c r="P780" s="3070">
        <v>12977.59</v>
      </c>
      <c r="Q780" s="3070">
        <v>1098164</v>
      </c>
      <c r="R780" s="3070" t="s">
        <v>3227</v>
      </c>
      <c r="S780" s="3070" t="s">
        <v>9598</v>
      </c>
      <c r="T780" s="3070" t="s">
        <v>3246</v>
      </c>
      <c r="U780" s="3070" t="s">
        <v>3247</v>
      </c>
      <c r="V780" s="3070" t="s">
        <v>3230</v>
      </c>
      <c r="Y780" s="3070">
        <v>528164</v>
      </c>
      <c r="Z780" s="3070">
        <v>109816</v>
      </c>
      <c r="AA780" s="3070">
        <v>528164</v>
      </c>
      <c r="AB780" s="3070">
        <v>0</v>
      </c>
      <c r="AC780" s="3070">
        <v>570000</v>
      </c>
      <c r="AD780" s="3070">
        <v>570000</v>
      </c>
      <c r="AE780" s="3070">
        <v>0</v>
      </c>
      <c r="AI780" s="3070" t="s">
        <v>3227</v>
      </c>
      <c r="AJ780" s="3070">
        <v>0</v>
      </c>
      <c r="AK780" s="3070">
        <v>0</v>
      </c>
      <c r="AL780" s="3070">
        <v>0</v>
      </c>
      <c r="AM780" s="3070">
        <v>12977.59</v>
      </c>
      <c r="AN780" s="3070">
        <v>1098164</v>
      </c>
      <c r="AP780" s="3070">
        <v>1098164</v>
      </c>
      <c r="AQ780" s="3072">
        <v>45230</v>
      </c>
      <c r="AT780" s="3073">
        <v>45770</v>
      </c>
      <c r="AV780" s="3070" t="s">
        <v>9599</v>
      </c>
      <c r="AW780" s="3070" t="s">
        <v>9600</v>
      </c>
      <c r="AX780" s="3070" t="s">
        <v>9601</v>
      </c>
      <c r="AY780" s="3070" t="s">
        <v>3699</v>
      </c>
      <c r="BC780" s="3070" t="s">
        <v>3284</v>
      </c>
      <c r="BD780" s="3070" t="s">
        <v>3076</v>
      </c>
      <c r="BI780" s="3070" t="s">
        <v>3235</v>
      </c>
      <c r="BJ780" s="3070" t="s">
        <v>3296</v>
      </c>
      <c r="BL780" s="3070" t="s">
        <v>9602</v>
      </c>
      <c r="BM780" s="3075">
        <v>44409</v>
      </c>
      <c r="BN780" s="3070">
        <v>-80</v>
      </c>
      <c r="BO780" s="3070" t="s">
        <v>3253</v>
      </c>
      <c r="BR780" s="3070">
        <v>676</v>
      </c>
      <c r="BS780" s="3070" t="s">
        <v>3238</v>
      </c>
      <c r="BZ780" s="3073">
        <v>44153.820138888892</v>
      </c>
      <c r="CA780" s="3070">
        <v>8</v>
      </c>
      <c r="CD780" s="3070" t="s">
        <v>3239</v>
      </c>
      <c r="CF780" s="3070" t="s">
        <v>3091</v>
      </c>
      <c r="CH780" s="3070" t="s">
        <v>3240</v>
      </c>
      <c r="CI780" s="3070">
        <v>0</v>
      </c>
      <c r="CK780" s="3070" t="s">
        <v>3699</v>
      </c>
      <c r="CL780" s="3070" t="s">
        <v>3699</v>
      </c>
      <c r="CM780" s="3070">
        <v>1007489.9</v>
      </c>
      <c r="CV780" s="3070" t="s">
        <v>3246</v>
      </c>
      <c r="CW780" s="3070" t="s">
        <v>9603</v>
      </c>
      <c r="CX780" s="3070" t="s">
        <v>3311</v>
      </c>
      <c r="CZ780" s="3070">
        <v>213894.57</v>
      </c>
      <c r="DA780" s="3070">
        <v>159426.93</v>
      </c>
      <c r="DB780" s="3070">
        <v>0</v>
      </c>
      <c r="DC780" s="3070">
        <v>0</v>
      </c>
      <c r="DD780" s="3070">
        <v>3290547602</v>
      </c>
      <c r="DE780" s="3070">
        <v>2764253109</v>
      </c>
      <c r="DF780" s="3070">
        <v>1464966739</v>
      </c>
      <c r="DG780" s="3070">
        <v>14938370</v>
      </c>
      <c r="DH780" s="3070">
        <v>1284348000</v>
      </c>
      <c r="DI780" s="3070">
        <v>1278128000</v>
      </c>
      <c r="DJ780" s="3070">
        <v>6220000</v>
      </c>
      <c r="DK780" s="3070">
        <v>0</v>
      </c>
      <c r="DL780" s="3070">
        <v>0</v>
      </c>
      <c r="DM780" s="3070">
        <v>25491817.620000001</v>
      </c>
      <c r="DN780" s="3070">
        <v>2764253109</v>
      </c>
      <c r="DP780" s="3070">
        <v>2764253109</v>
      </c>
    </row>
    <row r="781" spans="1:120">
      <c r="A781" s="3070">
        <v>780</v>
      </c>
      <c r="B781" s="3070" t="s">
        <v>3224</v>
      </c>
      <c r="C781" s="3070">
        <v>8</v>
      </c>
      <c r="D781" s="3070">
        <v>1</v>
      </c>
      <c r="E781" s="3070">
        <v>804</v>
      </c>
      <c r="F781" s="3070" t="s">
        <v>9604</v>
      </c>
      <c r="G781" s="3070" t="s">
        <v>9605</v>
      </c>
      <c r="H781" s="3070">
        <v>1494086</v>
      </c>
      <c r="I781" s="3070">
        <v>1494086</v>
      </c>
      <c r="J781" s="3070">
        <v>108.82</v>
      </c>
      <c r="K781" s="3070">
        <v>80.22</v>
      </c>
      <c r="L781" s="3070">
        <v>0</v>
      </c>
      <c r="M781" s="3070">
        <v>0</v>
      </c>
      <c r="N781" s="3070">
        <v>15834.44</v>
      </c>
      <c r="O781" s="3070">
        <v>1723104</v>
      </c>
      <c r="P781" s="3070">
        <v>13729.88</v>
      </c>
      <c r="Q781" s="3070">
        <v>1494086</v>
      </c>
      <c r="R781" s="3070" t="s">
        <v>3227</v>
      </c>
      <c r="S781" s="3070" t="s">
        <v>9606</v>
      </c>
      <c r="T781" s="3070" t="s">
        <v>3476</v>
      </c>
      <c r="U781" s="3070" t="s">
        <v>3247</v>
      </c>
      <c r="V781" s="3070" t="s">
        <v>3230</v>
      </c>
      <c r="Y781" s="3070">
        <v>179290</v>
      </c>
      <c r="Z781" s="3070">
        <v>179290</v>
      </c>
      <c r="AA781" s="3070">
        <v>454086</v>
      </c>
      <c r="AB781" s="3070">
        <v>0</v>
      </c>
      <c r="AC781" s="3070">
        <v>1040000</v>
      </c>
      <c r="AD781" s="3070">
        <v>1040000</v>
      </c>
      <c r="AE781" s="3070">
        <v>0</v>
      </c>
      <c r="AI781" s="3070" t="s">
        <v>3227</v>
      </c>
      <c r="AJ781" s="3070">
        <v>0</v>
      </c>
      <c r="AK781" s="3070">
        <v>0</v>
      </c>
      <c r="AL781" s="3070">
        <v>0</v>
      </c>
      <c r="AM781" s="3070">
        <v>13729.88</v>
      </c>
      <c r="AN781" s="3070">
        <v>1494086</v>
      </c>
      <c r="AP781" s="3070">
        <v>1494086</v>
      </c>
      <c r="AQ781" s="3072">
        <v>45230</v>
      </c>
      <c r="AT781" s="3073">
        <v>45770</v>
      </c>
      <c r="AV781" s="3070" t="s">
        <v>9607</v>
      </c>
      <c r="AW781" s="3070" t="s">
        <v>9608</v>
      </c>
      <c r="AX781" s="3070" t="s">
        <v>9609</v>
      </c>
      <c r="AY781" s="3070" t="s">
        <v>3419</v>
      </c>
      <c r="BC781" s="3070" t="s">
        <v>9610</v>
      </c>
      <c r="BD781" s="3070" t="s">
        <v>3077</v>
      </c>
      <c r="BI781" s="3070" t="s">
        <v>3235</v>
      </c>
      <c r="BJ781" s="3070" t="s">
        <v>3236</v>
      </c>
      <c r="BL781" s="3070" t="s">
        <v>9611</v>
      </c>
      <c r="BM781" s="3075">
        <v>44409</v>
      </c>
      <c r="BN781" s="3070">
        <v>-80</v>
      </c>
      <c r="BO781" s="3070" t="s">
        <v>3253</v>
      </c>
      <c r="BR781" s="3070">
        <v>0</v>
      </c>
      <c r="BS781" s="3070" t="s">
        <v>3238</v>
      </c>
      <c r="BZ781" s="3073">
        <v>44160.698611111111</v>
      </c>
      <c r="CA781" s="3070">
        <v>8</v>
      </c>
      <c r="CD781" s="3070" t="s">
        <v>3239</v>
      </c>
      <c r="CF781" s="3070" t="s">
        <v>3091</v>
      </c>
      <c r="CH781" s="3070" t="s">
        <v>3240</v>
      </c>
      <c r="CI781" s="3070">
        <v>0</v>
      </c>
      <c r="CK781" s="3070" t="s">
        <v>3419</v>
      </c>
      <c r="CL781" s="3070" t="s">
        <v>3419</v>
      </c>
      <c r="CM781" s="3070">
        <v>1370721.1</v>
      </c>
      <c r="CV781" s="3070" t="s">
        <v>3482</v>
      </c>
      <c r="CW781" s="3070" t="s">
        <v>9612</v>
      </c>
      <c r="CX781" s="3070" t="s">
        <v>3267</v>
      </c>
      <c r="CZ781" s="3070">
        <v>213894.57</v>
      </c>
      <c r="DA781" s="3070">
        <v>159426.93</v>
      </c>
      <c r="DB781" s="3070">
        <v>0</v>
      </c>
      <c r="DC781" s="3070">
        <v>0</v>
      </c>
      <c r="DD781" s="3070">
        <v>3290547602</v>
      </c>
      <c r="DE781" s="3070">
        <v>2764253109</v>
      </c>
      <c r="DF781" s="3070">
        <v>1464966739</v>
      </c>
      <c r="DG781" s="3070">
        <v>14938370</v>
      </c>
      <c r="DH781" s="3070">
        <v>1284348000</v>
      </c>
      <c r="DI781" s="3070">
        <v>1278128000</v>
      </c>
      <c r="DJ781" s="3070">
        <v>6220000</v>
      </c>
      <c r="DK781" s="3070">
        <v>0</v>
      </c>
      <c r="DL781" s="3070">
        <v>0</v>
      </c>
      <c r="DM781" s="3070">
        <v>25491817.620000001</v>
      </c>
      <c r="DN781" s="3070">
        <v>2764253109</v>
      </c>
      <c r="DP781" s="3070">
        <v>2764253109</v>
      </c>
    </row>
    <row r="782" spans="1:120">
      <c r="A782" s="3070">
        <v>781</v>
      </c>
      <c r="B782" s="3070" t="s">
        <v>3224</v>
      </c>
      <c r="C782" s="3070">
        <v>8</v>
      </c>
      <c r="D782" s="3070">
        <v>2</v>
      </c>
      <c r="E782" s="3070">
        <v>805</v>
      </c>
      <c r="F782" s="3070" t="s">
        <v>9613</v>
      </c>
      <c r="G782" s="3070" t="s">
        <v>9614</v>
      </c>
      <c r="H782" s="3070">
        <v>1401980</v>
      </c>
      <c r="I782" s="3070">
        <v>1401980</v>
      </c>
      <c r="J782" s="3070">
        <v>108.82</v>
      </c>
      <c r="K782" s="3070">
        <v>80.22</v>
      </c>
      <c r="L782" s="3070">
        <v>0</v>
      </c>
      <c r="M782" s="3070">
        <v>0</v>
      </c>
      <c r="N782" s="3070">
        <v>15834.44</v>
      </c>
      <c r="O782" s="3070">
        <v>1723104</v>
      </c>
      <c r="P782" s="3070">
        <v>12883.48</v>
      </c>
      <c r="Q782" s="3070">
        <v>1401980</v>
      </c>
      <c r="R782" s="3070" t="s">
        <v>3227</v>
      </c>
      <c r="S782" s="3070" t="s">
        <v>9615</v>
      </c>
      <c r="T782" s="3070" t="s">
        <v>3246</v>
      </c>
      <c r="U782" s="3070" t="s">
        <v>3371</v>
      </c>
      <c r="V782" s="3070" t="s">
        <v>3230</v>
      </c>
      <c r="Y782" s="3070">
        <v>851980</v>
      </c>
      <c r="Z782" s="3070">
        <v>851980</v>
      </c>
      <c r="AA782" s="3070">
        <v>851980</v>
      </c>
      <c r="AB782" s="3070">
        <v>0</v>
      </c>
      <c r="AC782" s="3070">
        <v>550000</v>
      </c>
      <c r="AD782" s="3070">
        <v>550000</v>
      </c>
      <c r="AE782" s="3070">
        <v>0</v>
      </c>
      <c r="AI782" s="3070" t="s">
        <v>3227</v>
      </c>
      <c r="AJ782" s="3070">
        <v>0</v>
      </c>
      <c r="AK782" s="3070">
        <v>0</v>
      </c>
      <c r="AL782" s="3070">
        <v>0</v>
      </c>
      <c r="AM782" s="3070">
        <v>12883.48</v>
      </c>
      <c r="AN782" s="3070">
        <v>1401980</v>
      </c>
      <c r="AP782" s="3070">
        <v>1401980</v>
      </c>
      <c r="AQ782" s="3072">
        <v>45230</v>
      </c>
      <c r="AT782" s="3073">
        <v>45770</v>
      </c>
      <c r="AV782" s="3070" t="s">
        <v>9616</v>
      </c>
      <c r="AW782" s="3070" t="s">
        <v>9617</v>
      </c>
      <c r="AX782" s="3070" t="s">
        <v>9618</v>
      </c>
      <c r="AY782" s="3070" t="s">
        <v>3419</v>
      </c>
      <c r="BC782" s="3070" t="s">
        <v>3284</v>
      </c>
      <c r="BD782" s="3070" t="s">
        <v>3077</v>
      </c>
      <c r="BI782" s="3070" t="s">
        <v>3235</v>
      </c>
      <c r="BJ782" s="3070" t="s">
        <v>3338</v>
      </c>
      <c r="BL782" s="3070" t="s">
        <v>9619</v>
      </c>
      <c r="BM782" s="3075">
        <v>44410</v>
      </c>
      <c r="BN782" s="3070">
        <v>-80</v>
      </c>
      <c r="BO782" s="3070" t="s">
        <v>3253</v>
      </c>
      <c r="BR782" s="3070">
        <v>487</v>
      </c>
      <c r="BS782" s="3070" t="s">
        <v>3238</v>
      </c>
      <c r="BZ782" s="3073">
        <v>44142.634027777778</v>
      </c>
      <c r="CA782" s="3070">
        <v>8</v>
      </c>
      <c r="CD782" s="3070" t="s">
        <v>3239</v>
      </c>
      <c r="CF782" s="3070" t="s">
        <v>3091</v>
      </c>
      <c r="CH782" s="3070" t="s">
        <v>3240</v>
      </c>
      <c r="CI782" s="3070">
        <v>0</v>
      </c>
      <c r="CK782" s="3070" t="s">
        <v>3419</v>
      </c>
      <c r="CL782" s="3070" t="s">
        <v>3419</v>
      </c>
      <c r="CM782" s="3070">
        <v>1286220.18</v>
      </c>
      <c r="CV782" s="3070" t="s">
        <v>3246</v>
      </c>
      <c r="CW782" s="3070" t="s">
        <v>9620</v>
      </c>
      <c r="CZ782" s="3070">
        <v>213894.57</v>
      </c>
      <c r="DA782" s="3070">
        <v>159426.93</v>
      </c>
      <c r="DB782" s="3070">
        <v>0</v>
      </c>
      <c r="DC782" s="3070">
        <v>0</v>
      </c>
      <c r="DD782" s="3070">
        <v>3290547602</v>
      </c>
      <c r="DE782" s="3070">
        <v>2764253109</v>
      </c>
      <c r="DF782" s="3070">
        <v>1464966739</v>
      </c>
      <c r="DG782" s="3070">
        <v>14938370</v>
      </c>
      <c r="DH782" s="3070">
        <v>1284348000</v>
      </c>
      <c r="DI782" s="3070">
        <v>1278128000</v>
      </c>
      <c r="DJ782" s="3070">
        <v>6220000</v>
      </c>
      <c r="DK782" s="3070">
        <v>0</v>
      </c>
      <c r="DL782" s="3070">
        <v>0</v>
      </c>
      <c r="DM782" s="3070">
        <v>25491817.620000001</v>
      </c>
      <c r="DN782" s="3070">
        <v>2764253109</v>
      </c>
      <c r="DP782" s="3070">
        <v>2764253109</v>
      </c>
    </row>
    <row r="783" spans="1:120">
      <c r="A783" s="3070">
        <v>782</v>
      </c>
      <c r="B783" s="3070" t="s">
        <v>3224</v>
      </c>
      <c r="C783" s="3070">
        <v>8</v>
      </c>
      <c r="D783" s="3070">
        <v>2</v>
      </c>
      <c r="E783" s="3070">
        <v>806</v>
      </c>
      <c r="F783" s="3070" t="s">
        <v>9621</v>
      </c>
      <c r="G783" s="3070" t="s">
        <v>9622</v>
      </c>
      <c r="H783" s="3070">
        <v>1098164</v>
      </c>
      <c r="I783" s="3070">
        <v>1098164</v>
      </c>
      <c r="J783" s="3070">
        <v>84.62</v>
      </c>
      <c r="K783" s="3070">
        <v>62.38</v>
      </c>
      <c r="L783" s="3070">
        <v>0</v>
      </c>
      <c r="M783" s="3070">
        <v>0</v>
      </c>
      <c r="N783" s="3070">
        <v>15933.44</v>
      </c>
      <c r="O783" s="3070">
        <v>1348288</v>
      </c>
      <c r="P783" s="3070">
        <v>12977.59</v>
      </c>
      <c r="Q783" s="3070">
        <v>1098164</v>
      </c>
      <c r="R783" s="3070" t="s">
        <v>3227</v>
      </c>
      <c r="S783" s="3070" t="s">
        <v>9623</v>
      </c>
      <c r="T783" s="3070" t="s">
        <v>3246</v>
      </c>
      <c r="U783" s="3070" t="s">
        <v>3381</v>
      </c>
      <c r="V783" s="3070" t="s">
        <v>3230</v>
      </c>
      <c r="Y783" s="3070">
        <v>518164</v>
      </c>
      <c r="Z783" s="3070">
        <v>518164</v>
      </c>
      <c r="AA783" s="3070">
        <v>518164</v>
      </c>
      <c r="AB783" s="3070">
        <v>0</v>
      </c>
      <c r="AC783" s="3070">
        <v>580000</v>
      </c>
      <c r="AD783" s="3070">
        <v>580000</v>
      </c>
      <c r="AE783" s="3070">
        <v>0</v>
      </c>
      <c r="AI783" s="3070" t="s">
        <v>3227</v>
      </c>
      <c r="AJ783" s="3070">
        <v>0</v>
      </c>
      <c r="AK783" s="3070">
        <v>0</v>
      </c>
      <c r="AL783" s="3070">
        <v>0</v>
      </c>
      <c r="AM783" s="3070">
        <v>12977.59</v>
      </c>
      <c r="AN783" s="3070">
        <v>1098164</v>
      </c>
      <c r="AP783" s="3070">
        <v>1098164</v>
      </c>
      <c r="AQ783" s="3072">
        <v>45230</v>
      </c>
      <c r="AT783" s="3073">
        <v>45770</v>
      </c>
      <c r="AV783" s="3074">
        <v>3.21E+17</v>
      </c>
      <c r="AW783" s="3070" t="s">
        <v>9624</v>
      </c>
      <c r="AX783" s="3070" t="s">
        <v>9625</v>
      </c>
      <c r="AY783" s="3070" t="s">
        <v>3656</v>
      </c>
      <c r="BC783" s="3070" t="s">
        <v>3284</v>
      </c>
      <c r="BD783" s="3070" t="s">
        <v>3076</v>
      </c>
      <c r="BI783" s="3070" t="s">
        <v>3235</v>
      </c>
      <c r="BJ783" s="3070" t="s">
        <v>3236</v>
      </c>
      <c r="BL783" s="3070" t="s">
        <v>9626</v>
      </c>
      <c r="BM783" s="3075">
        <v>44410</v>
      </c>
      <c r="BN783" s="3070">
        <v>-80</v>
      </c>
      <c r="BO783" s="3070" t="s">
        <v>3253</v>
      </c>
      <c r="BR783" s="3070">
        <v>81</v>
      </c>
      <c r="BS783" s="3070" t="s">
        <v>3238</v>
      </c>
      <c r="BZ783" s="3073">
        <v>44142.638888888891</v>
      </c>
      <c r="CA783" s="3070">
        <v>8</v>
      </c>
      <c r="CD783" s="3070" t="s">
        <v>3239</v>
      </c>
      <c r="CF783" s="3070" t="s">
        <v>3091</v>
      </c>
      <c r="CH783" s="3070" t="s">
        <v>3240</v>
      </c>
      <c r="CI783" s="3070">
        <v>0</v>
      </c>
      <c r="CK783" s="3070" t="s">
        <v>3656</v>
      </c>
      <c r="CL783" s="3070" t="s">
        <v>3656</v>
      </c>
      <c r="CM783" s="3070">
        <v>1007489.91</v>
      </c>
      <c r="CV783" s="3070" t="s">
        <v>3246</v>
      </c>
      <c r="CW783" s="3070" t="s">
        <v>9627</v>
      </c>
      <c r="CZ783" s="3070">
        <v>213894.57</v>
      </c>
      <c r="DA783" s="3070">
        <v>159426.93</v>
      </c>
      <c r="DB783" s="3070">
        <v>0</v>
      </c>
      <c r="DC783" s="3070">
        <v>0</v>
      </c>
      <c r="DD783" s="3070">
        <v>3290547602</v>
      </c>
      <c r="DE783" s="3070">
        <v>2764253109</v>
      </c>
      <c r="DF783" s="3070">
        <v>1464966739</v>
      </c>
      <c r="DG783" s="3070">
        <v>14938370</v>
      </c>
      <c r="DH783" s="3070">
        <v>1284348000</v>
      </c>
      <c r="DI783" s="3070">
        <v>1278128000</v>
      </c>
      <c r="DJ783" s="3070">
        <v>6220000</v>
      </c>
      <c r="DK783" s="3070">
        <v>0</v>
      </c>
      <c r="DL783" s="3070">
        <v>0</v>
      </c>
      <c r="DM783" s="3070">
        <v>25491817.620000001</v>
      </c>
      <c r="DN783" s="3070">
        <v>2764253109</v>
      </c>
      <c r="DP783" s="3070">
        <v>2764253109</v>
      </c>
    </row>
    <row r="784" spans="1:120">
      <c r="A784" s="3070">
        <v>783</v>
      </c>
      <c r="B784" s="3070" t="s">
        <v>3224</v>
      </c>
      <c r="C784" s="3070">
        <v>8</v>
      </c>
      <c r="D784" s="3070">
        <v>2</v>
      </c>
      <c r="E784" s="3070">
        <v>807</v>
      </c>
      <c r="F784" s="3070" t="s">
        <v>9628</v>
      </c>
      <c r="G784" s="3070" t="s">
        <v>9629</v>
      </c>
      <c r="H784" s="3070">
        <v>1098164</v>
      </c>
      <c r="I784" s="3070">
        <v>1098164</v>
      </c>
      <c r="J784" s="3070">
        <v>84.62</v>
      </c>
      <c r="K784" s="3070">
        <v>62.38</v>
      </c>
      <c r="L784" s="3070">
        <v>0</v>
      </c>
      <c r="M784" s="3070">
        <v>0</v>
      </c>
      <c r="N784" s="3070">
        <v>15933.44</v>
      </c>
      <c r="O784" s="3070">
        <v>1348288</v>
      </c>
      <c r="P784" s="3070">
        <v>12977.59</v>
      </c>
      <c r="Q784" s="3070">
        <v>1098164</v>
      </c>
      <c r="R784" s="3070" t="s">
        <v>3227</v>
      </c>
      <c r="S784" s="3070" t="s">
        <v>9630</v>
      </c>
      <c r="T784" s="3070" t="s">
        <v>3425</v>
      </c>
      <c r="V784" s="3070" t="s">
        <v>3230</v>
      </c>
      <c r="Y784" s="3070">
        <v>798164</v>
      </c>
      <c r="Z784" s="3070">
        <v>798164</v>
      </c>
      <c r="AA784" s="3070">
        <v>798164</v>
      </c>
      <c r="AB784" s="3070">
        <v>0</v>
      </c>
      <c r="AC784" s="3070">
        <v>300000</v>
      </c>
      <c r="AD784" s="3070">
        <v>300000</v>
      </c>
      <c r="AE784" s="3070">
        <v>0</v>
      </c>
      <c r="AI784" s="3070" t="s">
        <v>3227</v>
      </c>
      <c r="AJ784" s="3070">
        <v>0</v>
      </c>
      <c r="AK784" s="3070">
        <v>0</v>
      </c>
      <c r="AL784" s="3070">
        <v>0</v>
      </c>
      <c r="AM784" s="3070">
        <v>12977.59</v>
      </c>
      <c r="AN784" s="3070">
        <v>1098164</v>
      </c>
      <c r="AP784" s="3070">
        <v>1098164</v>
      </c>
      <c r="AQ784" s="3072">
        <v>45230</v>
      </c>
      <c r="AT784" s="3073">
        <v>45770</v>
      </c>
      <c r="AV784" s="3074">
        <v>3.21E+17</v>
      </c>
      <c r="AW784" s="3070" t="s">
        <v>9631</v>
      </c>
      <c r="AX784" s="3070" t="s">
        <v>9632</v>
      </c>
      <c r="AY784" s="3070" t="s">
        <v>3699</v>
      </c>
      <c r="BC784" s="3070" t="s">
        <v>3461</v>
      </c>
      <c r="BD784" s="3070" t="s">
        <v>3076</v>
      </c>
      <c r="BI784" s="3070" t="s">
        <v>3235</v>
      </c>
      <c r="BL784" s="3070" t="s">
        <v>9633</v>
      </c>
      <c r="BM784" s="3075">
        <v>44410</v>
      </c>
      <c r="BN784" s="3070">
        <v>-80</v>
      </c>
      <c r="BP784" s="3070" t="s">
        <v>3253</v>
      </c>
      <c r="BR784" s="3070">
        <v>724</v>
      </c>
      <c r="BS784" s="3070" t="s">
        <v>3238</v>
      </c>
      <c r="BZ784" s="3073">
        <v>44142.654861111114</v>
      </c>
      <c r="CA784" s="3070">
        <v>8</v>
      </c>
      <c r="CD784" s="3070" t="s">
        <v>3239</v>
      </c>
      <c r="CF784" s="3070" t="s">
        <v>3091</v>
      </c>
      <c r="CH784" s="3070" t="s">
        <v>3240</v>
      </c>
      <c r="CI784" s="3070">
        <v>0</v>
      </c>
      <c r="CJ784" s="3070" t="s">
        <v>3259</v>
      </c>
      <c r="CK784" s="3070" t="s">
        <v>3699</v>
      </c>
      <c r="CL784" s="3070" t="s">
        <v>3699</v>
      </c>
      <c r="CM784" s="3070">
        <v>1007489.91</v>
      </c>
      <c r="CV784" s="3070" t="s">
        <v>3425</v>
      </c>
      <c r="CW784" s="3070" t="s">
        <v>9634</v>
      </c>
      <c r="CX784" s="3070" t="s">
        <v>3267</v>
      </c>
      <c r="CZ784" s="3070">
        <v>213894.57</v>
      </c>
      <c r="DA784" s="3070">
        <v>159426.93</v>
      </c>
      <c r="DB784" s="3070">
        <v>0</v>
      </c>
      <c r="DC784" s="3070">
        <v>0</v>
      </c>
      <c r="DD784" s="3070">
        <v>3290547602</v>
      </c>
      <c r="DE784" s="3070">
        <v>2764253109</v>
      </c>
      <c r="DF784" s="3070">
        <v>1464966739</v>
      </c>
      <c r="DG784" s="3070">
        <v>14938370</v>
      </c>
      <c r="DH784" s="3070">
        <v>1284348000</v>
      </c>
      <c r="DI784" s="3070">
        <v>1278128000</v>
      </c>
      <c r="DJ784" s="3070">
        <v>6220000</v>
      </c>
      <c r="DK784" s="3070">
        <v>0</v>
      </c>
      <c r="DL784" s="3070">
        <v>0</v>
      </c>
      <c r="DM784" s="3070">
        <v>25491817.620000001</v>
      </c>
      <c r="DN784" s="3070">
        <v>2764253109</v>
      </c>
      <c r="DP784" s="3070">
        <v>2764253109</v>
      </c>
    </row>
    <row r="785" spans="1:120">
      <c r="A785" s="3070">
        <v>784</v>
      </c>
      <c r="B785" s="3070" t="s">
        <v>3224</v>
      </c>
      <c r="C785" s="3070">
        <v>8</v>
      </c>
      <c r="D785" s="3070">
        <v>2</v>
      </c>
      <c r="E785" s="3070">
        <v>808</v>
      </c>
      <c r="F785" s="3070" t="s">
        <v>9635</v>
      </c>
      <c r="G785" s="3070" t="s">
        <v>9636</v>
      </c>
      <c r="H785" s="3070">
        <v>1564637</v>
      </c>
      <c r="I785" s="3070">
        <v>1564637</v>
      </c>
      <c r="J785" s="3070">
        <v>120.15</v>
      </c>
      <c r="K785" s="3070">
        <v>88.57</v>
      </c>
      <c r="L785" s="3070">
        <v>0</v>
      </c>
      <c r="M785" s="3070">
        <v>0</v>
      </c>
      <c r="N785" s="3070">
        <v>15544.44</v>
      </c>
      <c r="O785" s="3070">
        <v>1867664</v>
      </c>
      <c r="P785" s="3070">
        <v>13022.36</v>
      </c>
      <c r="Q785" s="3070">
        <v>1564637</v>
      </c>
      <c r="R785" s="3070" t="s">
        <v>3227</v>
      </c>
      <c r="S785" s="3070" t="s">
        <v>9637</v>
      </c>
      <c r="T785" s="3070" t="s">
        <v>3494</v>
      </c>
      <c r="V785" s="3070" t="s">
        <v>3230</v>
      </c>
      <c r="Y785" s="3070">
        <v>156464</v>
      </c>
      <c r="Z785" s="3070">
        <v>156464</v>
      </c>
      <c r="AA785" s="3070">
        <v>1564637</v>
      </c>
      <c r="AB785" s="3070">
        <v>0</v>
      </c>
      <c r="AC785" s="3070">
        <v>0</v>
      </c>
      <c r="AD785" s="3070">
        <v>0</v>
      </c>
      <c r="AE785" s="3070">
        <v>0</v>
      </c>
      <c r="AI785" s="3070" t="s">
        <v>3227</v>
      </c>
      <c r="AJ785" s="3070">
        <v>0</v>
      </c>
      <c r="AK785" s="3070">
        <v>0</v>
      </c>
      <c r="AL785" s="3070">
        <v>0</v>
      </c>
      <c r="AM785" s="3070">
        <v>13022.36</v>
      </c>
      <c r="AN785" s="3070">
        <v>1564637</v>
      </c>
      <c r="AP785" s="3070">
        <v>1564637</v>
      </c>
      <c r="AQ785" s="3072">
        <v>45230</v>
      </c>
      <c r="AT785" s="3073">
        <v>45770</v>
      </c>
      <c r="AV785" s="3070" t="s">
        <v>9638</v>
      </c>
      <c r="AW785" s="3070" t="s">
        <v>9639</v>
      </c>
      <c r="AX785" s="3070" t="s">
        <v>9640</v>
      </c>
      <c r="AY785" s="3070" t="s">
        <v>4065</v>
      </c>
      <c r="BC785" s="3070" t="s">
        <v>9641</v>
      </c>
      <c r="BD785" s="3070" t="s">
        <v>3075</v>
      </c>
      <c r="BI785" s="3070" t="s">
        <v>3235</v>
      </c>
      <c r="BL785" s="3070" t="s">
        <v>9642</v>
      </c>
      <c r="BM785" s="3075">
        <v>44410</v>
      </c>
      <c r="BN785" s="3070">
        <v>-80</v>
      </c>
      <c r="BR785" s="3070">
        <v>16</v>
      </c>
      <c r="BS785" s="3070" t="s">
        <v>3238</v>
      </c>
      <c r="BV785" s="3070" t="s">
        <v>9643</v>
      </c>
      <c r="BZ785" s="3073">
        <v>44192.808333333334</v>
      </c>
      <c r="CA785" s="3070">
        <v>8</v>
      </c>
      <c r="CD785" s="3070" t="s">
        <v>3239</v>
      </c>
      <c r="CF785" s="3070" t="s">
        <v>3091</v>
      </c>
      <c r="CH785" s="3070" t="s">
        <v>3240</v>
      </c>
      <c r="CI785" s="3070">
        <v>0</v>
      </c>
      <c r="CK785" s="3070" t="s">
        <v>4065</v>
      </c>
      <c r="CL785" s="3070" t="s">
        <v>4065</v>
      </c>
      <c r="CM785" s="3070">
        <v>1435446.79</v>
      </c>
      <c r="CV785" s="3070" t="s">
        <v>3494</v>
      </c>
      <c r="CW785" s="3070" t="s">
        <v>9644</v>
      </c>
      <c r="CX785" s="3070" t="s">
        <v>3267</v>
      </c>
      <c r="CZ785" s="3070">
        <v>213894.57</v>
      </c>
      <c r="DA785" s="3070">
        <v>159426.93</v>
      </c>
      <c r="DB785" s="3070">
        <v>0</v>
      </c>
      <c r="DC785" s="3070">
        <v>0</v>
      </c>
      <c r="DD785" s="3070">
        <v>3290547602</v>
      </c>
      <c r="DE785" s="3070">
        <v>2764253109</v>
      </c>
      <c r="DF785" s="3070">
        <v>1464966739</v>
      </c>
      <c r="DG785" s="3070">
        <v>14938370</v>
      </c>
      <c r="DH785" s="3070">
        <v>1284348000</v>
      </c>
      <c r="DI785" s="3070">
        <v>1278128000</v>
      </c>
      <c r="DJ785" s="3070">
        <v>6220000</v>
      </c>
      <c r="DK785" s="3070">
        <v>0</v>
      </c>
      <c r="DL785" s="3070">
        <v>0</v>
      </c>
      <c r="DM785" s="3070">
        <v>25491817.620000001</v>
      </c>
      <c r="DN785" s="3070">
        <v>2764253109</v>
      </c>
      <c r="DP785" s="3070">
        <v>2764253109</v>
      </c>
    </row>
    <row r="786" spans="1:120">
      <c r="A786" s="3070">
        <v>785</v>
      </c>
      <c r="B786" s="3070" t="s">
        <v>3224</v>
      </c>
      <c r="C786" s="3070">
        <v>8</v>
      </c>
      <c r="D786" s="3070">
        <v>1</v>
      </c>
      <c r="E786" s="3070">
        <v>901</v>
      </c>
      <c r="F786" s="3070" t="s">
        <v>9645</v>
      </c>
      <c r="G786" s="3070" t="s">
        <v>9646</v>
      </c>
      <c r="H786" s="3070">
        <v>1624864</v>
      </c>
      <c r="I786" s="3070">
        <v>1624864</v>
      </c>
      <c r="J786" s="3070">
        <v>120.15</v>
      </c>
      <c r="K786" s="3070">
        <v>88.57</v>
      </c>
      <c r="L786" s="3070">
        <v>0</v>
      </c>
      <c r="M786" s="3070">
        <v>0</v>
      </c>
      <c r="N786" s="3070">
        <v>15794.44</v>
      </c>
      <c r="O786" s="3070">
        <v>1897702</v>
      </c>
      <c r="P786" s="3070">
        <v>13523.63</v>
      </c>
      <c r="Q786" s="3070">
        <v>1624864</v>
      </c>
      <c r="R786" s="3070" t="s">
        <v>3227</v>
      </c>
      <c r="S786" s="3070" t="s">
        <v>9647</v>
      </c>
      <c r="T786" s="3070" t="s">
        <v>3246</v>
      </c>
      <c r="U786" s="3070" t="s">
        <v>3279</v>
      </c>
      <c r="V786" s="3070" t="s">
        <v>3230</v>
      </c>
      <c r="Y786" s="3070">
        <v>824864</v>
      </c>
      <c r="Z786" s="3070">
        <v>824864</v>
      </c>
      <c r="AA786" s="3070">
        <v>824864</v>
      </c>
      <c r="AB786" s="3070">
        <v>0</v>
      </c>
      <c r="AC786" s="3070">
        <v>800000</v>
      </c>
      <c r="AD786" s="3070">
        <v>800000</v>
      </c>
      <c r="AE786" s="3070">
        <v>0</v>
      </c>
      <c r="AI786" s="3070" t="s">
        <v>3227</v>
      </c>
      <c r="AJ786" s="3070">
        <v>0</v>
      </c>
      <c r="AK786" s="3070">
        <v>0</v>
      </c>
      <c r="AL786" s="3070">
        <v>0</v>
      </c>
      <c r="AM786" s="3070">
        <v>13523.63</v>
      </c>
      <c r="AN786" s="3070">
        <v>1624864</v>
      </c>
      <c r="AP786" s="3070">
        <v>1624864</v>
      </c>
      <c r="AQ786" s="3072">
        <v>45230</v>
      </c>
      <c r="AT786" s="3073">
        <v>45770</v>
      </c>
      <c r="AV786" s="3074">
        <v>3.21E+17</v>
      </c>
      <c r="AW786" s="3070" t="s">
        <v>9648</v>
      </c>
      <c r="AX786" s="3070" t="s">
        <v>9649</v>
      </c>
      <c r="AY786" s="3070" t="s">
        <v>3587</v>
      </c>
      <c r="BC786" s="3070" t="s">
        <v>8076</v>
      </c>
      <c r="BD786" s="3070" t="s">
        <v>3075</v>
      </c>
      <c r="BI786" s="3070" t="s">
        <v>3235</v>
      </c>
      <c r="BL786" s="3070" t="s">
        <v>9650</v>
      </c>
      <c r="BM786" s="3075">
        <v>44409</v>
      </c>
      <c r="BN786" s="3070">
        <v>-90</v>
      </c>
      <c r="BO786" s="3070" t="s">
        <v>3253</v>
      </c>
      <c r="BR786" s="3070">
        <v>19</v>
      </c>
      <c r="BS786" s="3070" t="s">
        <v>3238</v>
      </c>
      <c r="BV786" s="3070" t="s">
        <v>9651</v>
      </c>
      <c r="BZ786" s="3073">
        <v>44188.746527777781</v>
      </c>
      <c r="CA786" s="3070">
        <v>8</v>
      </c>
      <c r="CD786" s="3070" t="s">
        <v>3239</v>
      </c>
      <c r="CF786" s="3070" t="s">
        <v>3091</v>
      </c>
      <c r="CH786" s="3070" t="s">
        <v>3240</v>
      </c>
      <c r="CI786" s="3070">
        <v>0</v>
      </c>
      <c r="CK786" s="3070" t="s">
        <v>3590</v>
      </c>
      <c r="CL786" s="3070" t="s">
        <v>3590</v>
      </c>
      <c r="CM786" s="3070">
        <v>1490700.92</v>
      </c>
      <c r="CV786" s="3070" t="s">
        <v>3246</v>
      </c>
      <c r="CW786" s="3070" t="s">
        <v>9652</v>
      </c>
      <c r="CX786" s="3070" t="s">
        <v>3267</v>
      </c>
      <c r="CZ786" s="3070">
        <v>213894.57</v>
      </c>
      <c r="DA786" s="3070">
        <v>159426.93</v>
      </c>
      <c r="DB786" s="3070">
        <v>0</v>
      </c>
      <c r="DC786" s="3070">
        <v>0</v>
      </c>
      <c r="DD786" s="3070">
        <v>3290547602</v>
      </c>
      <c r="DE786" s="3070">
        <v>2764253109</v>
      </c>
      <c r="DF786" s="3070">
        <v>1464966739</v>
      </c>
      <c r="DG786" s="3070">
        <v>14938370</v>
      </c>
      <c r="DH786" s="3070">
        <v>1284348000</v>
      </c>
      <c r="DI786" s="3070">
        <v>1278128000</v>
      </c>
      <c r="DJ786" s="3070">
        <v>6220000</v>
      </c>
      <c r="DK786" s="3070">
        <v>0</v>
      </c>
      <c r="DL786" s="3070">
        <v>0</v>
      </c>
      <c r="DM786" s="3070">
        <v>25491817.620000001</v>
      </c>
      <c r="DN786" s="3070">
        <v>2764253109</v>
      </c>
      <c r="DP786" s="3070">
        <v>2764253109</v>
      </c>
    </row>
    <row r="787" spans="1:120">
      <c r="A787" s="3070">
        <v>786</v>
      </c>
      <c r="B787" s="3070" t="s">
        <v>3224</v>
      </c>
      <c r="C787" s="3070">
        <v>8</v>
      </c>
      <c r="D787" s="3070">
        <v>1</v>
      </c>
      <c r="E787" s="3070">
        <v>902</v>
      </c>
      <c r="F787" s="3070" t="s">
        <v>9653</v>
      </c>
      <c r="G787" s="3070" t="s">
        <v>9654</v>
      </c>
      <c r="H787" s="3070">
        <v>1102186</v>
      </c>
      <c r="I787" s="3070">
        <v>1102186</v>
      </c>
      <c r="J787" s="3070">
        <v>84.62</v>
      </c>
      <c r="K787" s="3070">
        <v>62.38</v>
      </c>
      <c r="L787" s="3070">
        <v>0</v>
      </c>
      <c r="M787" s="3070">
        <v>0</v>
      </c>
      <c r="N787" s="3070">
        <v>15983.44</v>
      </c>
      <c r="O787" s="3070">
        <v>1352519</v>
      </c>
      <c r="P787" s="3070">
        <v>13025.12</v>
      </c>
      <c r="Q787" s="3070">
        <v>1102186</v>
      </c>
      <c r="R787" s="3070" t="s">
        <v>3227</v>
      </c>
      <c r="S787" s="3070" t="s">
        <v>9655</v>
      </c>
      <c r="T787" s="3070" t="s">
        <v>3258</v>
      </c>
      <c r="U787" s="3070" t="s">
        <v>3259</v>
      </c>
      <c r="V787" s="3070" t="s">
        <v>3230</v>
      </c>
      <c r="Y787" s="3070">
        <v>332186</v>
      </c>
      <c r="Z787" s="3070">
        <v>332186</v>
      </c>
      <c r="AA787" s="3070">
        <v>332186</v>
      </c>
      <c r="AB787" s="3070">
        <v>0</v>
      </c>
      <c r="AC787" s="3070">
        <v>770000</v>
      </c>
      <c r="AD787" s="3070">
        <v>770000</v>
      </c>
      <c r="AE787" s="3070">
        <v>0</v>
      </c>
      <c r="AI787" s="3070" t="s">
        <v>3227</v>
      </c>
      <c r="AJ787" s="3070">
        <v>0</v>
      </c>
      <c r="AK787" s="3070">
        <v>0</v>
      </c>
      <c r="AL787" s="3070">
        <v>0</v>
      </c>
      <c r="AM787" s="3070">
        <v>13025.12</v>
      </c>
      <c r="AN787" s="3070">
        <v>1102186</v>
      </c>
      <c r="AP787" s="3070">
        <v>1102186</v>
      </c>
      <c r="AQ787" s="3072">
        <v>45230</v>
      </c>
      <c r="AT787" s="3073">
        <v>45770</v>
      </c>
      <c r="AV787" s="3070" t="s">
        <v>9656</v>
      </c>
      <c r="AW787" s="3070" t="s">
        <v>9657</v>
      </c>
      <c r="AX787" s="3070" t="s">
        <v>9658</v>
      </c>
      <c r="AY787" s="3070" t="s">
        <v>3294</v>
      </c>
      <c r="BC787" s="3070" t="s">
        <v>3263</v>
      </c>
      <c r="BD787" s="3070" t="s">
        <v>3076</v>
      </c>
      <c r="BI787" s="3070" t="s">
        <v>3235</v>
      </c>
      <c r="BJ787" s="3070" t="s">
        <v>3338</v>
      </c>
      <c r="BL787" s="3070" t="s">
        <v>9659</v>
      </c>
      <c r="BM787" s="3075">
        <v>44409</v>
      </c>
      <c r="BN787" s="3070">
        <v>-90</v>
      </c>
      <c r="BO787" s="3070" t="s">
        <v>3253</v>
      </c>
      <c r="BP787" s="3070" t="s">
        <v>3253</v>
      </c>
      <c r="BR787" s="3070">
        <v>66</v>
      </c>
      <c r="BS787" s="3070" t="s">
        <v>3238</v>
      </c>
      <c r="BZ787" s="3073">
        <v>44142.65347222222</v>
      </c>
      <c r="CA787" s="3070">
        <v>8</v>
      </c>
      <c r="CD787" s="3070" t="s">
        <v>3239</v>
      </c>
      <c r="CF787" s="3070" t="s">
        <v>3091</v>
      </c>
      <c r="CH787" s="3070" t="s">
        <v>3240</v>
      </c>
      <c r="CI787" s="3070">
        <v>0</v>
      </c>
      <c r="CJ787" s="3070" t="s">
        <v>3259</v>
      </c>
      <c r="CK787" s="3070" t="s">
        <v>3294</v>
      </c>
      <c r="CL787" s="3070" t="s">
        <v>3294</v>
      </c>
      <c r="CM787" s="3070">
        <v>1011179.82</v>
      </c>
      <c r="CV787" s="3070" t="s">
        <v>3258</v>
      </c>
      <c r="CW787" s="3070" t="s">
        <v>9660</v>
      </c>
      <c r="CZ787" s="3070">
        <v>213894.57</v>
      </c>
      <c r="DA787" s="3070">
        <v>159426.93</v>
      </c>
      <c r="DB787" s="3070">
        <v>0</v>
      </c>
      <c r="DC787" s="3070">
        <v>0</v>
      </c>
      <c r="DD787" s="3070">
        <v>3290547602</v>
      </c>
      <c r="DE787" s="3070">
        <v>2764253109</v>
      </c>
      <c r="DF787" s="3070">
        <v>1464966739</v>
      </c>
      <c r="DG787" s="3070">
        <v>14938370</v>
      </c>
      <c r="DH787" s="3070">
        <v>1284348000</v>
      </c>
      <c r="DI787" s="3070">
        <v>1278128000</v>
      </c>
      <c r="DJ787" s="3070">
        <v>6220000</v>
      </c>
      <c r="DK787" s="3070">
        <v>0</v>
      </c>
      <c r="DL787" s="3070">
        <v>0</v>
      </c>
      <c r="DM787" s="3070">
        <v>25491817.620000001</v>
      </c>
      <c r="DN787" s="3070">
        <v>2764253109</v>
      </c>
      <c r="DP787" s="3070">
        <v>2764253109</v>
      </c>
    </row>
    <row r="788" spans="1:120">
      <c r="A788" s="3070">
        <v>787</v>
      </c>
      <c r="B788" s="3070" t="s">
        <v>3224</v>
      </c>
      <c r="C788" s="3070">
        <v>8</v>
      </c>
      <c r="D788" s="3070">
        <v>1</v>
      </c>
      <c r="E788" s="3070">
        <v>903</v>
      </c>
      <c r="F788" s="3070" t="s">
        <v>9661</v>
      </c>
      <c r="G788" s="3070" t="s">
        <v>9662</v>
      </c>
      <c r="H788" s="3070">
        <v>1102186</v>
      </c>
      <c r="I788" s="3070">
        <v>1102186</v>
      </c>
      <c r="J788" s="3070">
        <v>84.62</v>
      </c>
      <c r="K788" s="3070">
        <v>62.38</v>
      </c>
      <c r="L788" s="3070">
        <v>0</v>
      </c>
      <c r="M788" s="3070">
        <v>0</v>
      </c>
      <c r="N788" s="3070">
        <v>15983.44</v>
      </c>
      <c r="O788" s="3070">
        <v>1352519</v>
      </c>
      <c r="P788" s="3070">
        <v>13025.12</v>
      </c>
      <c r="Q788" s="3070">
        <v>1102186</v>
      </c>
      <c r="R788" s="3070" t="s">
        <v>3227</v>
      </c>
      <c r="S788" s="3070" t="s">
        <v>9663</v>
      </c>
      <c r="T788" s="3070" t="s">
        <v>3258</v>
      </c>
      <c r="U788" s="3070" t="s">
        <v>3259</v>
      </c>
      <c r="V788" s="3070" t="s">
        <v>3230</v>
      </c>
      <c r="Y788" s="3070">
        <v>332186</v>
      </c>
      <c r="Z788" s="3070">
        <v>332186</v>
      </c>
      <c r="AA788" s="3070">
        <v>332186</v>
      </c>
      <c r="AB788" s="3070">
        <v>0</v>
      </c>
      <c r="AC788" s="3070">
        <v>770000</v>
      </c>
      <c r="AD788" s="3070">
        <v>770000</v>
      </c>
      <c r="AE788" s="3070">
        <v>0</v>
      </c>
      <c r="AI788" s="3070" t="s">
        <v>3227</v>
      </c>
      <c r="AJ788" s="3070">
        <v>0</v>
      </c>
      <c r="AK788" s="3070">
        <v>0</v>
      </c>
      <c r="AL788" s="3070">
        <v>0</v>
      </c>
      <c r="AM788" s="3070">
        <v>13025.12</v>
      </c>
      <c r="AN788" s="3070">
        <v>1102186</v>
      </c>
      <c r="AP788" s="3070">
        <v>1102186</v>
      </c>
      <c r="AQ788" s="3072">
        <v>45230</v>
      </c>
      <c r="AT788" s="3073">
        <v>45770</v>
      </c>
      <c r="AV788" s="3070" t="s">
        <v>9664</v>
      </c>
      <c r="AW788" s="3070" t="s">
        <v>9665</v>
      </c>
      <c r="AX788" s="3070" t="s">
        <v>9666</v>
      </c>
      <c r="AY788" s="3070" t="s">
        <v>3337</v>
      </c>
      <c r="BC788" s="3070" t="s">
        <v>3263</v>
      </c>
      <c r="BD788" s="3070" t="s">
        <v>3076</v>
      </c>
      <c r="BI788" s="3070" t="s">
        <v>3235</v>
      </c>
      <c r="BJ788" s="3070" t="s">
        <v>3296</v>
      </c>
      <c r="BL788" s="3070" t="s">
        <v>9667</v>
      </c>
      <c r="BM788" s="3075">
        <v>44409</v>
      </c>
      <c r="BN788" s="3070">
        <v>-90</v>
      </c>
      <c r="BO788" s="3070" t="s">
        <v>3253</v>
      </c>
      <c r="BP788" s="3070" t="s">
        <v>3253</v>
      </c>
      <c r="BR788" s="3070">
        <v>862</v>
      </c>
      <c r="BS788" s="3070" t="s">
        <v>3238</v>
      </c>
      <c r="BZ788" s="3073">
        <v>44142.59652777778</v>
      </c>
      <c r="CA788" s="3070">
        <v>8</v>
      </c>
      <c r="CD788" s="3070" t="s">
        <v>3239</v>
      </c>
      <c r="CF788" s="3070" t="s">
        <v>3091</v>
      </c>
      <c r="CH788" s="3070" t="s">
        <v>3240</v>
      </c>
      <c r="CI788" s="3070">
        <v>0</v>
      </c>
      <c r="CJ788" s="3070" t="s">
        <v>3259</v>
      </c>
      <c r="CK788" s="3070" t="s">
        <v>3337</v>
      </c>
      <c r="CL788" s="3070" t="s">
        <v>3337</v>
      </c>
      <c r="CM788" s="3070">
        <v>1011179.81</v>
      </c>
      <c r="CV788" s="3070" t="s">
        <v>3258</v>
      </c>
      <c r="CW788" s="3070" t="s">
        <v>9668</v>
      </c>
      <c r="CX788" s="3070" t="s">
        <v>3267</v>
      </c>
      <c r="CZ788" s="3070">
        <v>213894.57</v>
      </c>
      <c r="DA788" s="3070">
        <v>159426.93</v>
      </c>
      <c r="DB788" s="3070">
        <v>0</v>
      </c>
      <c r="DC788" s="3070">
        <v>0</v>
      </c>
      <c r="DD788" s="3070">
        <v>3290547602</v>
      </c>
      <c r="DE788" s="3070">
        <v>2764253109</v>
      </c>
      <c r="DF788" s="3070">
        <v>1464966739</v>
      </c>
      <c r="DG788" s="3070">
        <v>14938370</v>
      </c>
      <c r="DH788" s="3070">
        <v>1284348000</v>
      </c>
      <c r="DI788" s="3070">
        <v>1278128000</v>
      </c>
      <c r="DJ788" s="3070">
        <v>6220000</v>
      </c>
      <c r="DK788" s="3070">
        <v>0</v>
      </c>
      <c r="DL788" s="3070">
        <v>0</v>
      </c>
      <c r="DM788" s="3070">
        <v>25491817.620000001</v>
      </c>
      <c r="DN788" s="3070">
        <v>2764253109</v>
      </c>
      <c r="DP788" s="3070">
        <v>2764253109</v>
      </c>
    </row>
    <row r="789" spans="1:120">
      <c r="A789" s="3070">
        <v>788</v>
      </c>
      <c r="B789" s="3070" t="s">
        <v>3224</v>
      </c>
      <c r="C789" s="3070">
        <v>8</v>
      </c>
      <c r="D789" s="3070">
        <v>1</v>
      </c>
      <c r="E789" s="3070">
        <v>904</v>
      </c>
      <c r="F789" s="3070" t="s">
        <v>9669</v>
      </c>
      <c r="G789" s="3070" t="s">
        <v>9670</v>
      </c>
      <c r="H789" s="3070">
        <v>1477838</v>
      </c>
      <c r="I789" s="3070">
        <v>1477838</v>
      </c>
      <c r="J789" s="3070">
        <v>108.82</v>
      </c>
      <c r="K789" s="3070">
        <v>80.22</v>
      </c>
      <c r="L789" s="3070">
        <v>0</v>
      </c>
      <c r="M789" s="3070">
        <v>0</v>
      </c>
      <c r="N789" s="3070">
        <v>15884.44</v>
      </c>
      <c r="O789" s="3070">
        <v>1728545</v>
      </c>
      <c r="P789" s="3070">
        <v>13580.57</v>
      </c>
      <c r="Q789" s="3070">
        <v>1477838</v>
      </c>
      <c r="R789" s="3070" t="s">
        <v>3227</v>
      </c>
      <c r="S789" s="3070" t="s">
        <v>9671</v>
      </c>
      <c r="T789" s="3070" t="s">
        <v>3494</v>
      </c>
      <c r="V789" s="3070" t="s">
        <v>3230</v>
      </c>
      <c r="Y789" s="3070">
        <v>147784</v>
      </c>
      <c r="Z789" s="3070">
        <v>147784</v>
      </c>
      <c r="AA789" s="3070">
        <v>1477838</v>
      </c>
      <c r="AB789" s="3070">
        <v>0</v>
      </c>
      <c r="AC789" s="3070">
        <v>0</v>
      </c>
      <c r="AD789" s="3070">
        <v>0</v>
      </c>
      <c r="AE789" s="3070">
        <v>0</v>
      </c>
      <c r="AI789" s="3070" t="s">
        <v>3227</v>
      </c>
      <c r="AJ789" s="3070">
        <v>0</v>
      </c>
      <c r="AK789" s="3070">
        <v>0</v>
      </c>
      <c r="AL789" s="3070">
        <v>0</v>
      </c>
      <c r="AM789" s="3070">
        <v>13580.57</v>
      </c>
      <c r="AN789" s="3070">
        <v>1477838</v>
      </c>
      <c r="AP789" s="3070">
        <v>1477838</v>
      </c>
      <c r="AQ789" s="3072">
        <v>45230</v>
      </c>
      <c r="AT789" s="3073">
        <v>45770</v>
      </c>
      <c r="AV789" s="3074">
        <v>3.21E+17</v>
      </c>
      <c r="AW789" s="3070" t="s">
        <v>9672</v>
      </c>
      <c r="AX789" s="3070" t="s">
        <v>9673</v>
      </c>
      <c r="AY789" s="3070" t="s">
        <v>3262</v>
      </c>
      <c r="BA789" s="3070" t="s">
        <v>3262</v>
      </c>
      <c r="BC789" s="3070" t="s">
        <v>4672</v>
      </c>
      <c r="BD789" s="3070" t="s">
        <v>3077</v>
      </c>
      <c r="BI789" s="3070" t="s">
        <v>3235</v>
      </c>
      <c r="BL789" s="3070" t="s">
        <v>9674</v>
      </c>
      <c r="BM789" s="3075">
        <v>44409</v>
      </c>
      <c r="BN789" s="3070">
        <v>-90</v>
      </c>
      <c r="BR789" s="3070">
        <v>16</v>
      </c>
      <c r="BS789" s="3070" t="s">
        <v>3238</v>
      </c>
      <c r="BU789" s="3070" t="s">
        <v>3262</v>
      </c>
      <c r="BV789" s="3070" t="s">
        <v>9675</v>
      </c>
      <c r="BZ789" s="3073">
        <v>44181.46597222222</v>
      </c>
      <c r="CA789" s="3070">
        <v>8</v>
      </c>
      <c r="CD789" s="3070" t="s">
        <v>3239</v>
      </c>
      <c r="CF789" s="3070" t="s">
        <v>3091</v>
      </c>
      <c r="CH789" s="3070" t="s">
        <v>3240</v>
      </c>
      <c r="CI789" s="3070">
        <v>0</v>
      </c>
      <c r="CK789" s="3070" t="s">
        <v>3262</v>
      </c>
      <c r="CL789" s="3070" t="s">
        <v>3262</v>
      </c>
      <c r="CM789" s="3070">
        <v>1355814.68</v>
      </c>
      <c r="CV789" s="3070" t="s">
        <v>3494</v>
      </c>
      <c r="CW789" s="3070" t="s">
        <v>9676</v>
      </c>
      <c r="CX789" s="3070" t="s">
        <v>3267</v>
      </c>
      <c r="CZ789" s="3070">
        <v>213894.57</v>
      </c>
      <c r="DA789" s="3070">
        <v>159426.93</v>
      </c>
      <c r="DB789" s="3070">
        <v>0</v>
      </c>
      <c r="DC789" s="3070">
        <v>0</v>
      </c>
      <c r="DD789" s="3070">
        <v>3290547602</v>
      </c>
      <c r="DE789" s="3070">
        <v>2764253109</v>
      </c>
      <c r="DF789" s="3070">
        <v>1464966739</v>
      </c>
      <c r="DG789" s="3070">
        <v>14938370</v>
      </c>
      <c r="DH789" s="3070">
        <v>1284348000</v>
      </c>
      <c r="DI789" s="3070">
        <v>1278128000</v>
      </c>
      <c r="DJ789" s="3070">
        <v>6220000</v>
      </c>
      <c r="DK789" s="3070">
        <v>0</v>
      </c>
      <c r="DL789" s="3070">
        <v>0</v>
      </c>
      <c r="DM789" s="3070">
        <v>25491817.620000001</v>
      </c>
      <c r="DN789" s="3070">
        <v>2764253109</v>
      </c>
      <c r="DP789" s="3070">
        <v>2764253109</v>
      </c>
    </row>
    <row r="790" spans="1:120">
      <c r="A790" s="3070">
        <v>789</v>
      </c>
      <c r="B790" s="3070" t="s">
        <v>3224</v>
      </c>
      <c r="C790" s="3070">
        <v>8</v>
      </c>
      <c r="D790" s="3070">
        <v>2</v>
      </c>
      <c r="E790" s="3070">
        <v>905</v>
      </c>
      <c r="F790" s="3070" t="s">
        <v>9677</v>
      </c>
      <c r="G790" s="3070" t="s">
        <v>9678</v>
      </c>
      <c r="H790" s="3070">
        <v>1393081</v>
      </c>
      <c r="I790" s="3070">
        <v>1393081</v>
      </c>
      <c r="J790" s="3070">
        <v>108.82</v>
      </c>
      <c r="K790" s="3070">
        <v>80.22</v>
      </c>
      <c r="L790" s="3070">
        <v>0</v>
      </c>
      <c r="M790" s="3070">
        <v>0</v>
      </c>
      <c r="N790" s="3070">
        <v>15884.44</v>
      </c>
      <c r="O790" s="3070">
        <v>1728545</v>
      </c>
      <c r="P790" s="3070">
        <v>12801.7</v>
      </c>
      <c r="Q790" s="3070">
        <v>1393081</v>
      </c>
      <c r="R790" s="3070" t="s">
        <v>3227</v>
      </c>
      <c r="S790" s="3070" t="s">
        <v>9679</v>
      </c>
      <c r="T790" s="3070" t="s">
        <v>3229</v>
      </c>
      <c r="V790" s="3070" t="s">
        <v>3230</v>
      </c>
      <c r="Y790" s="3070">
        <v>417924</v>
      </c>
      <c r="Z790" s="3070">
        <v>417924</v>
      </c>
      <c r="AA790" s="3070">
        <v>1393081</v>
      </c>
      <c r="AB790" s="3070">
        <v>0</v>
      </c>
      <c r="AC790" s="3070">
        <v>0</v>
      </c>
      <c r="AD790" s="3070">
        <v>0</v>
      </c>
      <c r="AE790" s="3070">
        <v>0</v>
      </c>
      <c r="AI790" s="3070" t="s">
        <v>3227</v>
      </c>
      <c r="AJ790" s="3070">
        <v>0</v>
      </c>
      <c r="AK790" s="3070">
        <v>0</v>
      </c>
      <c r="AL790" s="3070">
        <v>0</v>
      </c>
      <c r="AM790" s="3070">
        <v>12801.7</v>
      </c>
      <c r="AN790" s="3070">
        <v>1393081</v>
      </c>
      <c r="AP790" s="3070">
        <v>1393081</v>
      </c>
      <c r="AQ790" s="3072">
        <v>45230</v>
      </c>
      <c r="AT790" s="3073">
        <v>45770</v>
      </c>
      <c r="AV790" s="3074">
        <v>3.21E+17</v>
      </c>
      <c r="AW790" s="3070" t="s">
        <v>9680</v>
      </c>
      <c r="AX790" s="3070" t="s">
        <v>9681</v>
      </c>
      <c r="AY790" s="3070" t="s">
        <v>3656</v>
      </c>
      <c r="BC790" s="3070" t="s">
        <v>3234</v>
      </c>
      <c r="BD790" s="3070" t="s">
        <v>3077</v>
      </c>
      <c r="BI790" s="3070" t="s">
        <v>3235</v>
      </c>
      <c r="BJ790" s="3070" t="s">
        <v>9682</v>
      </c>
      <c r="BL790" s="3070" t="s">
        <v>9683</v>
      </c>
      <c r="BM790" s="3075">
        <v>44410</v>
      </c>
      <c r="BN790" s="3070">
        <v>-90</v>
      </c>
      <c r="BR790" s="3070">
        <v>292</v>
      </c>
      <c r="BS790" s="3070" t="s">
        <v>3238</v>
      </c>
      <c r="BZ790" s="3073">
        <v>44142.591666666667</v>
      </c>
      <c r="CA790" s="3070">
        <v>8</v>
      </c>
      <c r="CD790" s="3070" t="s">
        <v>3239</v>
      </c>
      <c r="CF790" s="3070" t="s">
        <v>3091</v>
      </c>
      <c r="CH790" s="3070" t="s">
        <v>3240</v>
      </c>
      <c r="CI790" s="3070">
        <v>0</v>
      </c>
      <c r="CK790" s="3070" t="s">
        <v>3656</v>
      </c>
      <c r="CL790" s="3070" t="s">
        <v>3656</v>
      </c>
      <c r="CM790" s="3070">
        <v>1278055.96</v>
      </c>
      <c r="CV790" s="3070" t="s">
        <v>3229</v>
      </c>
      <c r="CW790" s="3070" t="s">
        <v>9684</v>
      </c>
      <c r="CZ790" s="3070">
        <v>213894.57</v>
      </c>
      <c r="DA790" s="3070">
        <v>159426.93</v>
      </c>
      <c r="DB790" s="3070">
        <v>0</v>
      </c>
      <c r="DC790" s="3070">
        <v>0</v>
      </c>
      <c r="DD790" s="3070">
        <v>3290547602</v>
      </c>
      <c r="DE790" s="3070">
        <v>2764253109</v>
      </c>
      <c r="DF790" s="3070">
        <v>1464966739</v>
      </c>
      <c r="DG790" s="3070">
        <v>14938370</v>
      </c>
      <c r="DH790" s="3070">
        <v>1284348000</v>
      </c>
      <c r="DI790" s="3070">
        <v>1278128000</v>
      </c>
      <c r="DJ790" s="3070">
        <v>6220000</v>
      </c>
      <c r="DK790" s="3070">
        <v>0</v>
      </c>
      <c r="DL790" s="3070">
        <v>0</v>
      </c>
      <c r="DM790" s="3070">
        <v>25491817.620000001</v>
      </c>
      <c r="DN790" s="3070">
        <v>2764253109</v>
      </c>
      <c r="DP790" s="3070">
        <v>2764253109</v>
      </c>
    </row>
    <row r="791" spans="1:120">
      <c r="A791" s="3070">
        <v>790</v>
      </c>
      <c r="B791" s="3070" t="s">
        <v>3224</v>
      </c>
      <c r="C791" s="3070">
        <v>8</v>
      </c>
      <c r="D791" s="3070">
        <v>2</v>
      </c>
      <c r="E791" s="3070">
        <v>906</v>
      </c>
      <c r="F791" s="3070" t="s">
        <v>9685</v>
      </c>
      <c r="G791" s="3070" t="s">
        <v>9686</v>
      </c>
      <c r="H791" s="3070">
        <v>1102186</v>
      </c>
      <c r="I791" s="3070">
        <v>1102186</v>
      </c>
      <c r="J791" s="3070">
        <v>84.62</v>
      </c>
      <c r="K791" s="3070">
        <v>62.38</v>
      </c>
      <c r="L791" s="3070">
        <v>0</v>
      </c>
      <c r="M791" s="3070">
        <v>0</v>
      </c>
      <c r="N791" s="3070">
        <v>15983.44</v>
      </c>
      <c r="O791" s="3070">
        <v>1352519</v>
      </c>
      <c r="P791" s="3070">
        <v>13025.12</v>
      </c>
      <c r="Q791" s="3070">
        <v>1102186</v>
      </c>
      <c r="R791" s="3070" t="s">
        <v>3227</v>
      </c>
      <c r="S791" s="3070" t="s">
        <v>9687</v>
      </c>
      <c r="T791" s="3070" t="s">
        <v>3246</v>
      </c>
      <c r="U791" s="3070" t="s">
        <v>3371</v>
      </c>
      <c r="V791" s="3070" t="s">
        <v>3230</v>
      </c>
      <c r="Y791" s="3070">
        <v>442186</v>
      </c>
      <c r="Z791" s="3070">
        <v>442186</v>
      </c>
      <c r="AA791" s="3070">
        <v>442186</v>
      </c>
      <c r="AB791" s="3070">
        <v>0</v>
      </c>
      <c r="AC791" s="3070">
        <v>660000</v>
      </c>
      <c r="AD791" s="3070">
        <v>660000</v>
      </c>
      <c r="AE791" s="3070">
        <v>0</v>
      </c>
      <c r="AI791" s="3070" t="s">
        <v>3227</v>
      </c>
      <c r="AJ791" s="3070">
        <v>0</v>
      </c>
      <c r="AK791" s="3070">
        <v>0</v>
      </c>
      <c r="AL791" s="3070">
        <v>0</v>
      </c>
      <c r="AM791" s="3070">
        <v>13025.12</v>
      </c>
      <c r="AN791" s="3070">
        <v>1102186</v>
      </c>
      <c r="AP791" s="3070">
        <v>1102186</v>
      </c>
      <c r="AQ791" s="3072">
        <v>45230</v>
      </c>
      <c r="AT791" s="3073">
        <v>45770</v>
      </c>
      <c r="AV791" s="3074">
        <v>3.21E+17</v>
      </c>
      <c r="AW791" s="3070" t="s">
        <v>9688</v>
      </c>
      <c r="AX791" s="3070" t="s">
        <v>9689</v>
      </c>
      <c r="AY791" s="3070" t="s">
        <v>4618</v>
      </c>
      <c r="BC791" s="3070" t="s">
        <v>3284</v>
      </c>
      <c r="BD791" s="3070" t="s">
        <v>3076</v>
      </c>
      <c r="BI791" s="3070" t="s">
        <v>3295</v>
      </c>
      <c r="BL791" s="3070" t="s">
        <v>9690</v>
      </c>
      <c r="BM791" s="3075">
        <v>44410</v>
      </c>
      <c r="BN791" s="3070">
        <v>-90</v>
      </c>
      <c r="BO791" s="3070" t="s">
        <v>3253</v>
      </c>
      <c r="BR791" s="3070">
        <v>721</v>
      </c>
      <c r="BS791" s="3070" t="s">
        <v>3238</v>
      </c>
      <c r="BZ791" s="3073">
        <v>44153.839583333334</v>
      </c>
      <c r="CA791" s="3070">
        <v>8</v>
      </c>
      <c r="CD791" s="3070" t="s">
        <v>3239</v>
      </c>
      <c r="CF791" s="3070" t="s">
        <v>3091</v>
      </c>
      <c r="CH791" s="3070" t="s">
        <v>3240</v>
      </c>
      <c r="CI791" s="3070">
        <v>0</v>
      </c>
      <c r="CK791" s="3070" t="s">
        <v>4618</v>
      </c>
      <c r="CL791" s="3070" t="s">
        <v>4618</v>
      </c>
      <c r="CM791" s="3070">
        <v>1011179.82</v>
      </c>
      <c r="CV791" s="3070" t="s">
        <v>3246</v>
      </c>
      <c r="CW791" s="3070" t="s">
        <v>9691</v>
      </c>
      <c r="CZ791" s="3070">
        <v>213894.57</v>
      </c>
      <c r="DA791" s="3070">
        <v>159426.93</v>
      </c>
      <c r="DB791" s="3070">
        <v>0</v>
      </c>
      <c r="DC791" s="3070">
        <v>0</v>
      </c>
      <c r="DD791" s="3070">
        <v>3290547602</v>
      </c>
      <c r="DE791" s="3070">
        <v>2764253109</v>
      </c>
      <c r="DF791" s="3070">
        <v>1464966739</v>
      </c>
      <c r="DG791" s="3070">
        <v>14938370</v>
      </c>
      <c r="DH791" s="3070">
        <v>1284348000</v>
      </c>
      <c r="DI791" s="3070">
        <v>1278128000</v>
      </c>
      <c r="DJ791" s="3070">
        <v>6220000</v>
      </c>
      <c r="DK791" s="3070">
        <v>0</v>
      </c>
      <c r="DL791" s="3070">
        <v>0</v>
      </c>
      <c r="DM791" s="3070">
        <v>25491817.620000001</v>
      </c>
      <c r="DN791" s="3070">
        <v>2764253109</v>
      </c>
      <c r="DP791" s="3070">
        <v>2764253109</v>
      </c>
    </row>
    <row r="792" spans="1:120">
      <c r="A792" s="3070">
        <v>791</v>
      </c>
      <c r="B792" s="3070" t="s">
        <v>3224</v>
      </c>
      <c r="C792" s="3070">
        <v>8</v>
      </c>
      <c r="D792" s="3070">
        <v>2</v>
      </c>
      <c r="E792" s="3070">
        <v>907</v>
      </c>
      <c r="F792" s="3070" t="s">
        <v>9692</v>
      </c>
      <c r="G792" s="3070" t="s">
        <v>9693</v>
      </c>
      <c r="H792" s="3070">
        <v>1137943</v>
      </c>
      <c r="I792" s="3070">
        <v>1137943</v>
      </c>
      <c r="J792" s="3070">
        <v>84.62</v>
      </c>
      <c r="K792" s="3070">
        <v>62.38</v>
      </c>
      <c r="L792" s="3070">
        <v>0</v>
      </c>
      <c r="M792" s="3070">
        <v>0</v>
      </c>
      <c r="N792" s="3070">
        <v>15983.44</v>
      </c>
      <c r="O792" s="3070">
        <v>1352519</v>
      </c>
      <c r="P792" s="3070">
        <v>13447.68</v>
      </c>
      <c r="Q792" s="3070">
        <v>1137943</v>
      </c>
      <c r="R792" s="3070" t="s">
        <v>3227</v>
      </c>
      <c r="S792" s="3070" t="s">
        <v>9694</v>
      </c>
      <c r="T792" s="3070" t="s">
        <v>3258</v>
      </c>
      <c r="U792" s="3070" t="s">
        <v>3259</v>
      </c>
      <c r="V792" s="3070" t="s">
        <v>3230</v>
      </c>
      <c r="Y792" s="3070">
        <v>347943</v>
      </c>
      <c r="Z792" s="3070">
        <v>136553</v>
      </c>
      <c r="AA792" s="3070">
        <v>347943</v>
      </c>
      <c r="AB792" s="3070">
        <v>0</v>
      </c>
      <c r="AC792" s="3070">
        <v>790000</v>
      </c>
      <c r="AD792" s="3070">
        <v>790000</v>
      </c>
      <c r="AE792" s="3070">
        <v>0</v>
      </c>
      <c r="AI792" s="3070" t="s">
        <v>3227</v>
      </c>
      <c r="AJ792" s="3070">
        <v>0</v>
      </c>
      <c r="AK792" s="3070">
        <v>0</v>
      </c>
      <c r="AL792" s="3070">
        <v>0</v>
      </c>
      <c r="AM792" s="3070">
        <v>13447.68</v>
      </c>
      <c r="AN792" s="3070">
        <v>1137943</v>
      </c>
      <c r="AP792" s="3070">
        <v>1137943</v>
      </c>
      <c r="AQ792" s="3072">
        <v>45230</v>
      </c>
      <c r="AT792" s="3073">
        <v>45770</v>
      </c>
      <c r="AV792" s="3074">
        <v>3.21E+17</v>
      </c>
      <c r="AW792" s="3070" t="s">
        <v>9695</v>
      </c>
      <c r="AX792" s="3070" t="s">
        <v>9696</v>
      </c>
      <c r="AY792" s="3070" t="s">
        <v>3318</v>
      </c>
      <c r="BA792" s="3070" t="s">
        <v>3346</v>
      </c>
      <c r="BC792" s="3070" t="s">
        <v>7347</v>
      </c>
      <c r="BD792" s="3070" t="s">
        <v>3076</v>
      </c>
      <c r="BI792" s="3070" t="s">
        <v>3235</v>
      </c>
      <c r="BL792" s="3070" t="s">
        <v>9697</v>
      </c>
      <c r="BM792" s="3075">
        <v>44410</v>
      </c>
      <c r="BN792" s="3070">
        <v>-90</v>
      </c>
      <c r="BO792" s="3070" t="s">
        <v>3253</v>
      </c>
      <c r="BP792" s="3070" t="s">
        <v>3253</v>
      </c>
      <c r="BR792" s="3070">
        <v>16</v>
      </c>
      <c r="BS792" s="3070" t="s">
        <v>3238</v>
      </c>
      <c r="BU792" s="3070" t="s">
        <v>3346</v>
      </c>
      <c r="BV792" s="3070" t="s">
        <v>9698</v>
      </c>
      <c r="BZ792" s="3073">
        <v>44178.929861111108</v>
      </c>
      <c r="CA792" s="3070">
        <v>8</v>
      </c>
      <c r="CD792" s="3070" t="s">
        <v>3239</v>
      </c>
      <c r="CF792" s="3070" t="s">
        <v>3091</v>
      </c>
      <c r="CH792" s="3070" t="s">
        <v>3240</v>
      </c>
      <c r="CI792" s="3070">
        <v>0</v>
      </c>
      <c r="CJ792" s="3070" t="s">
        <v>3259</v>
      </c>
      <c r="CK792" s="3070" t="s">
        <v>3318</v>
      </c>
      <c r="CL792" s="3070" t="s">
        <v>3318</v>
      </c>
      <c r="CM792" s="3070">
        <v>1043984.4</v>
      </c>
      <c r="CV792" s="3070" t="s">
        <v>3258</v>
      </c>
      <c r="CW792" s="3070" t="s">
        <v>9699</v>
      </c>
      <c r="CZ792" s="3070">
        <v>213894.57</v>
      </c>
      <c r="DA792" s="3070">
        <v>159426.93</v>
      </c>
      <c r="DB792" s="3070">
        <v>0</v>
      </c>
      <c r="DC792" s="3070">
        <v>0</v>
      </c>
      <c r="DD792" s="3070">
        <v>3290547602</v>
      </c>
      <c r="DE792" s="3070">
        <v>2764253109</v>
      </c>
      <c r="DF792" s="3070">
        <v>1464966739</v>
      </c>
      <c r="DG792" s="3070">
        <v>14938370</v>
      </c>
      <c r="DH792" s="3070">
        <v>1284348000</v>
      </c>
      <c r="DI792" s="3070">
        <v>1278128000</v>
      </c>
      <c r="DJ792" s="3070">
        <v>6220000</v>
      </c>
      <c r="DK792" s="3070">
        <v>0</v>
      </c>
      <c r="DL792" s="3070">
        <v>0</v>
      </c>
      <c r="DM792" s="3070">
        <v>25491817.620000001</v>
      </c>
      <c r="DN792" s="3070">
        <v>2764253109</v>
      </c>
      <c r="DP792" s="3070">
        <v>2764253109</v>
      </c>
    </row>
    <row r="793" spans="1:120">
      <c r="A793" s="3070">
        <v>792</v>
      </c>
      <c r="B793" s="3070" t="s">
        <v>3224</v>
      </c>
      <c r="C793" s="3070">
        <v>8</v>
      </c>
      <c r="D793" s="3070">
        <v>2</v>
      </c>
      <c r="E793" s="3070">
        <v>908</v>
      </c>
      <c r="F793" s="3070" t="s">
        <v>9700</v>
      </c>
      <c r="G793" s="3070" t="s">
        <v>9701</v>
      </c>
      <c r="H793" s="3070">
        <v>1520539</v>
      </c>
      <c r="I793" s="3070">
        <v>1520539</v>
      </c>
      <c r="J793" s="3070">
        <v>120.15</v>
      </c>
      <c r="K793" s="3070">
        <v>88.57</v>
      </c>
      <c r="L793" s="3070">
        <v>0</v>
      </c>
      <c r="M793" s="3070">
        <v>0</v>
      </c>
      <c r="N793" s="3070">
        <v>15594.44</v>
      </c>
      <c r="O793" s="3070">
        <v>1873672</v>
      </c>
      <c r="P793" s="3070">
        <v>12655.34</v>
      </c>
      <c r="Q793" s="3070">
        <v>1520539</v>
      </c>
      <c r="R793" s="3070" t="s">
        <v>3227</v>
      </c>
      <c r="S793" s="3070" t="s">
        <v>9702</v>
      </c>
      <c r="T793" s="3070" t="s">
        <v>3425</v>
      </c>
      <c r="V793" s="3070" t="s">
        <v>3230</v>
      </c>
      <c r="Y793" s="3070">
        <v>1220539</v>
      </c>
      <c r="Z793" s="3070">
        <v>1220539</v>
      </c>
      <c r="AA793" s="3070">
        <v>1220539</v>
      </c>
      <c r="AB793" s="3070">
        <v>0</v>
      </c>
      <c r="AC793" s="3070">
        <v>300000</v>
      </c>
      <c r="AD793" s="3070">
        <v>300000</v>
      </c>
      <c r="AE793" s="3070">
        <v>0</v>
      </c>
      <c r="AI793" s="3070" t="s">
        <v>3227</v>
      </c>
      <c r="AJ793" s="3070">
        <v>0</v>
      </c>
      <c r="AK793" s="3070">
        <v>0</v>
      </c>
      <c r="AL793" s="3070">
        <v>0</v>
      </c>
      <c r="AM793" s="3070">
        <v>12655.34</v>
      </c>
      <c r="AN793" s="3070">
        <v>1520539</v>
      </c>
      <c r="AP793" s="3070">
        <v>1520539</v>
      </c>
      <c r="AQ793" s="3072">
        <v>45230</v>
      </c>
      <c r="AT793" s="3073">
        <v>45770</v>
      </c>
      <c r="AV793" s="3074">
        <v>3.21E+17</v>
      </c>
      <c r="AW793" s="3070" t="s">
        <v>9703</v>
      </c>
      <c r="AX793" s="3070" t="s">
        <v>9704</v>
      </c>
      <c r="AY793" s="3070" t="s">
        <v>3419</v>
      </c>
      <c r="BC793" s="3070" t="s">
        <v>3461</v>
      </c>
      <c r="BD793" s="3070" t="s">
        <v>3075</v>
      </c>
      <c r="BI793" s="3070" t="s">
        <v>3235</v>
      </c>
      <c r="BJ793" s="3070" t="s">
        <v>3682</v>
      </c>
      <c r="BL793" s="3070" t="s">
        <v>9705</v>
      </c>
      <c r="BM793" s="3075">
        <v>44410</v>
      </c>
      <c r="BN793" s="3070">
        <v>-90</v>
      </c>
      <c r="BP793" s="3070" t="s">
        <v>3253</v>
      </c>
      <c r="BR793" s="3070">
        <v>794</v>
      </c>
      <c r="BS793" s="3070" t="s">
        <v>3238</v>
      </c>
      <c r="BZ793" s="3073">
        <v>44142.647222222222</v>
      </c>
      <c r="CA793" s="3070">
        <v>8</v>
      </c>
      <c r="CD793" s="3070" t="s">
        <v>3239</v>
      </c>
      <c r="CF793" s="3070" t="s">
        <v>3091</v>
      </c>
      <c r="CH793" s="3070" t="s">
        <v>3240</v>
      </c>
      <c r="CI793" s="3070">
        <v>0</v>
      </c>
      <c r="CJ793" s="3070" t="s">
        <v>3259</v>
      </c>
      <c r="CK793" s="3070" t="s">
        <v>3419</v>
      </c>
      <c r="CL793" s="3070" t="s">
        <v>3419</v>
      </c>
      <c r="CM793" s="3070">
        <v>1394989.91</v>
      </c>
      <c r="CV793" s="3070" t="s">
        <v>3425</v>
      </c>
      <c r="CW793" s="3070" t="s">
        <v>9706</v>
      </c>
      <c r="CX793" s="3070" t="s">
        <v>3242</v>
      </c>
      <c r="CZ793" s="3070">
        <v>213894.57</v>
      </c>
      <c r="DA793" s="3070">
        <v>159426.93</v>
      </c>
      <c r="DB793" s="3070">
        <v>0</v>
      </c>
      <c r="DC793" s="3070">
        <v>0</v>
      </c>
      <c r="DD793" s="3070">
        <v>3290547602</v>
      </c>
      <c r="DE793" s="3070">
        <v>2764253109</v>
      </c>
      <c r="DF793" s="3070">
        <v>1464966739</v>
      </c>
      <c r="DG793" s="3070">
        <v>14938370</v>
      </c>
      <c r="DH793" s="3070">
        <v>1284348000</v>
      </c>
      <c r="DI793" s="3070">
        <v>1278128000</v>
      </c>
      <c r="DJ793" s="3070">
        <v>6220000</v>
      </c>
      <c r="DK793" s="3070">
        <v>0</v>
      </c>
      <c r="DL793" s="3070">
        <v>0</v>
      </c>
      <c r="DM793" s="3070">
        <v>25491817.620000001</v>
      </c>
      <c r="DN793" s="3070">
        <v>2764253109</v>
      </c>
      <c r="DP793" s="3070">
        <v>2764253109</v>
      </c>
    </row>
    <row r="794" spans="1:120">
      <c r="A794" s="3070">
        <v>793</v>
      </c>
      <c r="B794" s="3070" t="s">
        <v>3224</v>
      </c>
      <c r="C794" s="3070">
        <v>9</v>
      </c>
      <c r="E794" s="3070">
        <v>1001</v>
      </c>
      <c r="F794" s="3070" t="s">
        <v>9707</v>
      </c>
      <c r="G794" s="3070" t="s">
        <v>9708</v>
      </c>
      <c r="H794" s="3070">
        <v>1189043</v>
      </c>
      <c r="I794" s="3070">
        <v>1189043</v>
      </c>
      <c r="J794" s="3070">
        <v>94.31</v>
      </c>
      <c r="K794" s="3070">
        <v>66.5</v>
      </c>
      <c r="L794" s="3070">
        <v>0</v>
      </c>
      <c r="M794" s="3070">
        <v>0</v>
      </c>
      <c r="N794" s="3070">
        <v>15544.44</v>
      </c>
      <c r="O794" s="3070">
        <v>1465996</v>
      </c>
      <c r="P794" s="3070">
        <v>12607.81</v>
      </c>
      <c r="Q794" s="3070">
        <v>1189043</v>
      </c>
      <c r="R794" s="3070" t="s">
        <v>3227</v>
      </c>
      <c r="S794" s="3070" t="s">
        <v>9709</v>
      </c>
      <c r="T794" s="3070" t="s">
        <v>3246</v>
      </c>
      <c r="U794" s="3070" t="s">
        <v>3279</v>
      </c>
      <c r="V794" s="3070" t="s">
        <v>3230</v>
      </c>
      <c r="Y794" s="3070">
        <v>969043</v>
      </c>
      <c r="Z794" s="3070">
        <v>969043</v>
      </c>
      <c r="AA794" s="3070">
        <v>969043</v>
      </c>
      <c r="AB794" s="3070">
        <v>0</v>
      </c>
      <c r="AC794" s="3070">
        <v>220000</v>
      </c>
      <c r="AD794" s="3070">
        <v>220000</v>
      </c>
      <c r="AE794" s="3070">
        <v>0</v>
      </c>
      <c r="AI794" s="3070" t="s">
        <v>3227</v>
      </c>
      <c r="AJ794" s="3070">
        <v>0</v>
      </c>
      <c r="AK794" s="3070">
        <v>0</v>
      </c>
      <c r="AL794" s="3070">
        <v>0</v>
      </c>
      <c r="AM794" s="3070">
        <v>12607.81</v>
      </c>
      <c r="AN794" s="3070">
        <v>1189043</v>
      </c>
      <c r="AP794" s="3070">
        <v>1189043</v>
      </c>
      <c r="AQ794" s="3072">
        <v>45138</v>
      </c>
      <c r="AT794" s="3073">
        <v>45678</v>
      </c>
      <c r="AV794" s="3070" t="s">
        <v>9710</v>
      </c>
      <c r="AW794" s="3070" t="s">
        <v>9711</v>
      </c>
      <c r="AX794" s="3070" t="s">
        <v>9712</v>
      </c>
      <c r="AY794" s="3070" t="s">
        <v>3699</v>
      </c>
      <c r="BC794" s="3070" t="s">
        <v>3284</v>
      </c>
      <c r="BD794" s="3070" t="s">
        <v>3077</v>
      </c>
      <c r="BI794" s="3070" t="s">
        <v>3235</v>
      </c>
      <c r="BJ794" s="3070" t="s">
        <v>3236</v>
      </c>
      <c r="BL794" s="3070" t="s">
        <v>9713</v>
      </c>
      <c r="BM794" s="3075">
        <v>44440</v>
      </c>
      <c r="BN794" s="3070">
        <v>1</v>
      </c>
      <c r="BO794" s="3070" t="s">
        <v>3253</v>
      </c>
      <c r="BR794" s="3070">
        <v>37</v>
      </c>
      <c r="BS794" s="3070" t="s">
        <v>3238</v>
      </c>
      <c r="BT794" s="3070" t="s">
        <v>9714</v>
      </c>
      <c r="BZ794" s="3073">
        <v>44142.598611111112</v>
      </c>
      <c r="CA794" s="3070">
        <v>9</v>
      </c>
      <c r="CB794" s="3070" t="s">
        <v>9714</v>
      </c>
      <c r="CD794" s="3070" t="s">
        <v>3239</v>
      </c>
      <c r="CF794" s="3070" t="s">
        <v>3091</v>
      </c>
      <c r="CH794" s="3070" t="s">
        <v>3240</v>
      </c>
      <c r="CI794" s="3070">
        <v>0</v>
      </c>
      <c r="CK794" s="3070" t="s">
        <v>3699</v>
      </c>
      <c r="CL794" s="3070" t="s">
        <v>3699</v>
      </c>
      <c r="CM794" s="3070">
        <v>1090865.1399999999</v>
      </c>
      <c r="CV794" s="3070" t="s">
        <v>3246</v>
      </c>
      <c r="CW794" s="3070" t="s">
        <v>9715</v>
      </c>
      <c r="CZ794" s="3070">
        <v>213894.57</v>
      </c>
      <c r="DA794" s="3070">
        <v>159426.93</v>
      </c>
      <c r="DB794" s="3070">
        <v>0</v>
      </c>
      <c r="DC794" s="3070">
        <v>0</v>
      </c>
      <c r="DD794" s="3070">
        <v>3290547602</v>
      </c>
      <c r="DE794" s="3070">
        <v>2764253109</v>
      </c>
      <c r="DF794" s="3070">
        <v>1464966739</v>
      </c>
      <c r="DG794" s="3070">
        <v>14938370</v>
      </c>
      <c r="DH794" s="3070">
        <v>1284348000</v>
      </c>
      <c r="DI794" s="3070">
        <v>1278128000</v>
      </c>
      <c r="DJ794" s="3070">
        <v>6220000</v>
      </c>
      <c r="DK794" s="3070">
        <v>0</v>
      </c>
      <c r="DL794" s="3070">
        <v>0</v>
      </c>
      <c r="DM794" s="3070">
        <v>25491817.620000001</v>
      </c>
      <c r="DN794" s="3070">
        <v>2764253109</v>
      </c>
      <c r="DP794" s="3070">
        <v>2764253109</v>
      </c>
    </row>
    <row r="795" spans="1:120">
      <c r="A795" s="3070">
        <v>794</v>
      </c>
      <c r="B795" s="3070" t="s">
        <v>3224</v>
      </c>
      <c r="C795" s="3070">
        <v>9</v>
      </c>
      <c r="E795" s="3070">
        <v>1002</v>
      </c>
      <c r="F795" s="3070" t="s">
        <v>9716</v>
      </c>
      <c r="G795" s="3070" t="s">
        <v>9717</v>
      </c>
      <c r="H795" s="3070">
        <v>1184560</v>
      </c>
      <c r="I795" s="3070">
        <v>1184560</v>
      </c>
      <c r="J795" s="3070">
        <v>94.31</v>
      </c>
      <c r="K795" s="3070">
        <v>66.5</v>
      </c>
      <c r="L795" s="3070">
        <v>0</v>
      </c>
      <c r="M795" s="3070">
        <v>0</v>
      </c>
      <c r="N795" s="3070">
        <v>15494.44</v>
      </c>
      <c r="O795" s="3070">
        <v>1461281</v>
      </c>
      <c r="P795" s="3070">
        <v>12560.28</v>
      </c>
      <c r="Q795" s="3070">
        <v>1184560</v>
      </c>
      <c r="R795" s="3070" t="s">
        <v>3227</v>
      </c>
      <c r="S795" s="3070" t="s">
        <v>9718</v>
      </c>
      <c r="T795" s="3070" t="s">
        <v>3258</v>
      </c>
      <c r="U795" s="3070" t="s">
        <v>3259</v>
      </c>
      <c r="V795" s="3070" t="s">
        <v>3230</v>
      </c>
      <c r="Y795" s="3070">
        <v>404560</v>
      </c>
      <c r="Z795" s="3070">
        <v>404560</v>
      </c>
      <c r="AA795" s="3070">
        <v>404560</v>
      </c>
      <c r="AB795" s="3070">
        <v>0</v>
      </c>
      <c r="AC795" s="3070">
        <v>780000</v>
      </c>
      <c r="AD795" s="3070">
        <v>780000</v>
      </c>
      <c r="AE795" s="3070">
        <v>0</v>
      </c>
      <c r="AI795" s="3070" t="s">
        <v>3227</v>
      </c>
      <c r="AJ795" s="3070">
        <v>0</v>
      </c>
      <c r="AK795" s="3070">
        <v>0</v>
      </c>
      <c r="AL795" s="3070">
        <v>0</v>
      </c>
      <c r="AM795" s="3070">
        <v>12560.28</v>
      </c>
      <c r="AN795" s="3070">
        <v>1184560</v>
      </c>
      <c r="AP795" s="3070">
        <v>1184560</v>
      </c>
      <c r="AQ795" s="3072">
        <v>45138</v>
      </c>
      <c r="AT795" s="3073">
        <v>45678</v>
      </c>
      <c r="AV795" s="3070" t="s">
        <v>9719</v>
      </c>
      <c r="AW795" s="3070" t="s">
        <v>9720</v>
      </c>
      <c r="AX795" s="3070" t="s">
        <v>9721</v>
      </c>
      <c r="AY795" s="3070" t="s">
        <v>3273</v>
      </c>
      <c r="BC795" s="3070" t="s">
        <v>3263</v>
      </c>
      <c r="BD795" s="3070" t="s">
        <v>3077</v>
      </c>
      <c r="BI795" s="3070" t="s">
        <v>3235</v>
      </c>
      <c r="BJ795" s="3070" t="s">
        <v>3296</v>
      </c>
      <c r="BL795" s="3070" t="s">
        <v>9722</v>
      </c>
      <c r="BM795" s="3075">
        <v>44440</v>
      </c>
      <c r="BN795" s="3070">
        <v>2</v>
      </c>
      <c r="BO795" s="3070" t="s">
        <v>3253</v>
      </c>
      <c r="BP795" s="3070" t="s">
        <v>3253</v>
      </c>
      <c r="BR795" s="3070">
        <v>617</v>
      </c>
      <c r="BS795" s="3070" t="s">
        <v>3238</v>
      </c>
      <c r="BT795" s="3070" t="s">
        <v>9714</v>
      </c>
      <c r="BZ795" s="3073">
        <v>44142.85833333333</v>
      </c>
      <c r="CA795" s="3070">
        <v>9</v>
      </c>
      <c r="CB795" s="3070" t="s">
        <v>9714</v>
      </c>
      <c r="CD795" s="3070" t="s">
        <v>3239</v>
      </c>
      <c r="CF795" s="3070" t="s">
        <v>3091</v>
      </c>
      <c r="CH795" s="3070" t="s">
        <v>3240</v>
      </c>
      <c r="CI795" s="3070">
        <v>0</v>
      </c>
      <c r="CJ795" s="3070" t="s">
        <v>3259</v>
      </c>
      <c r="CK795" s="3070" t="s">
        <v>3273</v>
      </c>
      <c r="CL795" s="3070" t="s">
        <v>3273</v>
      </c>
      <c r="CM795" s="3070">
        <v>1086752.29</v>
      </c>
      <c r="CV795" s="3070" t="s">
        <v>3258</v>
      </c>
      <c r="CW795" s="3070" t="s">
        <v>9723</v>
      </c>
      <c r="CX795" s="3070" t="s">
        <v>3510</v>
      </c>
      <c r="CZ795" s="3070">
        <v>213894.57</v>
      </c>
      <c r="DA795" s="3070">
        <v>159426.93</v>
      </c>
      <c r="DB795" s="3070">
        <v>0</v>
      </c>
      <c r="DC795" s="3070">
        <v>0</v>
      </c>
      <c r="DD795" s="3070">
        <v>3290547602</v>
      </c>
      <c r="DE795" s="3070">
        <v>2764253109</v>
      </c>
      <c r="DF795" s="3070">
        <v>1464966739</v>
      </c>
      <c r="DG795" s="3070">
        <v>14938370</v>
      </c>
      <c r="DH795" s="3070">
        <v>1284348000</v>
      </c>
      <c r="DI795" s="3070">
        <v>1278128000</v>
      </c>
      <c r="DJ795" s="3070">
        <v>6220000</v>
      </c>
      <c r="DK795" s="3070">
        <v>0</v>
      </c>
      <c r="DL795" s="3070">
        <v>0</v>
      </c>
      <c r="DM795" s="3070">
        <v>25491817.620000001</v>
      </c>
      <c r="DN795" s="3070">
        <v>2764253109</v>
      </c>
      <c r="DP795" s="3070">
        <v>2764253109</v>
      </c>
    </row>
    <row r="796" spans="1:120">
      <c r="A796" s="3070">
        <v>795</v>
      </c>
      <c r="B796" s="3070" t="s">
        <v>3224</v>
      </c>
      <c r="C796" s="3070">
        <v>9</v>
      </c>
      <c r="E796" s="3070">
        <v>1003</v>
      </c>
      <c r="F796" s="3070" t="s">
        <v>9724</v>
      </c>
      <c r="G796" s="3070" t="s">
        <v>9725</v>
      </c>
      <c r="H796" s="3070">
        <v>1184560</v>
      </c>
      <c r="I796" s="3070">
        <v>1184560</v>
      </c>
      <c r="J796" s="3070">
        <v>94.31</v>
      </c>
      <c r="K796" s="3070">
        <v>66.5</v>
      </c>
      <c r="L796" s="3070">
        <v>0</v>
      </c>
      <c r="M796" s="3070">
        <v>0</v>
      </c>
      <c r="N796" s="3070">
        <v>15494.44</v>
      </c>
      <c r="O796" s="3070">
        <v>1461281</v>
      </c>
      <c r="P796" s="3070">
        <v>12560.28</v>
      </c>
      <c r="Q796" s="3070">
        <v>1184560</v>
      </c>
      <c r="R796" s="3070" t="s">
        <v>3227</v>
      </c>
      <c r="S796" s="3070" t="s">
        <v>9726</v>
      </c>
      <c r="T796" s="3070" t="s">
        <v>3258</v>
      </c>
      <c r="U796" s="3070" t="s">
        <v>3259</v>
      </c>
      <c r="V796" s="3070" t="s">
        <v>3230</v>
      </c>
      <c r="Y796" s="3070">
        <v>684560</v>
      </c>
      <c r="Z796" s="3070">
        <v>684560</v>
      </c>
      <c r="AA796" s="3070">
        <v>684560</v>
      </c>
      <c r="AB796" s="3070">
        <v>0</v>
      </c>
      <c r="AC796" s="3070">
        <v>500000</v>
      </c>
      <c r="AD796" s="3070">
        <v>500000</v>
      </c>
      <c r="AE796" s="3070">
        <v>0</v>
      </c>
      <c r="AI796" s="3070" t="s">
        <v>3227</v>
      </c>
      <c r="AJ796" s="3070">
        <v>0</v>
      </c>
      <c r="AK796" s="3070">
        <v>0</v>
      </c>
      <c r="AL796" s="3070">
        <v>0</v>
      </c>
      <c r="AM796" s="3070">
        <v>12560.28</v>
      </c>
      <c r="AN796" s="3070">
        <v>1184560</v>
      </c>
      <c r="AP796" s="3070">
        <v>1184560</v>
      </c>
      <c r="AQ796" s="3072">
        <v>45138</v>
      </c>
      <c r="AT796" s="3073">
        <v>45678</v>
      </c>
      <c r="AV796" s="3070" t="s">
        <v>9727</v>
      </c>
      <c r="AW796" s="3070" t="s">
        <v>9728</v>
      </c>
      <c r="AX796" s="3070" t="s">
        <v>9729</v>
      </c>
      <c r="AY796" s="3070" t="s">
        <v>3393</v>
      </c>
      <c r="BC796" s="3070" t="s">
        <v>3263</v>
      </c>
      <c r="BD796" s="3070" t="s">
        <v>3077</v>
      </c>
      <c r="BI796" s="3070" t="s">
        <v>3235</v>
      </c>
      <c r="BJ796" s="3070" t="s">
        <v>3598</v>
      </c>
      <c r="BL796" s="3070" t="s">
        <v>9730</v>
      </c>
      <c r="BM796" s="3075">
        <v>44440</v>
      </c>
      <c r="BN796" s="3070">
        <v>3</v>
      </c>
      <c r="BO796" s="3070" t="s">
        <v>3253</v>
      </c>
      <c r="BP796" s="3070" t="s">
        <v>3253</v>
      </c>
      <c r="BR796" s="3070">
        <v>472</v>
      </c>
      <c r="BS796" s="3070" t="s">
        <v>3238</v>
      </c>
      <c r="BT796" s="3070" t="s">
        <v>9714</v>
      </c>
      <c r="BZ796" s="3073">
        <v>44153.836805555555</v>
      </c>
      <c r="CA796" s="3070">
        <v>9</v>
      </c>
      <c r="CB796" s="3070" t="s">
        <v>9714</v>
      </c>
      <c r="CD796" s="3070" t="s">
        <v>3239</v>
      </c>
      <c r="CF796" s="3070" t="s">
        <v>3091</v>
      </c>
      <c r="CH796" s="3070" t="s">
        <v>3240</v>
      </c>
      <c r="CI796" s="3070">
        <v>0</v>
      </c>
      <c r="CJ796" s="3070" t="s">
        <v>3259</v>
      </c>
      <c r="CK796" s="3070" t="s">
        <v>3393</v>
      </c>
      <c r="CL796" s="3070" t="s">
        <v>3393</v>
      </c>
      <c r="CM796" s="3070">
        <v>1086752.29</v>
      </c>
      <c r="CV796" s="3070" t="s">
        <v>3258</v>
      </c>
      <c r="CW796" s="3070" t="s">
        <v>9731</v>
      </c>
      <c r="CX796" s="3070" t="s">
        <v>3510</v>
      </c>
      <c r="CZ796" s="3070">
        <v>213894.57</v>
      </c>
      <c r="DA796" s="3070">
        <v>159426.93</v>
      </c>
      <c r="DB796" s="3070">
        <v>0</v>
      </c>
      <c r="DC796" s="3070">
        <v>0</v>
      </c>
      <c r="DD796" s="3070">
        <v>3290547602</v>
      </c>
      <c r="DE796" s="3070">
        <v>2764253109</v>
      </c>
      <c r="DF796" s="3070">
        <v>1464966739</v>
      </c>
      <c r="DG796" s="3070">
        <v>14938370</v>
      </c>
      <c r="DH796" s="3070">
        <v>1284348000</v>
      </c>
      <c r="DI796" s="3070">
        <v>1278128000</v>
      </c>
      <c r="DJ796" s="3070">
        <v>6220000</v>
      </c>
      <c r="DK796" s="3070">
        <v>0</v>
      </c>
      <c r="DL796" s="3070">
        <v>0</v>
      </c>
      <c r="DM796" s="3070">
        <v>25491817.620000001</v>
      </c>
      <c r="DN796" s="3070">
        <v>2764253109</v>
      </c>
      <c r="DP796" s="3070">
        <v>2764253109</v>
      </c>
    </row>
    <row r="797" spans="1:120">
      <c r="A797" s="3070">
        <v>796</v>
      </c>
      <c r="B797" s="3070" t="s">
        <v>3224</v>
      </c>
      <c r="C797" s="3070">
        <v>9</v>
      </c>
      <c r="E797" s="3070">
        <v>1004</v>
      </c>
      <c r="F797" s="3070" t="s">
        <v>9732</v>
      </c>
      <c r="G797" s="3070" t="s">
        <v>9733</v>
      </c>
      <c r="H797" s="3070">
        <v>1180078</v>
      </c>
      <c r="I797" s="3070">
        <v>1180078</v>
      </c>
      <c r="J797" s="3070">
        <v>94.31</v>
      </c>
      <c r="K797" s="3070">
        <v>66.5</v>
      </c>
      <c r="L797" s="3070">
        <v>0</v>
      </c>
      <c r="M797" s="3070">
        <v>0</v>
      </c>
      <c r="N797" s="3070">
        <v>15444.44</v>
      </c>
      <c r="O797" s="3070">
        <v>1456565</v>
      </c>
      <c r="P797" s="3070">
        <v>12512.76</v>
      </c>
      <c r="Q797" s="3070">
        <v>1180078</v>
      </c>
      <c r="R797" s="3070" t="s">
        <v>3227</v>
      </c>
      <c r="S797" s="3070" t="s">
        <v>9734</v>
      </c>
      <c r="T797" s="3070" t="s">
        <v>3258</v>
      </c>
      <c r="U797" s="3070" t="s">
        <v>3259</v>
      </c>
      <c r="V797" s="3070" t="s">
        <v>3230</v>
      </c>
      <c r="Y797" s="3070">
        <v>360078</v>
      </c>
      <c r="Z797" s="3070">
        <v>360078</v>
      </c>
      <c r="AA797" s="3070">
        <v>360078</v>
      </c>
      <c r="AB797" s="3070">
        <v>0</v>
      </c>
      <c r="AC797" s="3070">
        <v>820000</v>
      </c>
      <c r="AD797" s="3070">
        <v>820000</v>
      </c>
      <c r="AE797" s="3070">
        <v>0</v>
      </c>
      <c r="AI797" s="3070" t="s">
        <v>3227</v>
      </c>
      <c r="AJ797" s="3070">
        <v>0</v>
      </c>
      <c r="AK797" s="3070">
        <v>0</v>
      </c>
      <c r="AL797" s="3070">
        <v>0</v>
      </c>
      <c r="AM797" s="3070">
        <v>12512.76</v>
      </c>
      <c r="AN797" s="3070">
        <v>1180078</v>
      </c>
      <c r="AP797" s="3070">
        <v>1180078</v>
      </c>
      <c r="AQ797" s="3072">
        <v>45138</v>
      </c>
      <c r="AT797" s="3073">
        <v>45678</v>
      </c>
      <c r="AV797" s="3070" t="s">
        <v>9735</v>
      </c>
      <c r="AW797" s="3070" t="s">
        <v>9736</v>
      </c>
      <c r="AX797" s="3070" t="s">
        <v>9737</v>
      </c>
      <c r="AY797" s="3070" t="s">
        <v>3233</v>
      </c>
      <c r="BC797" s="3070" t="s">
        <v>3263</v>
      </c>
      <c r="BD797" s="3070" t="s">
        <v>3077</v>
      </c>
      <c r="BI797" s="3070" t="s">
        <v>3235</v>
      </c>
      <c r="BJ797" s="3070" t="s">
        <v>3682</v>
      </c>
      <c r="BL797" s="3070" t="s">
        <v>9738</v>
      </c>
      <c r="BM797" s="3075">
        <v>44440</v>
      </c>
      <c r="BN797" s="3070">
        <v>4</v>
      </c>
      <c r="BO797" s="3070" t="s">
        <v>3253</v>
      </c>
      <c r="BP797" s="3070" t="s">
        <v>3253</v>
      </c>
      <c r="BR797" s="3070">
        <v>190</v>
      </c>
      <c r="BS797" s="3070" t="s">
        <v>3238</v>
      </c>
      <c r="BT797" s="3070" t="s">
        <v>9714</v>
      </c>
      <c r="BZ797" s="3073">
        <v>44142.65</v>
      </c>
      <c r="CA797" s="3070">
        <v>9</v>
      </c>
      <c r="CB797" s="3070" t="s">
        <v>9714</v>
      </c>
      <c r="CD797" s="3070" t="s">
        <v>3239</v>
      </c>
      <c r="CF797" s="3070" t="s">
        <v>3091</v>
      </c>
      <c r="CH797" s="3070" t="s">
        <v>3240</v>
      </c>
      <c r="CI797" s="3070">
        <v>0</v>
      </c>
      <c r="CJ797" s="3070" t="s">
        <v>3259</v>
      </c>
      <c r="CK797" s="3070" t="s">
        <v>3233</v>
      </c>
      <c r="CL797" s="3070" t="s">
        <v>3233</v>
      </c>
      <c r="CM797" s="3070">
        <v>1082640.3700000001</v>
      </c>
      <c r="CV797" s="3070" t="s">
        <v>3258</v>
      </c>
      <c r="CW797" s="3070" t="s">
        <v>9739</v>
      </c>
      <c r="CX797" s="3070" t="s">
        <v>3267</v>
      </c>
      <c r="CZ797" s="3070">
        <v>213894.57</v>
      </c>
      <c r="DA797" s="3070">
        <v>159426.93</v>
      </c>
      <c r="DB797" s="3070">
        <v>0</v>
      </c>
      <c r="DC797" s="3070">
        <v>0</v>
      </c>
      <c r="DD797" s="3070">
        <v>3290547602</v>
      </c>
      <c r="DE797" s="3070">
        <v>2764253109</v>
      </c>
      <c r="DF797" s="3070">
        <v>1464966739</v>
      </c>
      <c r="DG797" s="3070">
        <v>14938370</v>
      </c>
      <c r="DH797" s="3070">
        <v>1284348000</v>
      </c>
      <c r="DI797" s="3070">
        <v>1278128000</v>
      </c>
      <c r="DJ797" s="3070">
        <v>6220000</v>
      </c>
      <c r="DK797" s="3070">
        <v>0</v>
      </c>
      <c r="DL797" s="3070">
        <v>0</v>
      </c>
      <c r="DM797" s="3070">
        <v>25491817.620000001</v>
      </c>
      <c r="DN797" s="3070">
        <v>2764253109</v>
      </c>
      <c r="DP797" s="3070">
        <v>2764253109</v>
      </c>
    </row>
    <row r="798" spans="1:120">
      <c r="A798" s="3070">
        <v>797</v>
      </c>
      <c r="B798" s="3070" t="s">
        <v>3224</v>
      </c>
      <c r="C798" s="3070">
        <v>9</v>
      </c>
      <c r="E798" s="3070">
        <v>101</v>
      </c>
      <c r="F798" s="3070" t="s">
        <v>9740</v>
      </c>
      <c r="G798" s="3070" t="s">
        <v>9741</v>
      </c>
      <c r="H798" s="3070">
        <v>1110542</v>
      </c>
      <c r="I798" s="3070">
        <v>1110542</v>
      </c>
      <c r="J798" s="3070">
        <v>92.26</v>
      </c>
      <c r="K798" s="3070">
        <v>65.06</v>
      </c>
      <c r="L798" s="3070">
        <v>0</v>
      </c>
      <c r="M798" s="3070">
        <v>0</v>
      </c>
      <c r="N798" s="3070">
        <v>14994.44</v>
      </c>
      <c r="O798" s="3070">
        <v>1383387</v>
      </c>
      <c r="P798" s="3070">
        <v>12037.09</v>
      </c>
      <c r="Q798" s="3070">
        <v>1110542</v>
      </c>
      <c r="R798" s="3070" t="s">
        <v>3227</v>
      </c>
      <c r="S798" s="3070" t="s">
        <v>9742</v>
      </c>
      <c r="T798" s="3070" t="s">
        <v>3258</v>
      </c>
      <c r="U798" s="3070" t="s">
        <v>3259</v>
      </c>
      <c r="V798" s="3070" t="s">
        <v>3230</v>
      </c>
      <c r="Y798" s="3070">
        <v>340542</v>
      </c>
      <c r="Z798" s="3070">
        <v>340542</v>
      </c>
      <c r="AA798" s="3070">
        <v>340542</v>
      </c>
      <c r="AB798" s="3070">
        <v>0</v>
      </c>
      <c r="AC798" s="3070">
        <v>770000</v>
      </c>
      <c r="AD798" s="3070">
        <v>770000</v>
      </c>
      <c r="AE798" s="3070">
        <v>0</v>
      </c>
      <c r="AI798" s="3070" t="s">
        <v>3227</v>
      </c>
      <c r="AJ798" s="3070">
        <v>0</v>
      </c>
      <c r="AK798" s="3070">
        <v>0</v>
      </c>
      <c r="AL798" s="3070">
        <v>0</v>
      </c>
      <c r="AM798" s="3070">
        <v>12037.09</v>
      </c>
      <c r="AN798" s="3070">
        <v>1110542</v>
      </c>
      <c r="AP798" s="3070">
        <v>1110542</v>
      </c>
      <c r="AQ798" s="3072">
        <v>45138</v>
      </c>
      <c r="AT798" s="3073">
        <v>45678</v>
      </c>
      <c r="AV798" s="3070" t="s">
        <v>9743</v>
      </c>
      <c r="AW798" s="3070" t="s">
        <v>9744</v>
      </c>
      <c r="AX798" s="3070" t="s">
        <v>9745</v>
      </c>
      <c r="AY798" s="3070" t="s">
        <v>3892</v>
      </c>
      <c r="BC798" s="3070" t="s">
        <v>9746</v>
      </c>
      <c r="BD798" s="3070" t="s">
        <v>3077</v>
      </c>
      <c r="BI798" s="3070" t="s">
        <v>4630</v>
      </c>
      <c r="BL798" s="3070" t="s">
        <v>9747</v>
      </c>
      <c r="BM798" s="3075">
        <v>44440</v>
      </c>
      <c r="BN798" s="3070">
        <v>1</v>
      </c>
      <c r="BO798" s="3070" t="s">
        <v>3253</v>
      </c>
      <c r="BP798" s="3070" t="s">
        <v>3253</v>
      </c>
      <c r="BR798" s="3070">
        <v>19</v>
      </c>
      <c r="BS798" s="3070" t="s">
        <v>3238</v>
      </c>
      <c r="BT798" s="3070" t="s">
        <v>9714</v>
      </c>
      <c r="BZ798" s="3073">
        <v>44198.831250000003</v>
      </c>
      <c r="CA798" s="3070">
        <v>9</v>
      </c>
      <c r="CB798" s="3070" t="s">
        <v>9714</v>
      </c>
      <c r="CD798" s="3070" t="s">
        <v>3239</v>
      </c>
      <c r="CF798" s="3070" t="s">
        <v>3091</v>
      </c>
      <c r="CH798" s="3070" t="s">
        <v>3240</v>
      </c>
      <c r="CI798" s="3070">
        <v>0</v>
      </c>
      <c r="CJ798" s="3070" t="s">
        <v>3259</v>
      </c>
      <c r="CK798" s="3070" t="s">
        <v>4056</v>
      </c>
      <c r="CL798" s="3070" t="s">
        <v>4056</v>
      </c>
      <c r="CM798" s="3070">
        <v>1018845.87</v>
      </c>
      <c r="CV798" s="3070" t="s">
        <v>3258</v>
      </c>
      <c r="CW798" s="3070" t="s">
        <v>9748</v>
      </c>
      <c r="CZ798" s="3070">
        <v>213894.57</v>
      </c>
      <c r="DA798" s="3070">
        <v>159426.93</v>
      </c>
      <c r="DB798" s="3070">
        <v>0</v>
      </c>
      <c r="DC798" s="3070">
        <v>0</v>
      </c>
      <c r="DD798" s="3070">
        <v>3290547602</v>
      </c>
      <c r="DE798" s="3070">
        <v>2764253109</v>
      </c>
      <c r="DF798" s="3070">
        <v>1464966739</v>
      </c>
      <c r="DG798" s="3070">
        <v>14938370</v>
      </c>
      <c r="DH798" s="3070">
        <v>1284348000</v>
      </c>
      <c r="DI798" s="3070">
        <v>1278128000</v>
      </c>
      <c r="DJ798" s="3070">
        <v>6220000</v>
      </c>
      <c r="DK798" s="3070">
        <v>0</v>
      </c>
      <c r="DL798" s="3070">
        <v>0</v>
      </c>
      <c r="DM798" s="3070">
        <v>25491817.620000001</v>
      </c>
      <c r="DN798" s="3070">
        <v>2764253109</v>
      </c>
      <c r="DP798" s="3070">
        <v>2764253109</v>
      </c>
    </row>
    <row r="799" spans="1:120">
      <c r="A799" s="3070">
        <v>798</v>
      </c>
      <c r="B799" s="3070" t="s">
        <v>3224</v>
      </c>
      <c r="C799" s="3070">
        <v>9</v>
      </c>
      <c r="E799" s="3070">
        <v>104</v>
      </c>
      <c r="F799" s="3070" t="s">
        <v>9749</v>
      </c>
      <c r="G799" s="3070" t="s">
        <v>9750</v>
      </c>
      <c r="H799" s="3070">
        <v>1005645</v>
      </c>
      <c r="I799" s="3070">
        <v>1005645</v>
      </c>
      <c r="J799" s="3070">
        <v>92.26</v>
      </c>
      <c r="K799" s="3070">
        <v>65.06</v>
      </c>
      <c r="L799" s="3070">
        <v>0</v>
      </c>
      <c r="M799" s="3070">
        <v>0</v>
      </c>
      <c r="N799" s="3070">
        <v>14894.44</v>
      </c>
      <c r="O799" s="3070">
        <v>1374161</v>
      </c>
      <c r="P799" s="3070">
        <v>10900.12</v>
      </c>
      <c r="Q799" s="3070">
        <v>1005645</v>
      </c>
      <c r="R799" s="3070" t="s">
        <v>3227</v>
      </c>
      <c r="S799" s="3070" t="s">
        <v>3353</v>
      </c>
      <c r="T799" s="3070" t="s">
        <v>3991</v>
      </c>
      <c r="V799" s="3070" t="s">
        <v>3230</v>
      </c>
      <c r="Y799" s="3070">
        <v>301694</v>
      </c>
      <c r="Z799" s="3070">
        <v>301694</v>
      </c>
      <c r="AA799" s="3070">
        <v>1005645</v>
      </c>
      <c r="AB799" s="3070">
        <v>0</v>
      </c>
      <c r="AC799" s="3070">
        <v>0</v>
      </c>
      <c r="AD799" s="3070">
        <v>0</v>
      </c>
      <c r="AE799" s="3070">
        <v>0</v>
      </c>
      <c r="AI799" s="3070" t="s">
        <v>3227</v>
      </c>
      <c r="AJ799" s="3070">
        <v>0</v>
      </c>
      <c r="AK799" s="3070">
        <v>0</v>
      </c>
      <c r="AL799" s="3070">
        <v>0</v>
      </c>
      <c r="AM799" s="3070">
        <v>10900.12</v>
      </c>
      <c r="AN799" s="3070">
        <v>1005645</v>
      </c>
      <c r="AP799" s="3070">
        <v>1005645</v>
      </c>
      <c r="AQ799" s="3072">
        <v>45138</v>
      </c>
      <c r="AT799" s="3073">
        <v>45678</v>
      </c>
      <c r="AV799" s="3074">
        <v>4.11E+17</v>
      </c>
      <c r="AW799" s="3070" t="s">
        <v>9751</v>
      </c>
      <c r="AX799" s="3070" t="s">
        <v>9752</v>
      </c>
      <c r="AY799" s="3070" t="s">
        <v>3587</v>
      </c>
      <c r="BA799" s="3070" t="s">
        <v>3590</v>
      </c>
      <c r="BC799" s="3070" t="s">
        <v>9282</v>
      </c>
      <c r="BD799" s="3070" t="s">
        <v>3077</v>
      </c>
      <c r="BI799" s="3070" t="s">
        <v>3295</v>
      </c>
      <c r="BL799" s="3070" t="s">
        <v>9753</v>
      </c>
      <c r="BM799" s="3075">
        <v>44440</v>
      </c>
      <c r="BN799" s="3070">
        <v>4</v>
      </c>
      <c r="BR799" s="3070">
        <v>19</v>
      </c>
      <c r="BS799" s="3070" t="s">
        <v>3238</v>
      </c>
      <c r="BT799" s="3070" t="s">
        <v>9714</v>
      </c>
      <c r="BU799" s="3070" t="s">
        <v>3590</v>
      </c>
      <c r="BZ799" s="3073">
        <v>44202.844444444447</v>
      </c>
      <c r="CA799" s="3070">
        <v>9</v>
      </c>
      <c r="CB799" s="3070" t="s">
        <v>9714</v>
      </c>
      <c r="CD799" s="3070" t="s">
        <v>3239</v>
      </c>
      <c r="CF799" s="3070" t="s">
        <v>3091</v>
      </c>
      <c r="CH799" s="3070" t="s">
        <v>3240</v>
      </c>
      <c r="CI799" s="3070">
        <v>0</v>
      </c>
      <c r="CK799" s="3070" t="s">
        <v>4640</v>
      </c>
      <c r="CL799" s="3070" t="s">
        <v>3590</v>
      </c>
      <c r="CM799" s="3070">
        <v>922610.09</v>
      </c>
      <c r="CV799" s="3070" t="s">
        <v>3494</v>
      </c>
      <c r="CW799" s="3070" t="s">
        <v>9754</v>
      </c>
      <c r="CZ799" s="3070">
        <v>213894.57</v>
      </c>
      <c r="DA799" s="3070">
        <v>159426.93</v>
      </c>
      <c r="DB799" s="3070">
        <v>0</v>
      </c>
      <c r="DC799" s="3070">
        <v>0</v>
      </c>
      <c r="DD799" s="3070">
        <v>3290547602</v>
      </c>
      <c r="DE799" s="3070">
        <v>2764253109</v>
      </c>
      <c r="DF799" s="3070">
        <v>1464966739</v>
      </c>
      <c r="DG799" s="3070">
        <v>14938370</v>
      </c>
      <c r="DH799" s="3070">
        <v>1284348000</v>
      </c>
      <c r="DI799" s="3070">
        <v>1278128000</v>
      </c>
      <c r="DJ799" s="3070">
        <v>6220000</v>
      </c>
      <c r="DK799" s="3070">
        <v>0</v>
      </c>
      <c r="DL799" s="3070">
        <v>0</v>
      </c>
      <c r="DM799" s="3070">
        <v>25491817.620000001</v>
      </c>
      <c r="DN799" s="3070">
        <v>2764253109</v>
      </c>
      <c r="DP799" s="3070">
        <v>2764253109</v>
      </c>
    </row>
    <row r="800" spans="1:120">
      <c r="A800" s="3070">
        <v>799</v>
      </c>
      <c r="B800" s="3070" t="s">
        <v>3224</v>
      </c>
      <c r="C800" s="3070">
        <v>9</v>
      </c>
      <c r="E800" s="3070">
        <v>1101</v>
      </c>
      <c r="F800" s="3070" t="s">
        <v>9755</v>
      </c>
      <c r="G800" s="3070" t="s">
        <v>9756</v>
      </c>
      <c r="H800" s="3070">
        <v>1193525</v>
      </c>
      <c r="I800" s="3070">
        <v>1193525</v>
      </c>
      <c r="J800" s="3070">
        <v>94.31</v>
      </c>
      <c r="K800" s="3070">
        <v>66.5</v>
      </c>
      <c r="L800" s="3070">
        <v>0</v>
      </c>
      <c r="M800" s="3070">
        <v>0</v>
      </c>
      <c r="N800" s="3070">
        <v>15594.44</v>
      </c>
      <c r="O800" s="3070">
        <v>1470712</v>
      </c>
      <c r="P800" s="3070">
        <v>12655.34</v>
      </c>
      <c r="Q800" s="3070">
        <v>1193525</v>
      </c>
      <c r="R800" s="3070" t="s">
        <v>3227</v>
      </c>
      <c r="S800" s="3070" t="s">
        <v>9757</v>
      </c>
      <c r="T800" s="3070" t="s">
        <v>3246</v>
      </c>
      <c r="U800" s="3070" t="s">
        <v>3259</v>
      </c>
      <c r="V800" s="3070" t="s">
        <v>3230</v>
      </c>
      <c r="Y800" s="3070">
        <v>393525</v>
      </c>
      <c r="Z800" s="3070">
        <v>393525</v>
      </c>
      <c r="AA800" s="3070">
        <v>393525</v>
      </c>
      <c r="AB800" s="3070">
        <v>0</v>
      </c>
      <c r="AC800" s="3070">
        <v>800000</v>
      </c>
      <c r="AD800" s="3070">
        <v>800000</v>
      </c>
      <c r="AE800" s="3070">
        <v>0</v>
      </c>
      <c r="AI800" s="3070" t="s">
        <v>3227</v>
      </c>
      <c r="AJ800" s="3070">
        <v>0</v>
      </c>
      <c r="AK800" s="3070">
        <v>0</v>
      </c>
      <c r="AL800" s="3070">
        <v>0</v>
      </c>
      <c r="AM800" s="3070">
        <v>12655.34</v>
      </c>
      <c r="AN800" s="3070">
        <v>1193525</v>
      </c>
      <c r="AP800" s="3070">
        <v>1193525</v>
      </c>
      <c r="AQ800" s="3072">
        <v>45138</v>
      </c>
      <c r="AT800" s="3073">
        <v>45678</v>
      </c>
      <c r="AV800" s="3074">
        <v>3.21E+17</v>
      </c>
      <c r="AW800" s="3070" t="s">
        <v>9758</v>
      </c>
      <c r="AX800" s="3070" t="s">
        <v>9759</v>
      </c>
      <c r="AY800" s="3070" t="s">
        <v>3393</v>
      </c>
      <c r="BC800" s="3070" t="s">
        <v>3284</v>
      </c>
      <c r="BD800" s="3070" t="s">
        <v>3077</v>
      </c>
      <c r="BI800" s="3070" t="s">
        <v>3235</v>
      </c>
      <c r="BJ800" s="3070" t="s">
        <v>3236</v>
      </c>
      <c r="BL800" s="3070" t="s">
        <v>9760</v>
      </c>
      <c r="BM800" s="3075">
        <v>44440</v>
      </c>
      <c r="BN800" s="3070">
        <v>101</v>
      </c>
      <c r="BO800" s="3070" t="s">
        <v>3253</v>
      </c>
      <c r="BR800" s="3070">
        <v>198</v>
      </c>
      <c r="BS800" s="3070" t="s">
        <v>3238</v>
      </c>
      <c r="BT800" s="3070" t="s">
        <v>9714</v>
      </c>
      <c r="BZ800" s="3073">
        <v>44142.855555555558</v>
      </c>
      <c r="CA800" s="3070">
        <v>9</v>
      </c>
      <c r="CB800" s="3070" t="s">
        <v>9714</v>
      </c>
      <c r="CD800" s="3070" t="s">
        <v>3239</v>
      </c>
      <c r="CF800" s="3070" t="s">
        <v>3091</v>
      </c>
      <c r="CH800" s="3070" t="s">
        <v>3240</v>
      </c>
      <c r="CI800" s="3070">
        <v>0</v>
      </c>
      <c r="CK800" s="3070" t="s">
        <v>3393</v>
      </c>
      <c r="CL800" s="3070" t="s">
        <v>3393</v>
      </c>
      <c r="CM800" s="3070">
        <v>1094977.06</v>
      </c>
      <c r="CV800" s="3070" t="s">
        <v>3246</v>
      </c>
      <c r="CW800" s="3070" t="s">
        <v>9761</v>
      </c>
      <c r="CX800" s="3070" t="s">
        <v>3311</v>
      </c>
      <c r="CZ800" s="3070">
        <v>213894.57</v>
      </c>
      <c r="DA800" s="3070">
        <v>159426.93</v>
      </c>
      <c r="DB800" s="3070">
        <v>0</v>
      </c>
      <c r="DC800" s="3070">
        <v>0</v>
      </c>
      <c r="DD800" s="3070">
        <v>3290547602</v>
      </c>
      <c r="DE800" s="3070">
        <v>2764253109</v>
      </c>
      <c r="DF800" s="3070">
        <v>1464966739</v>
      </c>
      <c r="DG800" s="3070">
        <v>14938370</v>
      </c>
      <c r="DH800" s="3070">
        <v>1284348000</v>
      </c>
      <c r="DI800" s="3070">
        <v>1278128000</v>
      </c>
      <c r="DJ800" s="3070">
        <v>6220000</v>
      </c>
      <c r="DK800" s="3070">
        <v>0</v>
      </c>
      <c r="DL800" s="3070">
        <v>0</v>
      </c>
      <c r="DM800" s="3070">
        <v>25491817.620000001</v>
      </c>
      <c r="DN800" s="3070">
        <v>2764253109</v>
      </c>
      <c r="DP800" s="3070">
        <v>2764253109</v>
      </c>
    </row>
    <row r="801" spans="1:120">
      <c r="A801" s="3070">
        <v>800</v>
      </c>
      <c r="B801" s="3070" t="s">
        <v>3224</v>
      </c>
      <c r="C801" s="3070">
        <v>9</v>
      </c>
      <c r="E801" s="3070">
        <v>1102</v>
      </c>
      <c r="F801" s="3070" t="s">
        <v>9762</v>
      </c>
      <c r="G801" s="3070" t="s">
        <v>9763</v>
      </c>
      <c r="H801" s="3070">
        <v>1189043</v>
      </c>
      <c r="I801" s="3070">
        <v>1189043</v>
      </c>
      <c r="J801" s="3070">
        <v>94.31</v>
      </c>
      <c r="K801" s="3070">
        <v>66.5</v>
      </c>
      <c r="L801" s="3070">
        <v>0</v>
      </c>
      <c r="M801" s="3070">
        <v>0</v>
      </c>
      <c r="N801" s="3070">
        <v>15544.44</v>
      </c>
      <c r="O801" s="3070">
        <v>1465996</v>
      </c>
      <c r="P801" s="3070">
        <v>12607.81</v>
      </c>
      <c r="Q801" s="3070">
        <v>1189043</v>
      </c>
      <c r="R801" s="3070" t="s">
        <v>3227</v>
      </c>
      <c r="S801" s="3070" t="s">
        <v>9764</v>
      </c>
      <c r="T801" s="3070" t="s">
        <v>3258</v>
      </c>
      <c r="U801" s="3070" t="s">
        <v>3259</v>
      </c>
      <c r="V801" s="3070" t="s">
        <v>3230</v>
      </c>
      <c r="Y801" s="3070">
        <v>389043</v>
      </c>
      <c r="Z801" s="3070">
        <v>389043</v>
      </c>
      <c r="AA801" s="3070">
        <v>389043</v>
      </c>
      <c r="AB801" s="3070">
        <v>0</v>
      </c>
      <c r="AC801" s="3070">
        <v>800000</v>
      </c>
      <c r="AD801" s="3070">
        <v>800000</v>
      </c>
      <c r="AE801" s="3070">
        <v>0</v>
      </c>
      <c r="AI801" s="3070" t="s">
        <v>3227</v>
      </c>
      <c r="AJ801" s="3070">
        <v>0</v>
      </c>
      <c r="AK801" s="3070">
        <v>0</v>
      </c>
      <c r="AL801" s="3070">
        <v>0</v>
      </c>
      <c r="AM801" s="3070">
        <v>12607.81</v>
      </c>
      <c r="AN801" s="3070">
        <v>1189043</v>
      </c>
      <c r="AP801" s="3070">
        <v>1189043</v>
      </c>
      <c r="AQ801" s="3072">
        <v>45138</v>
      </c>
      <c r="AT801" s="3073">
        <v>45678</v>
      </c>
      <c r="AV801" s="3070" t="s">
        <v>9765</v>
      </c>
      <c r="AW801" s="3070" t="s">
        <v>9766</v>
      </c>
      <c r="AX801" s="3070" t="s">
        <v>9767</v>
      </c>
      <c r="AY801" s="3070" t="s">
        <v>3760</v>
      </c>
      <c r="BC801" s="3070" t="s">
        <v>3263</v>
      </c>
      <c r="BD801" s="3070" t="s">
        <v>3077</v>
      </c>
      <c r="BI801" s="3070" t="s">
        <v>3235</v>
      </c>
      <c r="BJ801" s="3070" t="s">
        <v>3338</v>
      </c>
      <c r="BL801" s="3070" t="s">
        <v>9768</v>
      </c>
      <c r="BM801" s="3075">
        <v>44440</v>
      </c>
      <c r="BN801" s="3070">
        <v>102</v>
      </c>
      <c r="BO801" s="3070" t="s">
        <v>3253</v>
      </c>
      <c r="BP801" s="3070" t="s">
        <v>3253</v>
      </c>
      <c r="BR801" s="3070">
        <v>112</v>
      </c>
      <c r="BS801" s="3070" t="s">
        <v>3238</v>
      </c>
      <c r="BT801" s="3070" t="s">
        <v>9714</v>
      </c>
      <c r="BZ801" s="3073">
        <v>44142.859027777777</v>
      </c>
      <c r="CA801" s="3070">
        <v>9</v>
      </c>
      <c r="CB801" s="3070" t="s">
        <v>9714</v>
      </c>
      <c r="CD801" s="3070" t="s">
        <v>3239</v>
      </c>
      <c r="CF801" s="3070" t="s">
        <v>3091</v>
      </c>
      <c r="CH801" s="3070" t="s">
        <v>3240</v>
      </c>
      <c r="CI801" s="3070">
        <v>0</v>
      </c>
      <c r="CJ801" s="3070" t="s">
        <v>3259</v>
      </c>
      <c r="CK801" s="3070" t="s">
        <v>3760</v>
      </c>
      <c r="CL801" s="3070" t="s">
        <v>3760</v>
      </c>
      <c r="CM801" s="3070">
        <v>1090865.1399999999</v>
      </c>
      <c r="CV801" s="3070" t="s">
        <v>3258</v>
      </c>
      <c r="CW801" s="3070" t="s">
        <v>9769</v>
      </c>
      <c r="CZ801" s="3070">
        <v>213894.57</v>
      </c>
      <c r="DA801" s="3070">
        <v>159426.93</v>
      </c>
      <c r="DB801" s="3070">
        <v>0</v>
      </c>
      <c r="DC801" s="3070">
        <v>0</v>
      </c>
      <c r="DD801" s="3070">
        <v>3290547602</v>
      </c>
      <c r="DE801" s="3070">
        <v>2764253109</v>
      </c>
      <c r="DF801" s="3070">
        <v>1464966739</v>
      </c>
      <c r="DG801" s="3070">
        <v>14938370</v>
      </c>
      <c r="DH801" s="3070">
        <v>1284348000</v>
      </c>
      <c r="DI801" s="3070">
        <v>1278128000</v>
      </c>
      <c r="DJ801" s="3070">
        <v>6220000</v>
      </c>
      <c r="DK801" s="3070">
        <v>0</v>
      </c>
      <c r="DL801" s="3070">
        <v>0</v>
      </c>
      <c r="DM801" s="3070">
        <v>25491817.620000001</v>
      </c>
      <c r="DN801" s="3070">
        <v>2764253109</v>
      </c>
      <c r="DP801" s="3070">
        <v>2764253109</v>
      </c>
    </row>
    <row r="802" spans="1:120">
      <c r="A802" s="3070">
        <v>801</v>
      </c>
      <c r="B802" s="3070" t="s">
        <v>3224</v>
      </c>
      <c r="C802" s="3070">
        <v>9</v>
      </c>
      <c r="E802" s="3070">
        <v>1103</v>
      </c>
      <c r="F802" s="3070" t="s">
        <v>9770</v>
      </c>
      <c r="G802" s="3070" t="s">
        <v>9771</v>
      </c>
      <c r="H802" s="3070">
        <v>1289396</v>
      </c>
      <c r="I802" s="3070">
        <v>1289396</v>
      </c>
      <c r="J802" s="3070">
        <v>94.31</v>
      </c>
      <c r="K802" s="3070">
        <v>66.5</v>
      </c>
      <c r="L802" s="3070">
        <v>0</v>
      </c>
      <c r="M802" s="3070">
        <v>0</v>
      </c>
      <c r="N802" s="3070">
        <v>15544.44</v>
      </c>
      <c r="O802" s="3070">
        <v>1465996</v>
      </c>
      <c r="P802" s="3070">
        <v>13671.89</v>
      </c>
      <c r="Q802" s="3070">
        <v>1289396</v>
      </c>
      <c r="R802" s="3070" t="s">
        <v>3227</v>
      </c>
      <c r="S802" s="3070" t="s">
        <v>9772</v>
      </c>
      <c r="T802" s="3070" t="s">
        <v>4061</v>
      </c>
      <c r="V802" s="3070" t="s">
        <v>3230</v>
      </c>
      <c r="Y802" s="3070">
        <v>128940</v>
      </c>
      <c r="Z802" s="3070">
        <v>128940</v>
      </c>
      <c r="AA802" s="3070">
        <v>1289396</v>
      </c>
      <c r="AB802" s="3070">
        <v>0</v>
      </c>
      <c r="AC802" s="3070">
        <v>0</v>
      </c>
      <c r="AD802" s="3070">
        <v>0</v>
      </c>
      <c r="AE802" s="3070">
        <v>0</v>
      </c>
      <c r="AI802" s="3070" t="s">
        <v>3227</v>
      </c>
      <c r="AJ802" s="3070">
        <v>0</v>
      </c>
      <c r="AK802" s="3070">
        <v>0</v>
      </c>
      <c r="AL802" s="3070">
        <v>0</v>
      </c>
      <c r="AM802" s="3070">
        <v>13671.89</v>
      </c>
      <c r="AN802" s="3070">
        <v>1289396</v>
      </c>
      <c r="AP802" s="3070">
        <v>1289396</v>
      </c>
      <c r="AQ802" s="3072">
        <v>45138</v>
      </c>
      <c r="AT802" s="3073">
        <v>45678</v>
      </c>
      <c r="AV802" s="3070" t="s">
        <v>9773</v>
      </c>
      <c r="AW802" s="3070" t="s">
        <v>9774</v>
      </c>
      <c r="AX802" s="3070" t="s">
        <v>9775</v>
      </c>
      <c r="AY802" s="3070" t="s">
        <v>4019</v>
      </c>
      <c r="BA802" s="3070" t="s">
        <v>4019</v>
      </c>
      <c r="BC802" s="3070" t="s">
        <v>4066</v>
      </c>
      <c r="BD802" s="3070" t="s">
        <v>3077</v>
      </c>
      <c r="BI802" s="3070" t="s">
        <v>3295</v>
      </c>
      <c r="BJ802" s="3070" t="s">
        <v>3296</v>
      </c>
      <c r="BL802" s="3070" t="s">
        <v>9776</v>
      </c>
      <c r="BM802" s="3075">
        <v>44440</v>
      </c>
      <c r="BN802" s="3070">
        <v>103</v>
      </c>
      <c r="BR802" s="3070">
        <v>0</v>
      </c>
      <c r="BS802" s="3070" t="s">
        <v>3238</v>
      </c>
      <c r="BT802" s="3070" t="s">
        <v>9714</v>
      </c>
      <c r="BU802" s="3070" t="s">
        <v>4019</v>
      </c>
      <c r="BZ802" s="3073">
        <v>44242.689583333333</v>
      </c>
      <c r="CA802" s="3070">
        <v>9</v>
      </c>
      <c r="CB802" s="3070" t="s">
        <v>9714</v>
      </c>
      <c r="CD802" s="3070" t="s">
        <v>3239</v>
      </c>
      <c r="CF802" s="3070" t="s">
        <v>3091</v>
      </c>
      <c r="CH802" s="3070" t="s">
        <v>3240</v>
      </c>
      <c r="CI802" s="3070">
        <v>0</v>
      </c>
      <c r="CK802" s="3070" t="s">
        <v>4138</v>
      </c>
      <c r="CL802" s="3070" t="s">
        <v>4019</v>
      </c>
      <c r="CM802" s="3070">
        <v>1182932.1100000001</v>
      </c>
      <c r="CV802" s="3070" t="s">
        <v>3494</v>
      </c>
      <c r="CW802" s="3070" t="s">
        <v>9777</v>
      </c>
      <c r="CZ802" s="3070">
        <v>213894.57</v>
      </c>
      <c r="DA802" s="3070">
        <v>159426.93</v>
      </c>
      <c r="DB802" s="3070">
        <v>0</v>
      </c>
      <c r="DC802" s="3070">
        <v>0</v>
      </c>
      <c r="DD802" s="3070">
        <v>3290547602</v>
      </c>
      <c r="DE802" s="3070">
        <v>2764253109</v>
      </c>
      <c r="DF802" s="3070">
        <v>1464966739</v>
      </c>
      <c r="DG802" s="3070">
        <v>14938370</v>
      </c>
      <c r="DH802" s="3070">
        <v>1284348000</v>
      </c>
      <c r="DI802" s="3070">
        <v>1278128000</v>
      </c>
      <c r="DJ802" s="3070">
        <v>6220000</v>
      </c>
      <c r="DK802" s="3070">
        <v>0</v>
      </c>
      <c r="DL802" s="3070">
        <v>0</v>
      </c>
      <c r="DM802" s="3070">
        <v>25491817.620000001</v>
      </c>
      <c r="DN802" s="3070">
        <v>2764253109</v>
      </c>
      <c r="DP802" s="3070">
        <v>2764253109</v>
      </c>
    </row>
    <row r="803" spans="1:120">
      <c r="A803" s="3070">
        <v>802</v>
      </c>
      <c r="B803" s="3070" t="s">
        <v>3224</v>
      </c>
      <c r="C803" s="3070">
        <v>9</v>
      </c>
      <c r="E803" s="3070">
        <v>1104</v>
      </c>
      <c r="F803" s="3070" t="s">
        <v>9778</v>
      </c>
      <c r="G803" s="3070" t="s">
        <v>9779</v>
      </c>
      <c r="H803" s="3070">
        <v>1184560</v>
      </c>
      <c r="I803" s="3070">
        <v>1184560</v>
      </c>
      <c r="J803" s="3070">
        <v>94.31</v>
      </c>
      <c r="K803" s="3070">
        <v>66.5</v>
      </c>
      <c r="L803" s="3070">
        <v>0</v>
      </c>
      <c r="M803" s="3070">
        <v>0</v>
      </c>
      <c r="N803" s="3070">
        <v>15494.44</v>
      </c>
      <c r="O803" s="3070">
        <v>1461281</v>
      </c>
      <c r="P803" s="3070">
        <v>12560.28</v>
      </c>
      <c r="Q803" s="3070">
        <v>1184560</v>
      </c>
      <c r="R803" s="3070" t="s">
        <v>3227</v>
      </c>
      <c r="S803" s="3070" t="s">
        <v>9780</v>
      </c>
      <c r="T803" s="3070" t="s">
        <v>3258</v>
      </c>
      <c r="U803" s="3070" t="s">
        <v>3259</v>
      </c>
      <c r="V803" s="3070" t="s">
        <v>3230</v>
      </c>
      <c r="Y803" s="3070">
        <v>484560</v>
      </c>
      <c r="Z803" s="3070">
        <v>484560</v>
      </c>
      <c r="AA803" s="3070">
        <v>484560</v>
      </c>
      <c r="AB803" s="3070">
        <v>0</v>
      </c>
      <c r="AC803" s="3070">
        <v>700000</v>
      </c>
      <c r="AD803" s="3070">
        <v>700000</v>
      </c>
      <c r="AE803" s="3070">
        <v>0</v>
      </c>
      <c r="AI803" s="3070" t="s">
        <v>3227</v>
      </c>
      <c r="AJ803" s="3070">
        <v>0</v>
      </c>
      <c r="AK803" s="3070">
        <v>0</v>
      </c>
      <c r="AL803" s="3070">
        <v>0</v>
      </c>
      <c r="AM803" s="3070">
        <v>12560.28</v>
      </c>
      <c r="AN803" s="3070">
        <v>1184560</v>
      </c>
      <c r="AP803" s="3070">
        <v>1184560</v>
      </c>
      <c r="AQ803" s="3072">
        <v>45138</v>
      </c>
      <c r="AT803" s="3073">
        <v>45678</v>
      </c>
      <c r="AV803" s="3074">
        <v>3.21E+17</v>
      </c>
      <c r="AW803" s="3070" t="s">
        <v>9781</v>
      </c>
      <c r="AX803" s="3070" t="s">
        <v>9782</v>
      </c>
      <c r="AY803" s="3070" t="s">
        <v>3699</v>
      </c>
      <c r="BC803" s="3070" t="s">
        <v>3263</v>
      </c>
      <c r="BD803" s="3070" t="s">
        <v>3077</v>
      </c>
      <c r="BI803" s="3070" t="s">
        <v>3295</v>
      </c>
      <c r="BJ803" s="3070" t="s">
        <v>3296</v>
      </c>
      <c r="BL803" s="3070" t="s">
        <v>9783</v>
      </c>
      <c r="BM803" s="3075">
        <v>44440</v>
      </c>
      <c r="BN803" s="3070">
        <v>104</v>
      </c>
      <c r="BO803" s="3070" t="s">
        <v>3253</v>
      </c>
      <c r="BP803" s="3070" t="s">
        <v>3253</v>
      </c>
      <c r="BR803" s="3070">
        <v>191</v>
      </c>
      <c r="BS803" s="3070" t="s">
        <v>3238</v>
      </c>
      <c r="BT803" s="3070" t="s">
        <v>9714</v>
      </c>
      <c r="BZ803" s="3073">
        <v>44142.640277777777</v>
      </c>
      <c r="CA803" s="3070">
        <v>9</v>
      </c>
      <c r="CB803" s="3070" t="s">
        <v>9714</v>
      </c>
      <c r="CD803" s="3070" t="s">
        <v>3239</v>
      </c>
      <c r="CF803" s="3070" t="s">
        <v>3091</v>
      </c>
      <c r="CH803" s="3070" t="s">
        <v>3240</v>
      </c>
      <c r="CI803" s="3070">
        <v>0</v>
      </c>
      <c r="CJ803" s="3070" t="s">
        <v>3259</v>
      </c>
      <c r="CK803" s="3070" t="s">
        <v>3699</v>
      </c>
      <c r="CL803" s="3070" t="s">
        <v>3699</v>
      </c>
      <c r="CM803" s="3070">
        <v>1086752.29</v>
      </c>
      <c r="CV803" s="3070" t="s">
        <v>3258</v>
      </c>
      <c r="CW803" s="3070" t="s">
        <v>9784</v>
      </c>
      <c r="CZ803" s="3070">
        <v>213894.57</v>
      </c>
      <c r="DA803" s="3070">
        <v>159426.93</v>
      </c>
      <c r="DB803" s="3070">
        <v>0</v>
      </c>
      <c r="DC803" s="3070">
        <v>0</v>
      </c>
      <c r="DD803" s="3070">
        <v>3290547602</v>
      </c>
      <c r="DE803" s="3070">
        <v>2764253109</v>
      </c>
      <c r="DF803" s="3070">
        <v>1464966739</v>
      </c>
      <c r="DG803" s="3070">
        <v>14938370</v>
      </c>
      <c r="DH803" s="3070">
        <v>1284348000</v>
      </c>
      <c r="DI803" s="3070">
        <v>1278128000</v>
      </c>
      <c r="DJ803" s="3070">
        <v>6220000</v>
      </c>
      <c r="DK803" s="3070">
        <v>0</v>
      </c>
      <c r="DL803" s="3070">
        <v>0</v>
      </c>
      <c r="DM803" s="3070">
        <v>25491817.620000001</v>
      </c>
      <c r="DN803" s="3070">
        <v>2764253109</v>
      </c>
      <c r="DP803" s="3070">
        <v>2764253109</v>
      </c>
    </row>
    <row r="804" spans="1:120">
      <c r="A804" s="3070">
        <v>803</v>
      </c>
      <c r="B804" s="3070" t="s">
        <v>3224</v>
      </c>
      <c r="C804" s="3070">
        <v>9</v>
      </c>
      <c r="E804" s="3070">
        <v>1201</v>
      </c>
      <c r="F804" s="3070" t="s">
        <v>9785</v>
      </c>
      <c r="G804" s="3070" t="s">
        <v>9786</v>
      </c>
      <c r="H804" s="3070">
        <v>1198008</v>
      </c>
      <c r="I804" s="3070">
        <v>1198008</v>
      </c>
      <c r="J804" s="3070">
        <v>94.31</v>
      </c>
      <c r="K804" s="3070">
        <v>66.5</v>
      </c>
      <c r="L804" s="3070">
        <v>0</v>
      </c>
      <c r="M804" s="3070">
        <v>0</v>
      </c>
      <c r="N804" s="3070">
        <v>15644.44</v>
      </c>
      <c r="O804" s="3070">
        <v>1475427</v>
      </c>
      <c r="P804" s="3070">
        <v>12702.87</v>
      </c>
      <c r="Q804" s="3070">
        <v>1198008</v>
      </c>
      <c r="R804" s="3070" t="s">
        <v>3227</v>
      </c>
      <c r="S804" s="3070" t="s">
        <v>9787</v>
      </c>
      <c r="T804" s="3070" t="s">
        <v>3258</v>
      </c>
      <c r="U804" s="3070" t="s">
        <v>3259</v>
      </c>
      <c r="V804" s="3070" t="s">
        <v>3230</v>
      </c>
      <c r="Y804" s="3070">
        <v>368008</v>
      </c>
      <c r="Z804" s="3070">
        <v>368008</v>
      </c>
      <c r="AA804" s="3070">
        <v>368008</v>
      </c>
      <c r="AB804" s="3070">
        <v>0</v>
      </c>
      <c r="AC804" s="3070">
        <v>830000</v>
      </c>
      <c r="AD804" s="3070">
        <v>830000</v>
      </c>
      <c r="AE804" s="3070">
        <v>0</v>
      </c>
      <c r="AI804" s="3070" t="s">
        <v>3227</v>
      </c>
      <c r="AJ804" s="3070">
        <v>0</v>
      </c>
      <c r="AK804" s="3070">
        <v>0</v>
      </c>
      <c r="AL804" s="3070">
        <v>0</v>
      </c>
      <c r="AM804" s="3070">
        <v>12702.87</v>
      </c>
      <c r="AN804" s="3070">
        <v>1198008</v>
      </c>
      <c r="AP804" s="3070">
        <v>1198008</v>
      </c>
      <c r="AQ804" s="3072">
        <v>45138</v>
      </c>
      <c r="AT804" s="3073">
        <v>45678</v>
      </c>
      <c r="AV804" s="3070" t="s">
        <v>9788</v>
      </c>
      <c r="AW804" s="3070" t="s">
        <v>9789</v>
      </c>
      <c r="AX804" s="3070" t="s">
        <v>9790</v>
      </c>
      <c r="AY804" s="3070" t="s">
        <v>3306</v>
      </c>
      <c r="BC804" s="3070" t="s">
        <v>3263</v>
      </c>
      <c r="BD804" s="3070" t="s">
        <v>3077</v>
      </c>
      <c r="BI804" s="3070" t="s">
        <v>3235</v>
      </c>
      <c r="BJ804" s="3070" t="s">
        <v>3338</v>
      </c>
      <c r="BL804" s="3070" t="s">
        <v>9791</v>
      </c>
      <c r="BM804" s="3075">
        <v>44440</v>
      </c>
      <c r="BN804" s="3070">
        <v>201</v>
      </c>
      <c r="BO804" s="3070" t="s">
        <v>3253</v>
      </c>
      <c r="BP804" s="3070" t="s">
        <v>3253</v>
      </c>
      <c r="BR804" s="3070">
        <v>902</v>
      </c>
      <c r="BS804" s="3070" t="s">
        <v>3238</v>
      </c>
      <c r="BT804" s="3070" t="s">
        <v>9714</v>
      </c>
      <c r="BZ804" s="3073">
        <v>44142.645138888889</v>
      </c>
      <c r="CA804" s="3070">
        <v>9</v>
      </c>
      <c r="CB804" s="3070" t="s">
        <v>9714</v>
      </c>
      <c r="CD804" s="3070" t="s">
        <v>3239</v>
      </c>
      <c r="CF804" s="3070" t="s">
        <v>3091</v>
      </c>
      <c r="CH804" s="3070" t="s">
        <v>3240</v>
      </c>
      <c r="CI804" s="3070">
        <v>0</v>
      </c>
      <c r="CJ804" s="3070" t="s">
        <v>3259</v>
      </c>
      <c r="CK804" s="3070" t="s">
        <v>3306</v>
      </c>
      <c r="CL804" s="3070" t="s">
        <v>3306</v>
      </c>
      <c r="CM804" s="3070">
        <v>1099089.9099999999</v>
      </c>
      <c r="CV804" s="3070" t="s">
        <v>3258</v>
      </c>
      <c r="CW804" s="3070" t="s">
        <v>9792</v>
      </c>
      <c r="CZ804" s="3070">
        <v>213894.57</v>
      </c>
      <c r="DA804" s="3070">
        <v>159426.93</v>
      </c>
      <c r="DB804" s="3070">
        <v>0</v>
      </c>
      <c r="DC804" s="3070">
        <v>0</v>
      </c>
      <c r="DD804" s="3070">
        <v>3290547602</v>
      </c>
      <c r="DE804" s="3070">
        <v>2764253109</v>
      </c>
      <c r="DF804" s="3070">
        <v>1464966739</v>
      </c>
      <c r="DG804" s="3070">
        <v>14938370</v>
      </c>
      <c r="DH804" s="3070">
        <v>1284348000</v>
      </c>
      <c r="DI804" s="3070">
        <v>1278128000</v>
      </c>
      <c r="DJ804" s="3070">
        <v>6220000</v>
      </c>
      <c r="DK804" s="3070">
        <v>0</v>
      </c>
      <c r="DL804" s="3070">
        <v>0</v>
      </c>
      <c r="DM804" s="3070">
        <v>25491817.620000001</v>
      </c>
      <c r="DN804" s="3070">
        <v>2764253109</v>
      </c>
      <c r="DP804" s="3070">
        <v>2764253109</v>
      </c>
    </row>
    <row r="805" spans="1:120">
      <c r="A805" s="3070">
        <v>804</v>
      </c>
      <c r="B805" s="3070" t="s">
        <v>3224</v>
      </c>
      <c r="C805" s="3070">
        <v>9</v>
      </c>
      <c r="E805" s="3070">
        <v>1202</v>
      </c>
      <c r="F805" s="3070" t="s">
        <v>9793</v>
      </c>
      <c r="G805" s="3070" t="s">
        <v>9794</v>
      </c>
      <c r="H805" s="3070">
        <v>1193525</v>
      </c>
      <c r="I805" s="3070">
        <v>1193525</v>
      </c>
      <c r="J805" s="3070">
        <v>94.31</v>
      </c>
      <c r="K805" s="3070">
        <v>66.5</v>
      </c>
      <c r="L805" s="3070">
        <v>0</v>
      </c>
      <c r="M805" s="3070">
        <v>0</v>
      </c>
      <c r="N805" s="3070">
        <v>15594.44</v>
      </c>
      <c r="O805" s="3070">
        <v>1470712</v>
      </c>
      <c r="P805" s="3070">
        <v>12655.34</v>
      </c>
      <c r="Q805" s="3070">
        <v>1193525</v>
      </c>
      <c r="R805" s="3070" t="s">
        <v>3227</v>
      </c>
      <c r="S805" s="3070" t="s">
        <v>9795</v>
      </c>
      <c r="T805" s="3070" t="s">
        <v>3258</v>
      </c>
      <c r="U805" s="3070" t="s">
        <v>3259</v>
      </c>
      <c r="V805" s="3070" t="s">
        <v>3230</v>
      </c>
      <c r="Y805" s="3070">
        <v>363525</v>
      </c>
      <c r="Z805" s="3070">
        <v>363525</v>
      </c>
      <c r="AA805" s="3070">
        <v>363525</v>
      </c>
      <c r="AB805" s="3070">
        <v>0</v>
      </c>
      <c r="AC805" s="3070">
        <v>830000</v>
      </c>
      <c r="AD805" s="3070">
        <v>830000</v>
      </c>
      <c r="AE805" s="3070">
        <v>0</v>
      </c>
      <c r="AI805" s="3070" t="s">
        <v>3227</v>
      </c>
      <c r="AJ805" s="3070">
        <v>0</v>
      </c>
      <c r="AK805" s="3070">
        <v>0</v>
      </c>
      <c r="AL805" s="3070">
        <v>0</v>
      </c>
      <c r="AM805" s="3070">
        <v>12655.34</v>
      </c>
      <c r="AN805" s="3070">
        <v>1193525</v>
      </c>
      <c r="AP805" s="3070">
        <v>1193525</v>
      </c>
      <c r="AQ805" s="3072">
        <v>45138</v>
      </c>
      <c r="AT805" s="3073">
        <v>45678</v>
      </c>
      <c r="AV805" s="3074">
        <v>3.21E+17</v>
      </c>
      <c r="AW805" s="3070" t="s">
        <v>9796</v>
      </c>
      <c r="AX805" s="3070" t="s">
        <v>9797</v>
      </c>
      <c r="AY805" s="3070" t="s">
        <v>3250</v>
      </c>
      <c r="BC805" s="3070" t="s">
        <v>3263</v>
      </c>
      <c r="BD805" s="3070" t="s">
        <v>3077</v>
      </c>
      <c r="BI805" s="3070" t="s">
        <v>3235</v>
      </c>
      <c r="BJ805" s="3070" t="s">
        <v>3338</v>
      </c>
      <c r="BL805" s="3070" t="s">
        <v>9798</v>
      </c>
      <c r="BM805" s="3075">
        <v>44440</v>
      </c>
      <c r="BN805" s="3070">
        <v>202</v>
      </c>
      <c r="BO805" s="3070" t="s">
        <v>3253</v>
      </c>
      <c r="BP805" s="3070" t="s">
        <v>3253</v>
      </c>
      <c r="BR805" s="3070">
        <v>612</v>
      </c>
      <c r="BS805" s="3070" t="s">
        <v>3238</v>
      </c>
      <c r="BT805" s="3070" t="s">
        <v>9714</v>
      </c>
      <c r="BZ805" s="3073">
        <v>44142.762499999997</v>
      </c>
      <c r="CA805" s="3070">
        <v>9</v>
      </c>
      <c r="CB805" s="3070" t="s">
        <v>9714</v>
      </c>
      <c r="CD805" s="3070" t="s">
        <v>3239</v>
      </c>
      <c r="CF805" s="3070" t="s">
        <v>3091</v>
      </c>
      <c r="CH805" s="3070" t="s">
        <v>3240</v>
      </c>
      <c r="CI805" s="3070">
        <v>0</v>
      </c>
      <c r="CJ805" s="3070" t="s">
        <v>3259</v>
      </c>
      <c r="CK805" s="3070" t="s">
        <v>3250</v>
      </c>
      <c r="CL805" s="3070" t="s">
        <v>3250</v>
      </c>
      <c r="CM805" s="3070">
        <v>1094977.06</v>
      </c>
      <c r="CV805" s="3070" t="s">
        <v>3258</v>
      </c>
      <c r="CW805" s="3070" t="s">
        <v>9799</v>
      </c>
      <c r="CZ805" s="3070">
        <v>213894.57</v>
      </c>
      <c r="DA805" s="3070">
        <v>159426.93</v>
      </c>
      <c r="DB805" s="3070">
        <v>0</v>
      </c>
      <c r="DC805" s="3070">
        <v>0</v>
      </c>
      <c r="DD805" s="3070">
        <v>3290547602</v>
      </c>
      <c r="DE805" s="3070">
        <v>2764253109</v>
      </c>
      <c r="DF805" s="3070">
        <v>1464966739</v>
      </c>
      <c r="DG805" s="3070">
        <v>14938370</v>
      </c>
      <c r="DH805" s="3070">
        <v>1284348000</v>
      </c>
      <c r="DI805" s="3070">
        <v>1278128000</v>
      </c>
      <c r="DJ805" s="3070">
        <v>6220000</v>
      </c>
      <c r="DK805" s="3070">
        <v>0</v>
      </c>
      <c r="DL805" s="3070">
        <v>0</v>
      </c>
      <c r="DM805" s="3070">
        <v>25491817.620000001</v>
      </c>
      <c r="DN805" s="3070">
        <v>2764253109</v>
      </c>
      <c r="DP805" s="3070">
        <v>2764253109</v>
      </c>
    </row>
    <row r="806" spans="1:120">
      <c r="A806" s="3070">
        <v>805</v>
      </c>
      <c r="B806" s="3070" t="s">
        <v>3224</v>
      </c>
      <c r="C806" s="3070">
        <v>9</v>
      </c>
      <c r="E806" s="3070">
        <v>1203</v>
      </c>
      <c r="F806" s="3070" t="s">
        <v>9800</v>
      </c>
      <c r="G806" s="3070" t="s">
        <v>9801</v>
      </c>
      <c r="H806" s="3070">
        <v>1193525</v>
      </c>
      <c r="I806" s="3070">
        <v>1193525</v>
      </c>
      <c r="J806" s="3070">
        <v>94.31</v>
      </c>
      <c r="K806" s="3070">
        <v>66.5</v>
      </c>
      <c r="L806" s="3070">
        <v>0</v>
      </c>
      <c r="M806" s="3070">
        <v>0</v>
      </c>
      <c r="N806" s="3070">
        <v>15594.44</v>
      </c>
      <c r="O806" s="3070">
        <v>1470712</v>
      </c>
      <c r="P806" s="3070">
        <v>12655.34</v>
      </c>
      <c r="Q806" s="3070">
        <v>1193525</v>
      </c>
      <c r="R806" s="3070" t="s">
        <v>3227</v>
      </c>
      <c r="S806" s="3070" t="s">
        <v>9802</v>
      </c>
      <c r="T806" s="3070" t="s">
        <v>3425</v>
      </c>
      <c r="V806" s="3070" t="s">
        <v>3230</v>
      </c>
      <c r="Y806" s="3070">
        <v>893525</v>
      </c>
      <c r="Z806" s="3070">
        <v>363525</v>
      </c>
      <c r="AA806" s="3070">
        <v>893525</v>
      </c>
      <c r="AB806" s="3070">
        <v>0</v>
      </c>
      <c r="AC806" s="3070">
        <v>300000</v>
      </c>
      <c r="AD806" s="3070">
        <v>300000</v>
      </c>
      <c r="AE806" s="3070">
        <v>0</v>
      </c>
      <c r="AI806" s="3070" t="s">
        <v>3227</v>
      </c>
      <c r="AJ806" s="3070">
        <v>0</v>
      </c>
      <c r="AK806" s="3070">
        <v>0</v>
      </c>
      <c r="AL806" s="3070">
        <v>0</v>
      </c>
      <c r="AM806" s="3070">
        <v>12655.34</v>
      </c>
      <c r="AN806" s="3070">
        <v>1193525</v>
      </c>
      <c r="AP806" s="3070">
        <v>1193525</v>
      </c>
      <c r="AQ806" s="3072">
        <v>45138</v>
      </c>
      <c r="AT806" s="3073">
        <v>45678</v>
      </c>
      <c r="AV806" s="3074">
        <v>3.21E+17</v>
      </c>
      <c r="AW806" s="3070" t="s">
        <v>9803</v>
      </c>
      <c r="AX806" s="3070" t="s">
        <v>9804</v>
      </c>
      <c r="AY806" s="3070" t="s">
        <v>3429</v>
      </c>
      <c r="BC806" s="3070" t="s">
        <v>3461</v>
      </c>
      <c r="BD806" s="3070" t="s">
        <v>3077</v>
      </c>
      <c r="BI806" s="3070" t="s">
        <v>3235</v>
      </c>
      <c r="BJ806" s="3070" t="s">
        <v>3338</v>
      </c>
      <c r="BL806" s="3070" t="s">
        <v>9805</v>
      </c>
      <c r="BM806" s="3075">
        <v>44440</v>
      </c>
      <c r="BN806" s="3070">
        <v>203</v>
      </c>
      <c r="BP806" s="3070" t="s">
        <v>3253</v>
      </c>
      <c r="BR806" s="3070">
        <v>395</v>
      </c>
      <c r="BS806" s="3070" t="s">
        <v>3238</v>
      </c>
      <c r="BT806" s="3070" t="s">
        <v>9714</v>
      </c>
      <c r="BZ806" s="3073">
        <v>44142.845833333333</v>
      </c>
      <c r="CA806" s="3070">
        <v>9</v>
      </c>
      <c r="CB806" s="3070" t="s">
        <v>9714</v>
      </c>
      <c r="CD806" s="3070" t="s">
        <v>3239</v>
      </c>
      <c r="CF806" s="3070" t="s">
        <v>3091</v>
      </c>
      <c r="CH806" s="3070" t="s">
        <v>3240</v>
      </c>
      <c r="CI806" s="3070">
        <v>0</v>
      </c>
      <c r="CJ806" s="3070" t="s">
        <v>3259</v>
      </c>
      <c r="CK806" s="3070" t="s">
        <v>3429</v>
      </c>
      <c r="CL806" s="3070" t="s">
        <v>3429</v>
      </c>
      <c r="CM806" s="3070">
        <v>1094977.06</v>
      </c>
      <c r="CV806" s="3070" t="s">
        <v>3425</v>
      </c>
      <c r="CW806" s="3070" t="s">
        <v>9806</v>
      </c>
      <c r="CZ806" s="3070">
        <v>213894.57</v>
      </c>
      <c r="DA806" s="3070">
        <v>159426.93</v>
      </c>
      <c r="DB806" s="3070">
        <v>0</v>
      </c>
      <c r="DC806" s="3070">
        <v>0</v>
      </c>
      <c r="DD806" s="3070">
        <v>3290547602</v>
      </c>
      <c r="DE806" s="3070">
        <v>2764253109</v>
      </c>
      <c r="DF806" s="3070">
        <v>1464966739</v>
      </c>
      <c r="DG806" s="3070">
        <v>14938370</v>
      </c>
      <c r="DH806" s="3070">
        <v>1284348000</v>
      </c>
      <c r="DI806" s="3070">
        <v>1278128000</v>
      </c>
      <c r="DJ806" s="3070">
        <v>6220000</v>
      </c>
      <c r="DK806" s="3070">
        <v>0</v>
      </c>
      <c r="DL806" s="3070">
        <v>0</v>
      </c>
      <c r="DM806" s="3070">
        <v>25491817.620000001</v>
      </c>
      <c r="DN806" s="3070">
        <v>2764253109</v>
      </c>
      <c r="DP806" s="3070">
        <v>2764253109</v>
      </c>
    </row>
    <row r="807" spans="1:120">
      <c r="A807" s="3070">
        <v>806</v>
      </c>
      <c r="B807" s="3070" t="s">
        <v>3224</v>
      </c>
      <c r="C807" s="3070">
        <v>9</v>
      </c>
      <c r="E807" s="3070">
        <v>1204</v>
      </c>
      <c r="F807" s="3070" t="s">
        <v>9807</v>
      </c>
      <c r="G807" s="3070" t="s">
        <v>9808</v>
      </c>
      <c r="H807" s="3070">
        <v>1189043</v>
      </c>
      <c r="I807" s="3070">
        <v>1189043</v>
      </c>
      <c r="J807" s="3070">
        <v>94.31</v>
      </c>
      <c r="K807" s="3070">
        <v>66.5</v>
      </c>
      <c r="L807" s="3070">
        <v>0</v>
      </c>
      <c r="M807" s="3070">
        <v>0</v>
      </c>
      <c r="N807" s="3070">
        <v>15544.44</v>
      </c>
      <c r="O807" s="3070">
        <v>1465996</v>
      </c>
      <c r="P807" s="3070">
        <v>12607.81</v>
      </c>
      <c r="Q807" s="3070">
        <v>1189043</v>
      </c>
      <c r="R807" s="3070" t="s">
        <v>3227</v>
      </c>
      <c r="S807" s="3070" t="s">
        <v>9809</v>
      </c>
      <c r="T807" s="3070" t="s">
        <v>3246</v>
      </c>
      <c r="U807" s="3070" t="s">
        <v>3467</v>
      </c>
      <c r="V807" s="3070" t="s">
        <v>3230</v>
      </c>
      <c r="Y807" s="3070">
        <v>489043</v>
      </c>
      <c r="Z807" s="3070">
        <v>489043</v>
      </c>
      <c r="AA807" s="3070">
        <v>489043</v>
      </c>
      <c r="AB807" s="3070">
        <v>0</v>
      </c>
      <c r="AC807" s="3070">
        <v>700000</v>
      </c>
      <c r="AD807" s="3070">
        <v>700000</v>
      </c>
      <c r="AE807" s="3070">
        <v>0</v>
      </c>
      <c r="AI807" s="3070" t="s">
        <v>3227</v>
      </c>
      <c r="AJ807" s="3070">
        <v>0</v>
      </c>
      <c r="AK807" s="3070">
        <v>0</v>
      </c>
      <c r="AL807" s="3070">
        <v>0</v>
      </c>
      <c r="AM807" s="3070">
        <v>12607.81</v>
      </c>
      <c r="AN807" s="3070">
        <v>1189043</v>
      </c>
      <c r="AP807" s="3070">
        <v>1189043</v>
      </c>
      <c r="AQ807" s="3072">
        <v>45138</v>
      </c>
      <c r="AT807" s="3073">
        <v>45678</v>
      </c>
      <c r="AV807" s="3070" t="s">
        <v>9810</v>
      </c>
      <c r="AW807" s="3070" t="s">
        <v>9811</v>
      </c>
      <c r="AX807" s="3070" t="s">
        <v>9812</v>
      </c>
      <c r="AY807" s="3070" t="s">
        <v>3364</v>
      </c>
      <c r="BC807" s="3070" t="s">
        <v>3284</v>
      </c>
      <c r="BD807" s="3070" t="s">
        <v>3077</v>
      </c>
      <c r="BI807" s="3070" t="s">
        <v>3235</v>
      </c>
      <c r="BJ807" s="3070" t="s">
        <v>3296</v>
      </c>
      <c r="BL807" s="3070" t="s">
        <v>9813</v>
      </c>
      <c r="BM807" s="3075">
        <v>44440</v>
      </c>
      <c r="BN807" s="3070">
        <v>204</v>
      </c>
      <c r="BO807" s="3070" t="s">
        <v>3253</v>
      </c>
      <c r="BR807" s="3070">
        <v>65</v>
      </c>
      <c r="BS807" s="3070" t="s">
        <v>3238</v>
      </c>
      <c r="BT807" s="3070" t="s">
        <v>9714</v>
      </c>
      <c r="BZ807" s="3073">
        <v>44142.852083333331</v>
      </c>
      <c r="CA807" s="3070">
        <v>9</v>
      </c>
      <c r="CB807" s="3070" t="s">
        <v>9714</v>
      </c>
      <c r="CD807" s="3070" t="s">
        <v>3239</v>
      </c>
      <c r="CF807" s="3070" t="s">
        <v>3091</v>
      </c>
      <c r="CH807" s="3070" t="s">
        <v>3240</v>
      </c>
      <c r="CI807" s="3070">
        <v>0</v>
      </c>
      <c r="CK807" s="3070" t="s">
        <v>3364</v>
      </c>
      <c r="CL807" s="3070" t="s">
        <v>3364</v>
      </c>
      <c r="CM807" s="3070">
        <v>1090865.1399999999</v>
      </c>
      <c r="CV807" s="3070" t="s">
        <v>3246</v>
      </c>
      <c r="CW807" s="3070" t="s">
        <v>9814</v>
      </c>
      <c r="CX807" s="3070" t="s">
        <v>3267</v>
      </c>
      <c r="CZ807" s="3070">
        <v>213894.57</v>
      </c>
      <c r="DA807" s="3070">
        <v>159426.93</v>
      </c>
      <c r="DB807" s="3070">
        <v>0</v>
      </c>
      <c r="DC807" s="3070">
        <v>0</v>
      </c>
      <c r="DD807" s="3070">
        <v>3290547602</v>
      </c>
      <c r="DE807" s="3070">
        <v>2764253109</v>
      </c>
      <c r="DF807" s="3070">
        <v>1464966739</v>
      </c>
      <c r="DG807" s="3070">
        <v>14938370</v>
      </c>
      <c r="DH807" s="3070">
        <v>1284348000</v>
      </c>
      <c r="DI807" s="3070">
        <v>1278128000</v>
      </c>
      <c r="DJ807" s="3070">
        <v>6220000</v>
      </c>
      <c r="DK807" s="3070">
        <v>0</v>
      </c>
      <c r="DL807" s="3070">
        <v>0</v>
      </c>
      <c r="DM807" s="3070">
        <v>25491817.620000001</v>
      </c>
      <c r="DN807" s="3070">
        <v>2764253109</v>
      </c>
      <c r="DP807" s="3070">
        <v>2764253109</v>
      </c>
    </row>
    <row r="808" spans="1:120">
      <c r="A808" s="3070">
        <v>807</v>
      </c>
      <c r="B808" s="3070" t="s">
        <v>3224</v>
      </c>
      <c r="C808" s="3070">
        <v>9</v>
      </c>
      <c r="E808" s="3070">
        <v>1301</v>
      </c>
      <c r="F808" s="3070" t="s">
        <v>9815</v>
      </c>
      <c r="G808" s="3070" t="s">
        <v>9816</v>
      </c>
      <c r="H808" s="3070">
        <v>1186028</v>
      </c>
      <c r="I808" s="3070">
        <v>1186028</v>
      </c>
      <c r="J808" s="3070">
        <v>94.31</v>
      </c>
      <c r="K808" s="3070">
        <v>66.5</v>
      </c>
      <c r="L808" s="3070">
        <v>0</v>
      </c>
      <c r="M808" s="3070">
        <v>0</v>
      </c>
      <c r="N808" s="3070">
        <v>15644.44</v>
      </c>
      <c r="O808" s="3070">
        <v>1475427</v>
      </c>
      <c r="P808" s="3070">
        <v>12575.85</v>
      </c>
      <c r="Q808" s="3070">
        <v>1186028</v>
      </c>
      <c r="R808" s="3070" t="s">
        <v>3227</v>
      </c>
      <c r="S808" s="3070" t="s">
        <v>9817</v>
      </c>
      <c r="T808" s="3070" t="s">
        <v>3229</v>
      </c>
      <c r="V808" s="3070" t="s">
        <v>3230</v>
      </c>
      <c r="Y808" s="3070">
        <v>500000</v>
      </c>
      <c r="Z808" s="3070">
        <v>500000</v>
      </c>
      <c r="AA808" s="3070">
        <v>1186028</v>
      </c>
      <c r="AB808" s="3070">
        <v>0</v>
      </c>
      <c r="AC808" s="3070">
        <v>0</v>
      </c>
      <c r="AD808" s="3070">
        <v>0</v>
      </c>
      <c r="AE808" s="3070">
        <v>0</v>
      </c>
      <c r="AI808" s="3070" t="s">
        <v>3227</v>
      </c>
      <c r="AJ808" s="3070">
        <v>0</v>
      </c>
      <c r="AK808" s="3070">
        <v>0</v>
      </c>
      <c r="AL808" s="3070">
        <v>0</v>
      </c>
      <c r="AM808" s="3070">
        <v>12575.85</v>
      </c>
      <c r="AN808" s="3070">
        <v>1186028</v>
      </c>
      <c r="AP808" s="3070">
        <v>1186028</v>
      </c>
      <c r="AQ808" s="3072">
        <v>45138</v>
      </c>
      <c r="AT808" s="3073">
        <v>45678</v>
      </c>
      <c r="AV808" s="3070" t="s">
        <v>9818</v>
      </c>
      <c r="AW808" s="3070" t="s">
        <v>9819</v>
      </c>
      <c r="AX808" s="3070" t="s">
        <v>9820</v>
      </c>
      <c r="AY808" s="3070" t="s">
        <v>3497</v>
      </c>
      <c r="BC808" s="3070" t="s">
        <v>3347</v>
      </c>
      <c r="BD808" s="3070" t="s">
        <v>3077</v>
      </c>
      <c r="BI808" s="3070" t="s">
        <v>3235</v>
      </c>
      <c r="BJ808" s="3070" t="s">
        <v>3328</v>
      </c>
      <c r="BL808" s="3070" t="s">
        <v>9821</v>
      </c>
      <c r="BM808" s="3075">
        <v>44440</v>
      </c>
      <c r="BN808" s="3070">
        <v>301</v>
      </c>
      <c r="BR808" s="3070">
        <v>4</v>
      </c>
      <c r="BS808" s="3070" t="s">
        <v>3238</v>
      </c>
      <c r="BT808" s="3070" t="s">
        <v>9714</v>
      </c>
      <c r="BZ808" s="3073">
        <v>44142.633333333331</v>
      </c>
      <c r="CA808" s="3070">
        <v>9</v>
      </c>
      <c r="CB808" s="3070" t="s">
        <v>9714</v>
      </c>
      <c r="CD808" s="3070" t="s">
        <v>3239</v>
      </c>
      <c r="CF808" s="3070" t="s">
        <v>3091</v>
      </c>
      <c r="CH808" s="3070" t="s">
        <v>3240</v>
      </c>
      <c r="CI808" s="3070">
        <v>0</v>
      </c>
      <c r="CK808" s="3070" t="s">
        <v>3497</v>
      </c>
      <c r="CL808" s="3070" t="s">
        <v>3497</v>
      </c>
      <c r="CM808" s="3070">
        <v>1088099.08</v>
      </c>
      <c r="CV808" s="3070" t="s">
        <v>3229</v>
      </c>
      <c r="CW808" s="3070" t="s">
        <v>9822</v>
      </c>
      <c r="CX808" s="3070" t="s">
        <v>3242</v>
      </c>
      <c r="CZ808" s="3070">
        <v>213894.57</v>
      </c>
      <c r="DA808" s="3070">
        <v>159426.93</v>
      </c>
      <c r="DB808" s="3070">
        <v>0</v>
      </c>
      <c r="DC808" s="3070">
        <v>0</v>
      </c>
      <c r="DD808" s="3070">
        <v>3290547602</v>
      </c>
      <c r="DE808" s="3070">
        <v>2764253109</v>
      </c>
      <c r="DF808" s="3070">
        <v>1464966739</v>
      </c>
      <c r="DG808" s="3070">
        <v>14938370</v>
      </c>
      <c r="DH808" s="3070">
        <v>1284348000</v>
      </c>
      <c r="DI808" s="3070">
        <v>1278128000</v>
      </c>
      <c r="DJ808" s="3070">
        <v>6220000</v>
      </c>
      <c r="DK808" s="3070">
        <v>0</v>
      </c>
      <c r="DL808" s="3070">
        <v>0</v>
      </c>
      <c r="DM808" s="3070">
        <v>25491817.620000001</v>
      </c>
      <c r="DN808" s="3070">
        <v>2764253109</v>
      </c>
      <c r="DP808" s="3070">
        <v>2764253109</v>
      </c>
    </row>
    <row r="809" spans="1:120">
      <c r="A809" s="3070">
        <v>808</v>
      </c>
      <c r="B809" s="3070" t="s">
        <v>3224</v>
      </c>
      <c r="C809" s="3070">
        <v>9</v>
      </c>
      <c r="E809" s="3070">
        <v>1302</v>
      </c>
      <c r="F809" s="3070" t="s">
        <v>9823</v>
      </c>
      <c r="G809" s="3070" t="s">
        <v>9824</v>
      </c>
      <c r="H809" s="3070">
        <v>1193525</v>
      </c>
      <c r="I809" s="3070">
        <v>1193525</v>
      </c>
      <c r="J809" s="3070">
        <v>94.31</v>
      </c>
      <c r="K809" s="3070">
        <v>66.5</v>
      </c>
      <c r="L809" s="3070">
        <v>0</v>
      </c>
      <c r="M809" s="3070">
        <v>0</v>
      </c>
      <c r="N809" s="3070">
        <v>15594.44</v>
      </c>
      <c r="O809" s="3070">
        <v>1470712</v>
      </c>
      <c r="P809" s="3070">
        <v>12655.34</v>
      </c>
      <c r="Q809" s="3070">
        <v>1193525</v>
      </c>
      <c r="R809" s="3070" t="s">
        <v>3227</v>
      </c>
      <c r="S809" s="3070" t="s">
        <v>9825</v>
      </c>
      <c r="T809" s="3070" t="s">
        <v>3258</v>
      </c>
      <c r="U809" s="3070" t="s">
        <v>3259</v>
      </c>
      <c r="V809" s="3070" t="s">
        <v>3230</v>
      </c>
      <c r="Y809" s="3070">
        <v>563525</v>
      </c>
      <c r="Z809" s="3070">
        <v>563525</v>
      </c>
      <c r="AA809" s="3070">
        <v>563525</v>
      </c>
      <c r="AB809" s="3070">
        <v>0</v>
      </c>
      <c r="AC809" s="3070">
        <v>630000</v>
      </c>
      <c r="AD809" s="3070">
        <v>630000</v>
      </c>
      <c r="AE809" s="3070">
        <v>0</v>
      </c>
      <c r="AI809" s="3070" t="s">
        <v>3227</v>
      </c>
      <c r="AJ809" s="3070">
        <v>0</v>
      </c>
      <c r="AK809" s="3070">
        <v>0</v>
      </c>
      <c r="AL809" s="3070">
        <v>0</v>
      </c>
      <c r="AM809" s="3070">
        <v>12655.34</v>
      </c>
      <c r="AN809" s="3070">
        <v>1193525</v>
      </c>
      <c r="AP809" s="3070">
        <v>1193525</v>
      </c>
      <c r="AQ809" s="3072">
        <v>45138</v>
      </c>
      <c r="AT809" s="3073">
        <v>45678</v>
      </c>
      <c r="AV809" s="3070" t="s">
        <v>9826</v>
      </c>
      <c r="AW809" s="3070" t="s">
        <v>9827</v>
      </c>
      <c r="AX809" s="3070" t="s">
        <v>9828</v>
      </c>
      <c r="AY809" s="3070" t="s">
        <v>3233</v>
      </c>
      <c r="BC809" s="3070" t="s">
        <v>3263</v>
      </c>
      <c r="BD809" s="3070" t="s">
        <v>3077</v>
      </c>
      <c r="BI809" s="3070" t="s">
        <v>3235</v>
      </c>
      <c r="BJ809" s="3070" t="s">
        <v>3285</v>
      </c>
      <c r="BL809" s="3070" t="s">
        <v>9829</v>
      </c>
      <c r="BM809" s="3075">
        <v>44440</v>
      </c>
      <c r="BN809" s="3070">
        <v>302</v>
      </c>
      <c r="BO809" s="3070" t="s">
        <v>3253</v>
      </c>
      <c r="BP809" s="3070" t="s">
        <v>3253</v>
      </c>
      <c r="BR809" s="3070">
        <v>384</v>
      </c>
      <c r="BS809" s="3070" t="s">
        <v>3238</v>
      </c>
      <c r="BT809" s="3070" t="s">
        <v>9714</v>
      </c>
      <c r="BZ809" s="3073">
        <v>44142.859722222223</v>
      </c>
      <c r="CA809" s="3070">
        <v>9</v>
      </c>
      <c r="CB809" s="3070" t="s">
        <v>9714</v>
      </c>
      <c r="CD809" s="3070" t="s">
        <v>3239</v>
      </c>
      <c r="CF809" s="3070" t="s">
        <v>3091</v>
      </c>
      <c r="CH809" s="3070" t="s">
        <v>3240</v>
      </c>
      <c r="CI809" s="3070">
        <v>0</v>
      </c>
      <c r="CJ809" s="3070" t="s">
        <v>3259</v>
      </c>
      <c r="CK809" s="3070" t="s">
        <v>3233</v>
      </c>
      <c r="CL809" s="3070" t="s">
        <v>3233</v>
      </c>
      <c r="CM809" s="3070">
        <v>1094977.06</v>
      </c>
      <c r="CV809" s="3070" t="s">
        <v>3258</v>
      </c>
      <c r="CW809" s="3070" t="s">
        <v>9830</v>
      </c>
      <c r="CX809" s="3070" t="s">
        <v>3267</v>
      </c>
      <c r="CZ809" s="3070">
        <v>213894.57</v>
      </c>
      <c r="DA809" s="3070">
        <v>159426.93</v>
      </c>
      <c r="DB809" s="3070">
        <v>0</v>
      </c>
      <c r="DC809" s="3070">
        <v>0</v>
      </c>
      <c r="DD809" s="3070">
        <v>3290547602</v>
      </c>
      <c r="DE809" s="3070">
        <v>2764253109</v>
      </c>
      <c r="DF809" s="3070">
        <v>1464966739</v>
      </c>
      <c r="DG809" s="3070">
        <v>14938370</v>
      </c>
      <c r="DH809" s="3070">
        <v>1284348000</v>
      </c>
      <c r="DI809" s="3070">
        <v>1278128000</v>
      </c>
      <c r="DJ809" s="3070">
        <v>6220000</v>
      </c>
      <c r="DK809" s="3070">
        <v>0</v>
      </c>
      <c r="DL809" s="3070">
        <v>0</v>
      </c>
      <c r="DM809" s="3070">
        <v>25491817.620000001</v>
      </c>
      <c r="DN809" s="3070">
        <v>2764253109</v>
      </c>
      <c r="DP809" s="3070">
        <v>2764253109</v>
      </c>
    </row>
    <row r="810" spans="1:120">
      <c r="A810" s="3070">
        <v>809</v>
      </c>
      <c r="B810" s="3070" t="s">
        <v>3224</v>
      </c>
      <c r="C810" s="3070">
        <v>9</v>
      </c>
      <c r="E810" s="3070">
        <v>1303</v>
      </c>
      <c r="F810" s="3070" t="s">
        <v>9831</v>
      </c>
      <c r="G810" s="3070" t="s">
        <v>9832</v>
      </c>
      <c r="H810" s="3070">
        <v>1259499</v>
      </c>
      <c r="I810" s="3070">
        <v>1259499</v>
      </c>
      <c r="J810" s="3070">
        <v>94.31</v>
      </c>
      <c r="K810" s="3070">
        <v>66.5</v>
      </c>
      <c r="L810" s="3070">
        <v>0</v>
      </c>
      <c r="M810" s="3070">
        <v>0</v>
      </c>
      <c r="N810" s="3070">
        <v>15594.44</v>
      </c>
      <c r="O810" s="3070">
        <v>1470712</v>
      </c>
      <c r="P810" s="3070">
        <v>13354.88</v>
      </c>
      <c r="Q810" s="3070">
        <v>1259499</v>
      </c>
      <c r="R810" s="3070" t="s">
        <v>3227</v>
      </c>
      <c r="S810" s="3070" t="s">
        <v>9833</v>
      </c>
      <c r="T810" s="3070" t="s">
        <v>3425</v>
      </c>
      <c r="V810" s="3070" t="s">
        <v>3230</v>
      </c>
      <c r="Y810" s="3070">
        <v>759499</v>
      </c>
      <c r="Z810" s="3070">
        <v>151140</v>
      </c>
      <c r="AA810" s="3070">
        <v>759499</v>
      </c>
      <c r="AB810" s="3070">
        <v>0</v>
      </c>
      <c r="AC810" s="3070">
        <v>500000</v>
      </c>
      <c r="AD810" s="3070">
        <v>500000</v>
      </c>
      <c r="AE810" s="3070">
        <v>0</v>
      </c>
      <c r="AI810" s="3070" t="s">
        <v>3227</v>
      </c>
      <c r="AJ810" s="3070">
        <v>0</v>
      </c>
      <c r="AK810" s="3070">
        <v>0</v>
      </c>
      <c r="AL810" s="3070">
        <v>0</v>
      </c>
      <c r="AM810" s="3070">
        <v>13354.88</v>
      </c>
      <c r="AN810" s="3070">
        <v>1259499</v>
      </c>
      <c r="AP810" s="3070">
        <v>1259499</v>
      </c>
      <c r="AQ810" s="3072">
        <v>45138</v>
      </c>
      <c r="AT810" s="3073">
        <v>45678</v>
      </c>
      <c r="AV810" s="3074">
        <v>3.21E+17</v>
      </c>
      <c r="AW810" s="3070" t="s">
        <v>9834</v>
      </c>
      <c r="AX810" s="3070" t="s">
        <v>9835</v>
      </c>
      <c r="AY810" s="3070" t="s">
        <v>3393</v>
      </c>
      <c r="BC810" s="3070" t="s">
        <v>9836</v>
      </c>
      <c r="BD810" s="3070" t="s">
        <v>3077</v>
      </c>
      <c r="BI810" s="3070" t="s">
        <v>3235</v>
      </c>
      <c r="BL810" s="3070" t="s">
        <v>9837</v>
      </c>
      <c r="BM810" s="3075">
        <v>44440</v>
      </c>
      <c r="BN810" s="3070">
        <v>303</v>
      </c>
      <c r="BP810" s="3070" t="s">
        <v>3253</v>
      </c>
      <c r="BR810" s="3070">
        <v>0</v>
      </c>
      <c r="BS810" s="3070" t="s">
        <v>3238</v>
      </c>
      <c r="BT810" s="3070" t="s">
        <v>9714</v>
      </c>
      <c r="BZ810" s="3073">
        <v>44159.6</v>
      </c>
      <c r="CA810" s="3070">
        <v>9</v>
      </c>
      <c r="CB810" s="3070" t="s">
        <v>9714</v>
      </c>
      <c r="CD810" s="3070" t="s">
        <v>3239</v>
      </c>
      <c r="CF810" s="3070" t="s">
        <v>3091</v>
      </c>
      <c r="CH810" s="3070" t="s">
        <v>3240</v>
      </c>
      <c r="CI810" s="3070">
        <v>0</v>
      </c>
      <c r="CJ810" s="3070" t="s">
        <v>3259</v>
      </c>
      <c r="CK810" s="3070" t="s">
        <v>3393</v>
      </c>
      <c r="CL810" s="3070" t="s">
        <v>3393</v>
      </c>
      <c r="CM810" s="3070">
        <v>1155503.67</v>
      </c>
      <c r="CV810" s="3070" t="s">
        <v>3425</v>
      </c>
      <c r="CW810" s="3070" t="s">
        <v>9838</v>
      </c>
      <c r="CX810" s="3070" t="s">
        <v>3242</v>
      </c>
      <c r="CZ810" s="3070">
        <v>213894.57</v>
      </c>
      <c r="DA810" s="3070">
        <v>159426.93</v>
      </c>
      <c r="DB810" s="3070">
        <v>0</v>
      </c>
      <c r="DC810" s="3070">
        <v>0</v>
      </c>
      <c r="DD810" s="3070">
        <v>3290547602</v>
      </c>
      <c r="DE810" s="3070">
        <v>2764253109</v>
      </c>
      <c r="DF810" s="3070">
        <v>1464966739</v>
      </c>
      <c r="DG810" s="3070">
        <v>14938370</v>
      </c>
      <c r="DH810" s="3070">
        <v>1284348000</v>
      </c>
      <c r="DI810" s="3070">
        <v>1278128000</v>
      </c>
      <c r="DJ810" s="3070">
        <v>6220000</v>
      </c>
      <c r="DK810" s="3070">
        <v>0</v>
      </c>
      <c r="DL810" s="3070">
        <v>0</v>
      </c>
      <c r="DM810" s="3070">
        <v>25491817.620000001</v>
      </c>
      <c r="DN810" s="3070">
        <v>2764253109</v>
      </c>
      <c r="DP810" s="3070">
        <v>2764253109</v>
      </c>
    </row>
    <row r="811" spans="1:120">
      <c r="A811" s="3070">
        <v>810</v>
      </c>
      <c r="B811" s="3070" t="s">
        <v>3224</v>
      </c>
      <c r="C811" s="3070">
        <v>9</v>
      </c>
      <c r="E811" s="3070">
        <v>1304</v>
      </c>
      <c r="F811" s="3070" t="s">
        <v>9839</v>
      </c>
      <c r="G811" s="3070" t="s">
        <v>9840</v>
      </c>
      <c r="H811" s="3070">
        <v>1189043</v>
      </c>
      <c r="I811" s="3070">
        <v>1189043</v>
      </c>
      <c r="J811" s="3070">
        <v>94.31</v>
      </c>
      <c r="K811" s="3070">
        <v>66.5</v>
      </c>
      <c r="L811" s="3070">
        <v>0</v>
      </c>
      <c r="M811" s="3070">
        <v>0</v>
      </c>
      <c r="N811" s="3070">
        <v>15544.44</v>
      </c>
      <c r="O811" s="3070">
        <v>1465996</v>
      </c>
      <c r="P811" s="3070">
        <v>12607.81</v>
      </c>
      <c r="Q811" s="3070">
        <v>1189043</v>
      </c>
      <c r="R811" s="3070" t="s">
        <v>3227</v>
      </c>
      <c r="S811" s="3070" t="s">
        <v>9841</v>
      </c>
      <c r="T811" s="3070" t="s">
        <v>3246</v>
      </c>
      <c r="U811" s="3070" t="s">
        <v>3247</v>
      </c>
      <c r="V811" s="3070" t="s">
        <v>3230</v>
      </c>
      <c r="Y811" s="3070">
        <v>509043</v>
      </c>
      <c r="Z811" s="3070">
        <v>509043</v>
      </c>
      <c r="AA811" s="3070">
        <v>509043</v>
      </c>
      <c r="AB811" s="3070">
        <v>0</v>
      </c>
      <c r="AC811" s="3070">
        <v>680000</v>
      </c>
      <c r="AD811" s="3070">
        <v>680000</v>
      </c>
      <c r="AE811" s="3070">
        <v>0</v>
      </c>
      <c r="AI811" s="3070" t="s">
        <v>3227</v>
      </c>
      <c r="AJ811" s="3070">
        <v>0</v>
      </c>
      <c r="AK811" s="3070">
        <v>0</v>
      </c>
      <c r="AL811" s="3070">
        <v>0</v>
      </c>
      <c r="AM811" s="3070">
        <v>12607.81</v>
      </c>
      <c r="AN811" s="3070">
        <v>1189043</v>
      </c>
      <c r="AP811" s="3070">
        <v>1189043</v>
      </c>
      <c r="AQ811" s="3072">
        <v>45138</v>
      </c>
      <c r="AT811" s="3073">
        <v>45678</v>
      </c>
      <c r="AV811" s="3070" t="s">
        <v>9842</v>
      </c>
      <c r="AW811" s="3070" t="s">
        <v>9843</v>
      </c>
      <c r="AX811" s="3070" t="s">
        <v>9844</v>
      </c>
      <c r="AY811" s="3070" t="s">
        <v>3632</v>
      </c>
      <c r="BC811" s="3070" t="s">
        <v>3284</v>
      </c>
      <c r="BD811" s="3070" t="s">
        <v>3077</v>
      </c>
      <c r="BI811" s="3070" t="s">
        <v>3235</v>
      </c>
      <c r="BJ811" s="3070" t="s">
        <v>3236</v>
      </c>
      <c r="BL811" s="3070" t="s">
        <v>9845</v>
      </c>
      <c r="BM811" s="3075">
        <v>44440</v>
      </c>
      <c r="BN811" s="3070">
        <v>304</v>
      </c>
      <c r="BO811" s="3070" t="s">
        <v>3253</v>
      </c>
      <c r="BR811" s="3070">
        <v>0</v>
      </c>
      <c r="BS811" s="3070" t="s">
        <v>3238</v>
      </c>
      <c r="BT811" s="3070" t="s">
        <v>9714</v>
      </c>
      <c r="BZ811" s="3073">
        <v>44150.518055555556</v>
      </c>
      <c r="CA811" s="3070">
        <v>9</v>
      </c>
      <c r="CB811" s="3070" t="s">
        <v>9714</v>
      </c>
      <c r="CD811" s="3070" t="s">
        <v>3239</v>
      </c>
      <c r="CF811" s="3070" t="s">
        <v>3091</v>
      </c>
      <c r="CH811" s="3070" t="s">
        <v>3240</v>
      </c>
      <c r="CI811" s="3070">
        <v>0</v>
      </c>
      <c r="CK811" s="3070" t="s">
        <v>3632</v>
      </c>
      <c r="CL811" s="3070" t="s">
        <v>3632</v>
      </c>
      <c r="CM811" s="3070">
        <v>1090865.1399999999</v>
      </c>
      <c r="CV811" s="3070" t="s">
        <v>3246</v>
      </c>
      <c r="CW811" s="3070" t="s">
        <v>9846</v>
      </c>
      <c r="CZ811" s="3070">
        <v>213894.57</v>
      </c>
      <c r="DA811" s="3070">
        <v>159426.93</v>
      </c>
      <c r="DB811" s="3070">
        <v>0</v>
      </c>
      <c r="DC811" s="3070">
        <v>0</v>
      </c>
      <c r="DD811" s="3070">
        <v>3290547602</v>
      </c>
      <c r="DE811" s="3070">
        <v>2764253109</v>
      </c>
      <c r="DF811" s="3070">
        <v>1464966739</v>
      </c>
      <c r="DG811" s="3070">
        <v>14938370</v>
      </c>
      <c r="DH811" s="3070">
        <v>1284348000</v>
      </c>
      <c r="DI811" s="3070">
        <v>1278128000</v>
      </c>
      <c r="DJ811" s="3070">
        <v>6220000</v>
      </c>
      <c r="DK811" s="3070">
        <v>0</v>
      </c>
      <c r="DL811" s="3070">
        <v>0</v>
      </c>
      <c r="DM811" s="3070">
        <v>25491817.620000001</v>
      </c>
      <c r="DN811" s="3070">
        <v>2764253109</v>
      </c>
      <c r="DP811" s="3070">
        <v>2764253109</v>
      </c>
    </row>
    <row r="812" spans="1:120">
      <c r="A812" s="3070">
        <v>811</v>
      </c>
      <c r="B812" s="3070" t="s">
        <v>3224</v>
      </c>
      <c r="C812" s="3070">
        <v>9</v>
      </c>
      <c r="E812" s="3070">
        <v>1401</v>
      </c>
      <c r="F812" s="3070" t="s">
        <v>9847</v>
      </c>
      <c r="G812" s="3070" t="s">
        <v>9848</v>
      </c>
      <c r="H812" s="3070">
        <v>1196142</v>
      </c>
      <c r="I812" s="3070">
        <v>1196142</v>
      </c>
      <c r="J812" s="3070">
        <v>94.31</v>
      </c>
      <c r="K812" s="3070">
        <v>66.5</v>
      </c>
      <c r="L812" s="3070">
        <v>0</v>
      </c>
      <c r="M812" s="3070">
        <v>0</v>
      </c>
      <c r="N812" s="3070">
        <v>15544.44</v>
      </c>
      <c r="O812" s="3070">
        <v>1465996</v>
      </c>
      <c r="P812" s="3070">
        <v>12683.09</v>
      </c>
      <c r="Q812" s="3070">
        <v>1196142</v>
      </c>
      <c r="R812" s="3070" t="s">
        <v>3227</v>
      </c>
      <c r="S812" s="3070" t="s">
        <v>9849</v>
      </c>
      <c r="T812" s="3070" t="s">
        <v>3494</v>
      </c>
      <c r="V812" s="3070" t="s">
        <v>3230</v>
      </c>
      <c r="Y812" s="3070">
        <v>119614</v>
      </c>
      <c r="Z812" s="3070">
        <v>119614</v>
      </c>
      <c r="AA812" s="3070">
        <v>1196142</v>
      </c>
      <c r="AB812" s="3070">
        <v>0</v>
      </c>
      <c r="AC812" s="3070">
        <v>0</v>
      </c>
      <c r="AD812" s="3070">
        <v>0</v>
      </c>
      <c r="AE812" s="3070">
        <v>0</v>
      </c>
      <c r="AI812" s="3070" t="s">
        <v>3227</v>
      </c>
      <c r="AJ812" s="3070">
        <v>0</v>
      </c>
      <c r="AK812" s="3070">
        <v>0</v>
      </c>
      <c r="AL812" s="3070">
        <v>0</v>
      </c>
      <c r="AM812" s="3070">
        <v>12683.09</v>
      </c>
      <c r="AN812" s="3070">
        <v>1196142</v>
      </c>
      <c r="AP812" s="3070">
        <v>1196142</v>
      </c>
      <c r="AQ812" s="3072">
        <v>45138</v>
      </c>
      <c r="AT812" s="3073">
        <v>45678</v>
      </c>
      <c r="AV812" s="3074">
        <v>3.21E+17</v>
      </c>
      <c r="AW812" s="3070" t="s">
        <v>9850</v>
      </c>
      <c r="AX812" s="3070" t="s">
        <v>9851</v>
      </c>
      <c r="AY812" s="3070" t="s">
        <v>3892</v>
      </c>
      <c r="BA812" s="3070" t="s">
        <v>4056</v>
      </c>
      <c r="BC812" s="3070" t="s">
        <v>9852</v>
      </c>
      <c r="BD812" s="3070" t="s">
        <v>3077</v>
      </c>
      <c r="BI812" s="3070" t="s">
        <v>3295</v>
      </c>
      <c r="BL812" s="3070" t="s">
        <v>9853</v>
      </c>
      <c r="BM812" s="3075">
        <v>44440</v>
      </c>
      <c r="BN812" s="3070">
        <v>401</v>
      </c>
      <c r="BR812" s="3070">
        <v>16</v>
      </c>
      <c r="BS812" s="3070" t="s">
        <v>3238</v>
      </c>
      <c r="BT812" s="3070" t="s">
        <v>9714</v>
      </c>
      <c r="BU812" s="3070" t="s">
        <v>4056</v>
      </c>
      <c r="BV812" s="3070" t="s">
        <v>9854</v>
      </c>
      <c r="BZ812" s="3073">
        <v>44192.711805555555</v>
      </c>
      <c r="CA812" s="3070">
        <v>9</v>
      </c>
      <c r="CB812" s="3070" t="s">
        <v>9714</v>
      </c>
      <c r="CD812" s="3070" t="s">
        <v>3239</v>
      </c>
      <c r="CF812" s="3070" t="s">
        <v>3091</v>
      </c>
      <c r="CH812" s="3070" t="s">
        <v>3240</v>
      </c>
      <c r="CI812" s="3070">
        <v>0</v>
      </c>
      <c r="CK812" s="3070" t="s">
        <v>3892</v>
      </c>
      <c r="CL812" s="3070" t="s">
        <v>4056</v>
      </c>
      <c r="CM812" s="3070">
        <v>1097377.98</v>
      </c>
      <c r="CV812" s="3070" t="s">
        <v>3494</v>
      </c>
      <c r="CW812" s="3070" t="s">
        <v>9855</v>
      </c>
      <c r="CZ812" s="3070">
        <v>213894.57</v>
      </c>
      <c r="DA812" s="3070">
        <v>159426.93</v>
      </c>
      <c r="DB812" s="3070">
        <v>0</v>
      </c>
      <c r="DC812" s="3070">
        <v>0</v>
      </c>
      <c r="DD812" s="3070">
        <v>3290547602</v>
      </c>
      <c r="DE812" s="3070">
        <v>2764253109</v>
      </c>
      <c r="DF812" s="3070">
        <v>1464966739</v>
      </c>
      <c r="DG812" s="3070">
        <v>14938370</v>
      </c>
      <c r="DH812" s="3070">
        <v>1284348000</v>
      </c>
      <c r="DI812" s="3070">
        <v>1278128000</v>
      </c>
      <c r="DJ812" s="3070">
        <v>6220000</v>
      </c>
      <c r="DK812" s="3070">
        <v>0</v>
      </c>
      <c r="DL812" s="3070">
        <v>0</v>
      </c>
      <c r="DM812" s="3070">
        <v>25491817.620000001</v>
      </c>
      <c r="DN812" s="3070">
        <v>2764253109</v>
      </c>
      <c r="DP812" s="3070">
        <v>2764253109</v>
      </c>
    </row>
    <row r="813" spans="1:120">
      <c r="A813" s="3070">
        <v>812</v>
      </c>
      <c r="B813" s="3070" t="s">
        <v>3224</v>
      </c>
      <c r="C813" s="3070">
        <v>9</v>
      </c>
      <c r="E813" s="3070">
        <v>1402</v>
      </c>
      <c r="F813" s="3070" t="s">
        <v>9856</v>
      </c>
      <c r="G813" s="3070" t="s">
        <v>9857</v>
      </c>
      <c r="H813" s="3070">
        <v>1184560</v>
      </c>
      <c r="I813" s="3070">
        <v>1184560</v>
      </c>
      <c r="J813" s="3070">
        <v>94.31</v>
      </c>
      <c r="K813" s="3070">
        <v>66.5</v>
      </c>
      <c r="L813" s="3070">
        <v>0</v>
      </c>
      <c r="M813" s="3070">
        <v>0</v>
      </c>
      <c r="N813" s="3070">
        <v>15494.44</v>
      </c>
      <c r="O813" s="3070">
        <v>1461281</v>
      </c>
      <c r="P813" s="3070">
        <v>12560.28</v>
      </c>
      <c r="Q813" s="3070">
        <v>1184560</v>
      </c>
      <c r="R813" s="3070" t="s">
        <v>3227</v>
      </c>
      <c r="S813" s="3070" t="s">
        <v>9858</v>
      </c>
      <c r="T813" s="3070" t="s">
        <v>3246</v>
      </c>
      <c r="U813" s="3070" t="s">
        <v>3247</v>
      </c>
      <c r="V813" s="3070" t="s">
        <v>3230</v>
      </c>
      <c r="Y813" s="3070">
        <v>364560</v>
      </c>
      <c r="Z813" s="3070">
        <v>364560</v>
      </c>
      <c r="AA813" s="3070">
        <v>364560</v>
      </c>
      <c r="AB813" s="3070">
        <v>0</v>
      </c>
      <c r="AC813" s="3070">
        <v>820000</v>
      </c>
      <c r="AD813" s="3070">
        <v>820000</v>
      </c>
      <c r="AE813" s="3070">
        <v>0</v>
      </c>
      <c r="AI813" s="3070" t="s">
        <v>3227</v>
      </c>
      <c r="AJ813" s="3070">
        <v>0</v>
      </c>
      <c r="AK813" s="3070">
        <v>0</v>
      </c>
      <c r="AL813" s="3070">
        <v>0</v>
      </c>
      <c r="AM813" s="3070">
        <v>12560.28</v>
      </c>
      <c r="AN813" s="3070">
        <v>1184560</v>
      </c>
      <c r="AP813" s="3070">
        <v>1184560</v>
      </c>
      <c r="AQ813" s="3072">
        <v>45138</v>
      </c>
      <c r="AT813" s="3073">
        <v>45678</v>
      </c>
      <c r="AV813" s="3074">
        <v>3.21E+17</v>
      </c>
      <c r="AW813" s="3070" t="s">
        <v>9859</v>
      </c>
      <c r="AX813" s="3070" t="s">
        <v>9860</v>
      </c>
      <c r="AY813" s="3070" t="s">
        <v>3364</v>
      </c>
      <c r="BC813" s="3070" t="s">
        <v>3284</v>
      </c>
      <c r="BD813" s="3070" t="s">
        <v>3077</v>
      </c>
      <c r="BI813" s="3070" t="s">
        <v>3235</v>
      </c>
      <c r="BL813" s="3070" t="s">
        <v>9861</v>
      </c>
      <c r="BM813" s="3075">
        <v>44440</v>
      </c>
      <c r="BN813" s="3070">
        <v>402</v>
      </c>
      <c r="BO813" s="3070" t="s">
        <v>3253</v>
      </c>
      <c r="BR813" s="3070">
        <v>705</v>
      </c>
      <c r="BS813" s="3070" t="s">
        <v>3238</v>
      </c>
      <c r="BT813" s="3070" t="s">
        <v>9714</v>
      </c>
      <c r="BZ813" s="3073">
        <v>44142.86041666667</v>
      </c>
      <c r="CA813" s="3070">
        <v>9</v>
      </c>
      <c r="CB813" s="3070" t="s">
        <v>9714</v>
      </c>
      <c r="CD813" s="3070" t="s">
        <v>3239</v>
      </c>
      <c r="CF813" s="3070" t="s">
        <v>3091</v>
      </c>
      <c r="CH813" s="3070" t="s">
        <v>3240</v>
      </c>
      <c r="CI813" s="3070">
        <v>0</v>
      </c>
      <c r="CK813" s="3070" t="s">
        <v>3364</v>
      </c>
      <c r="CL813" s="3070" t="s">
        <v>3364</v>
      </c>
      <c r="CM813" s="3070">
        <v>1086752.29</v>
      </c>
      <c r="CV813" s="3070" t="s">
        <v>3246</v>
      </c>
      <c r="CW813" s="3070" t="s">
        <v>9862</v>
      </c>
      <c r="CZ813" s="3070">
        <v>213894.57</v>
      </c>
      <c r="DA813" s="3070">
        <v>159426.93</v>
      </c>
      <c r="DB813" s="3070">
        <v>0</v>
      </c>
      <c r="DC813" s="3070">
        <v>0</v>
      </c>
      <c r="DD813" s="3070">
        <v>3290547602</v>
      </c>
      <c r="DE813" s="3070">
        <v>2764253109</v>
      </c>
      <c r="DF813" s="3070">
        <v>1464966739</v>
      </c>
      <c r="DG813" s="3070">
        <v>14938370</v>
      </c>
      <c r="DH813" s="3070">
        <v>1284348000</v>
      </c>
      <c r="DI813" s="3070">
        <v>1278128000</v>
      </c>
      <c r="DJ813" s="3070">
        <v>6220000</v>
      </c>
      <c r="DK813" s="3070">
        <v>0</v>
      </c>
      <c r="DL813" s="3070">
        <v>0</v>
      </c>
      <c r="DM813" s="3070">
        <v>25491817.620000001</v>
      </c>
      <c r="DN813" s="3070">
        <v>2764253109</v>
      </c>
      <c r="DP813" s="3070">
        <v>2764253109</v>
      </c>
    </row>
    <row r="814" spans="1:120">
      <c r="A814" s="3070">
        <v>813</v>
      </c>
      <c r="B814" s="3070" t="s">
        <v>3224</v>
      </c>
      <c r="C814" s="3070">
        <v>9</v>
      </c>
      <c r="E814" s="3070">
        <v>1403</v>
      </c>
      <c r="F814" s="3070" t="s">
        <v>9863</v>
      </c>
      <c r="G814" s="3070" t="s">
        <v>9864</v>
      </c>
      <c r="H814" s="3070">
        <v>1184560</v>
      </c>
      <c r="I814" s="3070">
        <v>1184560</v>
      </c>
      <c r="J814" s="3070">
        <v>94.31</v>
      </c>
      <c r="K814" s="3070">
        <v>66.5</v>
      </c>
      <c r="L814" s="3070">
        <v>0</v>
      </c>
      <c r="M814" s="3070">
        <v>0</v>
      </c>
      <c r="N814" s="3070">
        <v>15494.44</v>
      </c>
      <c r="O814" s="3070">
        <v>1461281</v>
      </c>
      <c r="P814" s="3070">
        <v>12560.28</v>
      </c>
      <c r="Q814" s="3070">
        <v>1184560</v>
      </c>
      <c r="R814" s="3070" t="s">
        <v>3227</v>
      </c>
      <c r="S814" s="3070" t="s">
        <v>9865</v>
      </c>
      <c r="T814" s="3070" t="s">
        <v>3246</v>
      </c>
      <c r="U814" s="3070" t="s">
        <v>3247</v>
      </c>
      <c r="V814" s="3070" t="s">
        <v>3230</v>
      </c>
      <c r="Y814" s="3070">
        <v>364560</v>
      </c>
      <c r="Z814" s="3070">
        <v>364560</v>
      </c>
      <c r="AA814" s="3070">
        <v>364560</v>
      </c>
      <c r="AB814" s="3070">
        <v>0</v>
      </c>
      <c r="AC814" s="3070">
        <v>820000</v>
      </c>
      <c r="AD814" s="3070">
        <v>820000</v>
      </c>
      <c r="AE814" s="3070">
        <v>0</v>
      </c>
      <c r="AI814" s="3070" t="s">
        <v>3227</v>
      </c>
      <c r="AJ814" s="3070">
        <v>0</v>
      </c>
      <c r="AK814" s="3070">
        <v>0</v>
      </c>
      <c r="AL814" s="3070">
        <v>0</v>
      </c>
      <c r="AM814" s="3070">
        <v>12560.28</v>
      </c>
      <c r="AN814" s="3070">
        <v>1184560</v>
      </c>
      <c r="AP814" s="3070">
        <v>1184560</v>
      </c>
      <c r="AQ814" s="3072">
        <v>45138</v>
      </c>
      <c r="AT814" s="3073">
        <v>45678</v>
      </c>
      <c r="AV814" s="3070" t="s">
        <v>9866</v>
      </c>
      <c r="AW814" s="3070" t="s">
        <v>9867</v>
      </c>
      <c r="AX814" s="3070" t="s">
        <v>9868</v>
      </c>
      <c r="AY814" s="3070" t="s">
        <v>3306</v>
      </c>
      <c r="BC814" s="3070" t="s">
        <v>3284</v>
      </c>
      <c r="BD814" s="3070" t="s">
        <v>3077</v>
      </c>
      <c r="BI814" s="3070" t="s">
        <v>3235</v>
      </c>
      <c r="BJ814" s="3070" t="s">
        <v>3338</v>
      </c>
      <c r="BL814" s="3070" t="s">
        <v>9869</v>
      </c>
      <c r="BM814" s="3075">
        <v>44440</v>
      </c>
      <c r="BN814" s="3070">
        <v>403</v>
      </c>
      <c r="BO814" s="3070" t="s">
        <v>3253</v>
      </c>
      <c r="BR814" s="3070">
        <v>172</v>
      </c>
      <c r="BS814" s="3070" t="s">
        <v>3238</v>
      </c>
      <c r="BT814" s="3070" t="s">
        <v>9714</v>
      </c>
      <c r="BZ814" s="3073">
        <v>44142.848611111112</v>
      </c>
      <c r="CA814" s="3070">
        <v>9</v>
      </c>
      <c r="CB814" s="3070" t="s">
        <v>9714</v>
      </c>
      <c r="CD814" s="3070" t="s">
        <v>3239</v>
      </c>
      <c r="CF814" s="3070" t="s">
        <v>3091</v>
      </c>
      <c r="CH814" s="3070" t="s">
        <v>3240</v>
      </c>
      <c r="CI814" s="3070">
        <v>0</v>
      </c>
      <c r="CK814" s="3070" t="s">
        <v>3306</v>
      </c>
      <c r="CL814" s="3070" t="s">
        <v>3306</v>
      </c>
      <c r="CM814" s="3070">
        <v>1086752.29</v>
      </c>
      <c r="CV814" s="3070" t="s">
        <v>3246</v>
      </c>
      <c r="CW814" s="3070" t="s">
        <v>9870</v>
      </c>
      <c r="CZ814" s="3070">
        <v>213894.57</v>
      </c>
      <c r="DA814" s="3070">
        <v>159426.93</v>
      </c>
      <c r="DB814" s="3070">
        <v>0</v>
      </c>
      <c r="DC814" s="3070">
        <v>0</v>
      </c>
      <c r="DD814" s="3070">
        <v>3290547602</v>
      </c>
      <c r="DE814" s="3070">
        <v>2764253109</v>
      </c>
      <c r="DF814" s="3070">
        <v>1464966739</v>
      </c>
      <c r="DG814" s="3070">
        <v>14938370</v>
      </c>
      <c r="DH814" s="3070">
        <v>1284348000</v>
      </c>
      <c r="DI814" s="3070">
        <v>1278128000</v>
      </c>
      <c r="DJ814" s="3070">
        <v>6220000</v>
      </c>
      <c r="DK814" s="3070">
        <v>0</v>
      </c>
      <c r="DL814" s="3070">
        <v>0</v>
      </c>
      <c r="DM814" s="3070">
        <v>25491817.620000001</v>
      </c>
      <c r="DN814" s="3070">
        <v>2764253109</v>
      </c>
      <c r="DP814" s="3070">
        <v>2764253109</v>
      </c>
    </row>
    <row r="815" spans="1:120">
      <c r="A815" s="3070">
        <v>814</v>
      </c>
      <c r="B815" s="3070" t="s">
        <v>3224</v>
      </c>
      <c r="C815" s="3070">
        <v>9</v>
      </c>
      <c r="E815" s="3070">
        <v>1404</v>
      </c>
      <c r="F815" s="3070" t="s">
        <v>9871</v>
      </c>
      <c r="G815" s="3070" t="s">
        <v>9872</v>
      </c>
      <c r="H815" s="3070">
        <v>1180078</v>
      </c>
      <c r="I815" s="3070">
        <v>1180078</v>
      </c>
      <c r="J815" s="3070">
        <v>94.31</v>
      </c>
      <c r="K815" s="3070">
        <v>66.5</v>
      </c>
      <c r="L815" s="3070">
        <v>0</v>
      </c>
      <c r="M815" s="3070">
        <v>0</v>
      </c>
      <c r="N815" s="3070">
        <v>15444.44</v>
      </c>
      <c r="O815" s="3070">
        <v>1456565</v>
      </c>
      <c r="P815" s="3070">
        <v>12512.76</v>
      </c>
      <c r="Q815" s="3070">
        <v>1180078</v>
      </c>
      <c r="R815" s="3070" t="s">
        <v>3227</v>
      </c>
      <c r="S815" s="3070" t="s">
        <v>9873</v>
      </c>
      <c r="T815" s="3070" t="s">
        <v>3246</v>
      </c>
      <c r="U815" s="3070" t="s">
        <v>3467</v>
      </c>
      <c r="V815" s="3070" t="s">
        <v>3230</v>
      </c>
      <c r="Y815" s="3070">
        <v>880078</v>
      </c>
      <c r="Z815" s="3070">
        <v>880078</v>
      </c>
      <c r="AA815" s="3070">
        <v>880078</v>
      </c>
      <c r="AB815" s="3070">
        <v>0</v>
      </c>
      <c r="AC815" s="3070">
        <v>300000</v>
      </c>
      <c r="AD815" s="3070">
        <v>300000</v>
      </c>
      <c r="AE815" s="3070">
        <v>0</v>
      </c>
      <c r="AI815" s="3070" t="s">
        <v>3227</v>
      </c>
      <c r="AJ815" s="3070">
        <v>0</v>
      </c>
      <c r="AK815" s="3070">
        <v>0</v>
      </c>
      <c r="AL815" s="3070">
        <v>0</v>
      </c>
      <c r="AM815" s="3070">
        <v>12512.76</v>
      </c>
      <c r="AN815" s="3070">
        <v>1180078</v>
      </c>
      <c r="AP815" s="3070">
        <v>1180078</v>
      </c>
      <c r="AQ815" s="3072">
        <v>45138</v>
      </c>
      <c r="AT815" s="3073">
        <v>45678</v>
      </c>
      <c r="AV815" s="3070" t="s">
        <v>9874</v>
      </c>
      <c r="AW815" s="3070" t="s">
        <v>9875</v>
      </c>
      <c r="AX815" s="3070" t="s">
        <v>9876</v>
      </c>
      <c r="AY815" s="3070" t="s">
        <v>3632</v>
      </c>
      <c r="BC815" s="3070" t="s">
        <v>3284</v>
      </c>
      <c r="BD815" s="3070" t="s">
        <v>3077</v>
      </c>
      <c r="BI815" s="3070" t="s">
        <v>3235</v>
      </c>
      <c r="BJ815" s="3070" t="s">
        <v>3285</v>
      </c>
      <c r="BL815" s="3070" t="s">
        <v>9877</v>
      </c>
      <c r="BM815" s="3075">
        <v>44440</v>
      </c>
      <c r="BN815" s="3070">
        <v>404</v>
      </c>
      <c r="BO815" s="3070" t="s">
        <v>3253</v>
      </c>
      <c r="BR815" s="3070">
        <v>263</v>
      </c>
      <c r="BS815" s="3070" t="s">
        <v>3238</v>
      </c>
      <c r="BT815" s="3070" t="s">
        <v>9714</v>
      </c>
      <c r="BZ815" s="3073">
        <v>44142.853472222225</v>
      </c>
      <c r="CA815" s="3070">
        <v>9</v>
      </c>
      <c r="CB815" s="3070" t="s">
        <v>9714</v>
      </c>
      <c r="CD815" s="3070" t="s">
        <v>3239</v>
      </c>
      <c r="CF815" s="3070" t="s">
        <v>3091</v>
      </c>
      <c r="CH815" s="3070" t="s">
        <v>3240</v>
      </c>
      <c r="CI815" s="3070">
        <v>0</v>
      </c>
      <c r="CK815" s="3070" t="s">
        <v>3632</v>
      </c>
      <c r="CL815" s="3070" t="s">
        <v>3632</v>
      </c>
      <c r="CM815" s="3070">
        <v>1082640.3700000001</v>
      </c>
      <c r="CV815" s="3070" t="s">
        <v>3246</v>
      </c>
      <c r="CW815" s="3070" t="s">
        <v>9878</v>
      </c>
      <c r="CX815" s="3070" t="s">
        <v>3267</v>
      </c>
      <c r="CZ815" s="3070">
        <v>213894.57</v>
      </c>
      <c r="DA815" s="3070">
        <v>159426.93</v>
      </c>
      <c r="DB815" s="3070">
        <v>0</v>
      </c>
      <c r="DC815" s="3070">
        <v>0</v>
      </c>
      <c r="DD815" s="3070">
        <v>3290547602</v>
      </c>
      <c r="DE815" s="3070">
        <v>2764253109</v>
      </c>
      <c r="DF815" s="3070">
        <v>1464966739</v>
      </c>
      <c r="DG815" s="3070">
        <v>14938370</v>
      </c>
      <c r="DH815" s="3070">
        <v>1284348000</v>
      </c>
      <c r="DI815" s="3070">
        <v>1278128000</v>
      </c>
      <c r="DJ815" s="3070">
        <v>6220000</v>
      </c>
      <c r="DK815" s="3070">
        <v>0</v>
      </c>
      <c r="DL815" s="3070">
        <v>0</v>
      </c>
      <c r="DM815" s="3070">
        <v>25491817.620000001</v>
      </c>
      <c r="DN815" s="3070">
        <v>2764253109</v>
      </c>
      <c r="DP815" s="3070">
        <v>2764253109</v>
      </c>
    </row>
    <row r="816" spans="1:120">
      <c r="A816" s="3070">
        <v>815</v>
      </c>
      <c r="B816" s="3070" t="s">
        <v>3224</v>
      </c>
      <c r="C816" s="3070">
        <v>9</v>
      </c>
      <c r="E816" s="3070">
        <v>1501</v>
      </c>
      <c r="F816" s="3070" t="s">
        <v>9879</v>
      </c>
      <c r="G816" s="3070" t="s">
        <v>9880</v>
      </c>
      <c r="H816" s="3070">
        <v>1193525</v>
      </c>
      <c r="I816" s="3070">
        <v>1193525</v>
      </c>
      <c r="J816" s="3070">
        <v>94.31</v>
      </c>
      <c r="K816" s="3070">
        <v>66.5</v>
      </c>
      <c r="L816" s="3070">
        <v>0</v>
      </c>
      <c r="M816" s="3070">
        <v>0</v>
      </c>
      <c r="N816" s="3070">
        <v>15594.44</v>
      </c>
      <c r="O816" s="3070">
        <v>1470712</v>
      </c>
      <c r="P816" s="3070">
        <v>12655.34</v>
      </c>
      <c r="Q816" s="3070">
        <v>1193525</v>
      </c>
      <c r="R816" s="3070" t="s">
        <v>3227</v>
      </c>
      <c r="S816" s="3070" t="s">
        <v>9881</v>
      </c>
      <c r="T816" s="3070" t="s">
        <v>3246</v>
      </c>
      <c r="U816" s="3070" t="s">
        <v>3247</v>
      </c>
      <c r="V816" s="3070" t="s">
        <v>3230</v>
      </c>
      <c r="Y816" s="3070">
        <v>483525</v>
      </c>
      <c r="Z816" s="3070">
        <v>483525</v>
      </c>
      <c r="AA816" s="3070">
        <v>483525</v>
      </c>
      <c r="AB816" s="3070">
        <v>0</v>
      </c>
      <c r="AC816" s="3070">
        <v>710000</v>
      </c>
      <c r="AD816" s="3070">
        <v>710000</v>
      </c>
      <c r="AE816" s="3070">
        <v>0</v>
      </c>
      <c r="AI816" s="3070" t="s">
        <v>3227</v>
      </c>
      <c r="AJ816" s="3070">
        <v>0</v>
      </c>
      <c r="AK816" s="3070">
        <v>0</v>
      </c>
      <c r="AL816" s="3070">
        <v>0</v>
      </c>
      <c r="AM816" s="3070">
        <v>12655.34</v>
      </c>
      <c r="AN816" s="3070">
        <v>1193525</v>
      </c>
      <c r="AP816" s="3070">
        <v>1193525</v>
      </c>
      <c r="AQ816" s="3072">
        <v>45138</v>
      </c>
      <c r="AT816" s="3073">
        <v>45678</v>
      </c>
      <c r="AV816" s="3070" t="s">
        <v>9882</v>
      </c>
      <c r="AW816" s="3070" t="s">
        <v>9883</v>
      </c>
      <c r="AX816" s="3070" t="s">
        <v>9884</v>
      </c>
      <c r="AY816" s="3070" t="s">
        <v>3318</v>
      </c>
      <c r="BC816" s="3070" t="s">
        <v>3284</v>
      </c>
      <c r="BD816" s="3070" t="s">
        <v>3077</v>
      </c>
      <c r="BI816" s="3070" t="s">
        <v>3235</v>
      </c>
      <c r="BJ816" s="3070" t="s">
        <v>3598</v>
      </c>
      <c r="BL816" s="3070" t="s">
        <v>9885</v>
      </c>
      <c r="BM816" s="3075">
        <v>44440</v>
      </c>
      <c r="BN816" s="3070">
        <v>501</v>
      </c>
      <c r="BO816" s="3070" t="s">
        <v>3253</v>
      </c>
      <c r="BR816" s="3070">
        <v>856</v>
      </c>
      <c r="BS816" s="3070" t="s">
        <v>3238</v>
      </c>
      <c r="BT816" s="3070" t="s">
        <v>9714</v>
      </c>
      <c r="BZ816" s="3073">
        <v>44142.856249999997</v>
      </c>
      <c r="CA816" s="3070">
        <v>9</v>
      </c>
      <c r="CB816" s="3070" t="s">
        <v>9714</v>
      </c>
      <c r="CD816" s="3070" t="s">
        <v>3239</v>
      </c>
      <c r="CF816" s="3070" t="s">
        <v>3091</v>
      </c>
      <c r="CH816" s="3070" t="s">
        <v>3240</v>
      </c>
      <c r="CI816" s="3070">
        <v>0</v>
      </c>
      <c r="CK816" s="3070" t="s">
        <v>3318</v>
      </c>
      <c r="CL816" s="3070" t="s">
        <v>3318</v>
      </c>
      <c r="CM816" s="3070">
        <v>1094977.06</v>
      </c>
      <c r="CV816" s="3070" t="s">
        <v>3246</v>
      </c>
      <c r="CW816" s="3070" t="s">
        <v>9886</v>
      </c>
      <c r="CZ816" s="3070">
        <v>213894.57</v>
      </c>
      <c r="DA816" s="3070">
        <v>159426.93</v>
      </c>
      <c r="DB816" s="3070">
        <v>0</v>
      </c>
      <c r="DC816" s="3070">
        <v>0</v>
      </c>
      <c r="DD816" s="3070">
        <v>3290547602</v>
      </c>
      <c r="DE816" s="3070">
        <v>2764253109</v>
      </c>
      <c r="DF816" s="3070">
        <v>1464966739</v>
      </c>
      <c r="DG816" s="3070">
        <v>14938370</v>
      </c>
      <c r="DH816" s="3070">
        <v>1284348000</v>
      </c>
      <c r="DI816" s="3070">
        <v>1278128000</v>
      </c>
      <c r="DJ816" s="3070">
        <v>6220000</v>
      </c>
      <c r="DK816" s="3070">
        <v>0</v>
      </c>
      <c r="DL816" s="3070">
        <v>0</v>
      </c>
      <c r="DM816" s="3070">
        <v>25491817.620000001</v>
      </c>
      <c r="DN816" s="3070">
        <v>2764253109</v>
      </c>
      <c r="DP816" s="3070">
        <v>2764253109</v>
      </c>
    </row>
    <row r="817" spans="1:120">
      <c r="A817" s="3070">
        <v>816</v>
      </c>
      <c r="B817" s="3070" t="s">
        <v>3224</v>
      </c>
      <c r="C817" s="3070">
        <v>9</v>
      </c>
      <c r="E817" s="3070">
        <v>1502</v>
      </c>
      <c r="F817" s="3070" t="s">
        <v>9887</v>
      </c>
      <c r="G817" s="3070" t="s">
        <v>9888</v>
      </c>
      <c r="H817" s="3070">
        <v>1189043</v>
      </c>
      <c r="I817" s="3070">
        <v>1189043</v>
      </c>
      <c r="J817" s="3070">
        <v>94.31</v>
      </c>
      <c r="K817" s="3070">
        <v>66.5</v>
      </c>
      <c r="L817" s="3070">
        <v>0</v>
      </c>
      <c r="M817" s="3070">
        <v>0</v>
      </c>
      <c r="N817" s="3070">
        <v>15544.44</v>
      </c>
      <c r="O817" s="3070">
        <v>1465996</v>
      </c>
      <c r="P817" s="3070">
        <v>12607.81</v>
      </c>
      <c r="Q817" s="3070">
        <v>1189043</v>
      </c>
      <c r="R817" s="3070" t="s">
        <v>3227</v>
      </c>
      <c r="S817" s="3070" t="s">
        <v>9889</v>
      </c>
      <c r="T817" s="3070" t="s">
        <v>3258</v>
      </c>
      <c r="U817" s="3070" t="s">
        <v>3259</v>
      </c>
      <c r="V817" s="3070" t="s">
        <v>3230</v>
      </c>
      <c r="Y817" s="3070">
        <v>459043</v>
      </c>
      <c r="Z817" s="3070">
        <v>118904</v>
      </c>
      <c r="AA817" s="3070">
        <v>459043</v>
      </c>
      <c r="AB817" s="3070">
        <v>0</v>
      </c>
      <c r="AC817" s="3070">
        <v>730000</v>
      </c>
      <c r="AD817" s="3070">
        <v>730000</v>
      </c>
      <c r="AE817" s="3070">
        <v>0</v>
      </c>
      <c r="AI817" s="3070" t="s">
        <v>3227</v>
      </c>
      <c r="AJ817" s="3070">
        <v>0</v>
      </c>
      <c r="AK817" s="3070">
        <v>0</v>
      </c>
      <c r="AL817" s="3070">
        <v>0</v>
      </c>
      <c r="AM817" s="3070">
        <v>12607.81</v>
      </c>
      <c r="AN817" s="3070">
        <v>1189043</v>
      </c>
      <c r="AP817" s="3070">
        <v>1189043</v>
      </c>
      <c r="AQ817" s="3072">
        <v>45138</v>
      </c>
      <c r="AT817" s="3073">
        <v>45678</v>
      </c>
      <c r="AV817" s="3074">
        <v>3.21E+17</v>
      </c>
      <c r="AW817" s="3070" t="s">
        <v>9890</v>
      </c>
      <c r="AX817" s="3070" t="s">
        <v>9891</v>
      </c>
      <c r="AY817" s="3070" t="s">
        <v>3364</v>
      </c>
      <c r="BC817" s="3070" t="s">
        <v>3263</v>
      </c>
      <c r="BD817" s="3070" t="s">
        <v>3077</v>
      </c>
      <c r="BI817" s="3070" t="s">
        <v>3235</v>
      </c>
      <c r="BJ817" s="3070" t="s">
        <v>3296</v>
      </c>
      <c r="BL817" s="3070" t="s">
        <v>9892</v>
      </c>
      <c r="BM817" s="3075">
        <v>44440</v>
      </c>
      <c r="BN817" s="3070">
        <v>502</v>
      </c>
      <c r="BO817" s="3070" t="s">
        <v>3253</v>
      </c>
      <c r="BP817" s="3070" t="s">
        <v>3253</v>
      </c>
      <c r="BR817" s="3070">
        <v>425</v>
      </c>
      <c r="BS817" s="3070" t="s">
        <v>3238</v>
      </c>
      <c r="BT817" s="3070" t="s">
        <v>9714</v>
      </c>
      <c r="BZ817" s="3073">
        <v>44142.859027777777</v>
      </c>
      <c r="CA817" s="3070">
        <v>9</v>
      </c>
      <c r="CB817" s="3070" t="s">
        <v>9714</v>
      </c>
      <c r="CD817" s="3070" t="s">
        <v>3239</v>
      </c>
      <c r="CF817" s="3070" t="s">
        <v>3091</v>
      </c>
      <c r="CH817" s="3070" t="s">
        <v>3240</v>
      </c>
      <c r="CI817" s="3070">
        <v>0</v>
      </c>
      <c r="CJ817" s="3070" t="s">
        <v>3259</v>
      </c>
      <c r="CK817" s="3070" t="s">
        <v>3364</v>
      </c>
      <c r="CL817" s="3070" t="s">
        <v>3364</v>
      </c>
      <c r="CM817" s="3070">
        <v>1090865.1399999999</v>
      </c>
      <c r="CV817" s="3070" t="s">
        <v>3258</v>
      </c>
      <c r="CW817" s="3070" t="s">
        <v>9893</v>
      </c>
      <c r="CZ817" s="3070">
        <v>213894.57</v>
      </c>
      <c r="DA817" s="3070">
        <v>159426.93</v>
      </c>
      <c r="DB817" s="3070">
        <v>0</v>
      </c>
      <c r="DC817" s="3070">
        <v>0</v>
      </c>
      <c r="DD817" s="3070">
        <v>3290547602</v>
      </c>
      <c r="DE817" s="3070">
        <v>2764253109</v>
      </c>
      <c r="DF817" s="3070">
        <v>1464966739</v>
      </c>
      <c r="DG817" s="3070">
        <v>14938370</v>
      </c>
      <c r="DH817" s="3070">
        <v>1284348000</v>
      </c>
      <c r="DI817" s="3070">
        <v>1278128000</v>
      </c>
      <c r="DJ817" s="3070">
        <v>6220000</v>
      </c>
      <c r="DK817" s="3070">
        <v>0</v>
      </c>
      <c r="DL817" s="3070">
        <v>0</v>
      </c>
      <c r="DM817" s="3070">
        <v>25491817.620000001</v>
      </c>
      <c r="DN817" s="3070">
        <v>2764253109</v>
      </c>
      <c r="DP817" s="3070">
        <v>2764253109</v>
      </c>
    </row>
    <row r="818" spans="1:120">
      <c r="A818" s="3070">
        <v>817</v>
      </c>
      <c r="B818" s="3070" t="s">
        <v>3224</v>
      </c>
      <c r="C818" s="3070">
        <v>9</v>
      </c>
      <c r="E818" s="3070">
        <v>1503</v>
      </c>
      <c r="F818" s="3070" t="s">
        <v>9894</v>
      </c>
      <c r="G818" s="3070" t="s">
        <v>9895</v>
      </c>
      <c r="H818" s="3070">
        <v>1189043</v>
      </c>
      <c r="I818" s="3070">
        <v>1189043</v>
      </c>
      <c r="J818" s="3070">
        <v>94.31</v>
      </c>
      <c r="K818" s="3070">
        <v>66.5</v>
      </c>
      <c r="L818" s="3070">
        <v>0</v>
      </c>
      <c r="M818" s="3070">
        <v>0</v>
      </c>
      <c r="N818" s="3070">
        <v>15544.44</v>
      </c>
      <c r="O818" s="3070">
        <v>1465996</v>
      </c>
      <c r="P818" s="3070">
        <v>12607.81</v>
      </c>
      <c r="Q818" s="3070">
        <v>1189043</v>
      </c>
      <c r="R818" s="3070" t="s">
        <v>3227</v>
      </c>
      <c r="S818" s="3070" t="s">
        <v>9896</v>
      </c>
      <c r="T818" s="3070" t="s">
        <v>3246</v>
      </c>
      <c r="U818" s="3070" t="s">
        <v>3371</v>
      </c>
      <c r="V818" s="3070" t="s">
        <v>3230</v>
      </c>
      <c r="Y818" s="3070">
        <v>359043</v>
      </c>
      <c r="Z818" s="3070">
        <v>359043</v>
      </c>
      <c r="AA818" s="3070">
        <v>359043</v>
      </c>
      <c r="AB818" s="3070">
        <v>0</v>
      </c>
      <c r="AC818" s="3070">
        <v>830000</v>
      </c>
      <c r="AD818" s="3070">
        <v>830000</v>
      </c>
      <c r="AE818" s="3070">
        <v>0</v>
      </c>
      <c r="AI818" s="3070" t="s">
        <v>3227</v>
      </c>
      <c r="AJ818" s="3070">
        <v>0</v>
      </c>
      <c r="AK818" s="3070">
        <v>0</v>
      </c>
      <c r="AL818" s="3070">
        <v>0</v>
      </c>
      <c r="AM818" s="3070">
        <v>12607.81</v>
      </c>
      <c r="AN818" s="3070">
        <v>1189043</v>
      </c>
      <c r="AP818" s="3070">
        <v>1189043</v>
      </c>
      <c r="AQ818" s="3072">
        <v>45138</v>
      </c>
      <c r="AT818" s="3073">
        <v>45678</v>
      </c>
      <c r="AV818" s="3074">
        <v>3.21E+17</v>
      </c>
      <c r="AW818" s="3070" t="s">
        <v>9897</v>
      </c>
      <c r="AX818" s="3070" t="s">
        <v>9898</v>
      </c>
      <c r="AY818" s="3070" t="s">
        <v>3306</v>
      </c>
      <c r="BC818" s="3070" t="s">
        <v>3284</v>
      </c>
      <c r="BD818" s="3070" t="s">
        <v>3077</v>
      </c>
      <c r="BI818" s="3070" t="s">
        <v>3235</v>
      </c>
      <c r="BL818" s="3070" t="s">
        <v>9899</v>
      </c>
      <c r="BM818" s="3075">
        <v>44440</v>
      </c>
      <c r="BN818" s="3070">
        <v>503</v>
      </c>
      <c r="BO818" s="3070" t="s">
        <v>3253</v>
      </c>
      <c r="BR818" s="3070">
        <v>783</v>
      </c>
      <c r="BS818" s="3070" t="s">
        <v>3238</v>
      </c>
      <c r="BT818" s="3070" t="s">
        <v>9714</v>
      </c>
      <c r="BZ818" s="3073">
        <v>44142.849305555559</v>
      </c>
      <c r="CA818" s="3070">
        <v>9</v>
      </c>
      <c r="CB818" s="3070" t="s">
        <v>9714</v>
      </c>
      <c r="CD818" s="3070" t="s">
        <v>3239</v>
      </c>
      <c r="CF818" s="3070" t="s">
        <v>3091</v>
      </c>
      <c r="CH818" s="3070" t="s">
        <v>3240</v>
      </c>
      <c r="CI818" s="3070">
        <v>0</v>
      </c>
      <c r="CK818" s="3070" t="s">
        <v>3306</v>
      </c>
      <c r="CL818" s="3070" t="s">
        <v>3306</v>
      </c>
      <c r="CM818" s="3070">
        <v>1090865.1399999999</v>
      </c>
      <c r="CV818" s="3070" t="s">
        <v>3246</v>
      </c>
      <c r="CW818" s="3070" t="s">
        <v>9900</v>
      </c>
      <c r="CX818" s="3070" t="s">
        <v>3242</v>
      </c>
      <c r="CZ818" s="3070">
        <v>213894.57</v>
      </c>
      <c r="DA818" s="3070">
        <v>159426.93</v>
      </c>
      <c r="DB818" s="3070">
        <v>0</v>
      </c>
      <c r="DC818" s="3070">
        <v>0</v>
      </c>
      <c r="DD818" s="3070">
        <v>3290547602</v>
      </c>
      <c r="DE818" s="3070">
        <v>2764253109</v>
      </c>
      <c r="DF818" s="3070">
        <v>1464966739</v>
      </c>
      <c r="DG818" s="3070">
        <v>14938370</v>
      </c>
      <c r="DH818" s="3070">
        <v>1284348000</v>
      </c>
      <c r="DI818" s="3070">
        <v>1278128000</v>
      </c>
      <c r="DJ818" s="3070">
        <v>6220000</v>
      </c>
      <c r="DK818" s="3070">
        <v>0</v>
      </c>
      <c r="DL818" s="3070">
        <v>0</v>
      </c>
      <c r="DM818" s="3070">
        <v>25491817.620000001</v>
      </c>
      <c r="DN818" s="3070">
        <v>2764253109</v>
      </c>
      <c r="DP818" s="3070">
        <v>2764253109</v>
      </c>
    </row>
    <row r="819" spans="1:120">
      <c r="A819" s="3070">
        <v>818</v>
      </c>
      <c r="B819" s="3070" t="s">
        <v>3224</v>
      </c>
      <c r="C819" s="3070">
        <v>9</v>
      </c>
      <c r="E819" s="3070">
        <v>1504</v>
      </c>
      <c r="F819" s="3070" t="s">
        <v>9901</v>
      </c>
      <c r="G819" s="3070" t="s">
        <v>9902</v>
      </c>
      <c r="H819" s="3070">
        <v>1184560</v>
      </c>
      <c r="I819" s="3070">
        <v>1184560</v>
      </c>
      <c r="J819" s="3070">
        <v>94.31</v>
      </c>
      <c r="K819" s="3070">
        <v>66.5</v>
      </c>
      <c r="L819" s="3070">
        <v>0</v>
      </c>
      <c r="M819" s="3070">
        <v>0</v>
      </c>
      <c r="N819" s="3070">
        <v>15494.44</v>
      </c>
      <c r="O819" s="3070">
        <v>1461281</v>
      </c>
      <c r="P819" s="3070">
        <v>12560.28</v>
      </c>
      <c r="Q819" s="3070">
        <v>1184560</v>
      </c>
      <c r="R819" s="3070" t="s">
        <v>3227</v>
      </c>
      <c r="S819" s="3070" t="s">
        <v>9903</v>
      </c>
      <c r="T819" s="3070" t="s">
        <v>3246</v>
      </c>
      <c r="U819" s="3070" t="s">
        <v>3381</v>
      </c>
      <c r="V819" s="3070" t="s">
        <v>3230</v>
      </c>
      <c r="Y819" s="3070">
        <v>504560</v>
      </c>
      <c r="Z819" s="3070">
        <v>504560</v>
      </c>
      <c r="AA819" s="3070">
        <v>504560</v>
      </c>
      <c r="AB819" s="3070">
        <v>0</v>
      </c>
      <c r="AC819" s="3070">
        <v>680000</v>
      </c>
      <c r="AD819" s="3070">
        <v>680000</v>
      </c>
      <c r="AE819" s="3070">
        <v>0</v>
      </c>
      <c r="AI819" s="3070" t="s">
        <v>3227</v>
      </c>
      <c r="AJ819" s="3070">
        <v>0</v>
      </c>
      <c r="AK819" s="3070">
        <v>0</v>
      </c>
      <c r="AL819" s="3070">
        <v>0</v>
      </c>
      <c r="AM819" s="3070">
        <v>12560.28</v>
      </c>
      <c r="AN819" s="3070">
        <v>1184560</v>
      </c>
      <c r="AP819" s="3070">
        <v>1184560</v>
      </c>
      <c r="AQ819" s="3072">
        <v>45138</v>
      </c>
      <c r="AT819" s="3073">
        <v>45678</v>
      </c>
      <c r="AV819" s="3070" t="s">
        <v>9904</v>
      </c>
      <c r="AW819" s="3070" t="s">
        <v>9905</v>
      </c>
      <c r="AX819" s="3070" t="s">
        <v>9906</v>
      </c>
      <c r="AY819" s="3070" t="s">
        <v>3411</v>
      </c>
      <c r="BC819" s="3070" t="s">
        <v>3284</v>
      </c>
      <c r="BD819" s="3070" t="s">
        <v>3077</v>
      </c>
      <c r="BI819" s="3070" t="s">
        <v>3235</v>
      </c>
      <c r="BJ819" s="3070" t="s">
        <v>3328</v>
      </c>
      <c r="BL819" s="3070" t="s">
        <v>9907</v>
      </c>
      <c r="BM819" s="3075">
        <v>44440</v>
      </c>
      <c r="BN819" s="3070">
        <v>504</v>
      </c>
      <c r="BO819" s="3070" t="s">
        <v>3253</v>
      </c>
      <c r="BR819" s="3070">
        <v>517</v>
      </c>
      <c r="BS819" s="3070" t="s">
        <v>3238</v>
      </c>
      <c r="BT819" s="3070" t="s">
        <v>9714</v>
      </c>
      <c r="BZ819" s="3073">
        <v>44142.854861111111</v>
      </c>
      <c r="CA819" s="3070">
        <v>9</v>
      </c>
      <c r="CB819" s="3070" t="s">
        <v>9714</v>
      </c>
      <c r="CD819" s="3070" t="s">
        <v>3239</v>
      </c>
      <c r="CF819" s="3070" t="s">
        <v>3091</v>
      </c>
      <c r="CH819" s="3070" t="s">
        <v>3240</v>
      </c>
      <c r="CI819" s="3070">
        <v>0</v>
      </c>
      <c r="CK819" s="3070" t="s">
        <v>3411</v>
      </c>
      <c r="CL819" s="3070" t="s">
        <v>3411</v>
      </c>
      <c r="CM819" s="3070">
        <v>1086752.29</v>
      </c>
      <c r="CV819" s="3070" t="s">
        <v>3246</v>
      </c>
      <c r="CW819" s="3070" t="s">
        <v>9908</v>
      </c>
      <c r="CZ819" s="3070">
        <v>213894.57</v>
      </c>
      <c r="DA819" s="3070">
        <v>159426.93</v>
      </c>
      <c r="DB819" s="3070">
        <v>0</v>
      </c>
      <c r="DC819" s="3070">
        <v>0</v>
      </c>
      <c r="DD819" s="3070">
        <v>3290547602</v>
      </c>
      <c r="DE819" s="3070">
        <v>2764253109</v>
      </c>
      <c r="DF819" s="3070">
        <v>1464966739</v>
      </c>
      <c r="DG819" s="3070">
        <v>14938370</v>
      </c>
      <c r="DH819" s="3070">
        <v>1284348000</v>
      </c>
      <c r="DI819" s="3070">
        <v>1278128000</v>
      </c>
      <c r="DJ819" s="3070">
        <v>6220000</v>
      </c>
      <c r="DK819" s="3070">
        <v>0</v>
      </c>
      <c r="DL819" s="3070">
        <v>0</v>
      </c>
      <c r="DM819" s="3070">
        <v>25491817.620000001</v>
      </c>
      <c r="DN819" s="3070">
        <v>2764253109</v>
      </c>
      <c r="DP819" s="3070">
        <v>2764253109</v>
      </c>
    </row>
    <row r="820" spans="1:120">
      <c r="A820" s="3070">
        <v>819</v>
      </c>
      <c r="B820" s="3070" t="s">
        <v>3224</v>
      </c>
      <c r="C820" s="3070">
        <v>9</v>
      </c>
      <c r="E820" s="3070">
        <v>1601</v>
      </c>
      <c r="F820" s="3070" t="s">
        <v>9909</v>
      </c>
      <c r="G820" s="3070" t="s">
        <v>9910</v>
      </c>
      <c r="H820" s="3070">
        <v>1193525</v>
      </c>
      <c r="I820" s="3070">
        <v>1193525</v>
      </c>
      <c r="J820" s="3070">
        <v>94.31</v>
      </c>
      <c r="K820" s="3070">
        <v>66.5</v>
      </c>
      <c r="L820" s="3070">
        <v>0</v>
      </c>
      <c r="M820" s="3070">
        <v>0</v>
      </c>
      <c r="N820" s="3070">
        <v>15594.44</v>
      </c>
      <c r="O820" s="3070">
        <v>1470712</v>
      </c>
      <c r="P820" s="3070">
        <v>12655.34</v>
      </c>
      <c r="Q820" s="3070">
        <v>1193525</v>
      </c>
      <c r="R820" s="3070" t="s">
        <v>3227</v>
      </c>
      <c r="S820" s="3070" t="s">
        <v>9911</v>
      </c>
      <c r="T820" s="3070" t="s">
        <v>3246</v>
      </c>
      <c r="U820" s="3070" t="s">
        <v>3279</v>
      </c>
      <c r="V820" s="3070" t="s">
        <v>3230</v>
      </c>
      <c r="Y820" s="3070">
        <v>363525</v>
      </c>
      <c r="Z820" s="3070">
        <v>363525</v>
      </c>
      <c r="AA820" s="3070">
        <v>363525</v>
      </c>
      <c r="AB820" s="3070">
        <v>0</v>
      </c>
      <c r="AC820" s="3070">
        <v>830000</v>
      </c>
      <c r="AD820" s="3070">
        <v>830000</v>
      </c>
      <c r="AE820" s="3070">
        <v>0</v>
      </c>
      <c r="AI820" s="3070" t="s">
        <v>3227</v>
      </c>
      <c r="AJ820" s="3070">
        <v>0</v>
      </c>
      <c r="AK820" s="3070">
        <v>0</v>
      </c>
      <c r="AL820" s="3070">
        <v>0</v>
      </c>
      <c r="AM820" s="3070">
        <v>12655.34</v>
      </c>
      <c r="AN820" s="3070">
        <v>1193525</v>
      </c>
      <c r="AP820" s="3070">
        <v>1193525</v>
      </c>
      <c r="AQ820" s="3072">
        <v>45138</v>
      </c>
      <c r="AT820" s="3073">
        <v>45678</v>
      </c>
      <c r="AV820" s="3074">
        <v>3.21E+17</v>
      </c>
      <c r="AW820" s="3070" t="s">
        <v>9912</v>
      </c>
      <c r="AX820" s="3070" t="s">
        <v>9913</v>
      </c>
      <c r="AY820" s="3070" t="s">
        <v>3346</v>
      </c>
      <c r="BC820" s="3070" t="s">
        <v>3251</v>
      </c>
      <c r="BD820" s="3070" t="s">
        <v>3077</v>
      </c>
      <c r="BI820" s="3070" t="s">
        <v>3235</v>
      </c>
      <c r="BJ820" s="3070" t="s">
        <v>3338</v>
      </c>
      <c r="BL820" s="3070" t="s">
        <v>9914</v>
      </c>
      <c r="BM820" s="3075">
        <v>44440</v>
      </c>
      <c r="BN820" s="3070">
        <v>601</v>
      </c>
      <c r="BO820" s="3070" t="s">
        <v>3253</v>
      </c>
      <c r="BR820" s="3070">
        <v>382</v>
      </c>
      <c r="BS820" s="3070" t="s">
        <v>3238</v>
      </c>
      <c r="BT820" s="3070" t="s">
        <v>9714</v>
      </c>
      <c r="BZ820" s="3073">
        <v>44142.630555555559</v>
      </c>
      <c r="CA820" s="3070">
        <v>9</v>
      </c>
      <c r="CB820" s="3070" t="s">
        <v>9714</v>
      </c>
      <c r="CD820" s="3070" t="s">
        <v>3239</v>
      </c>
      <c r="CF820" s="3070" t="s">
        <v>3091</v>
      </c>
      <c r="CH820" s="3070" t="s">
        <v>3240</v>
      </c>
      <c r="CI820" s="3070">
        <v>0</v>
      </c>
      <c r="CK820" s="3070" t="s">
        <v>3346</v>
      </c>
      <c r="CL820" s="3070" t="s">
        <v>3346</v>
      </c>
      <c r="CM820" s="3070">
        <v>1094977.06</v>
      </c>
      <c r="CV820" s="3070" t="s">
        <v>3246</v>
      </c>
      <c r="CW820" s="3070" t="s">
        <v>9915</v>
      </c>
      <c r="CZ820" s="3070">
        <v>213894.57</v>
      </c>
      <c r="DA820" s="3070">
        <v>159426.93</v>
      </c>
      <c r="DB820" s="3070">
        <v>0</v>
      </c>
      <c r="DC820" s="3070">
        <v>0</v>
      </c>
      <c r="DD820" s="3070">
        <v>3290547602</v>
      </c>
      <c r="DE820" s="3070">
        <v>2764253109</v>
      </c>
      <c r="DF820" s="3070">
        <v>1464966739</v>
      </c>
      <c r="DG820" s="3070">
        <v>14938370</v>
      </c>
      <c r="DH820" s="3070">
        <v>1284348000</v>
      </c>
      <c r="DI820" s="3070">
        <v>1278128000</v>
      </c>
      <c r="DJ820" s="3070">
        <v>6220000</v>
      </c>
      <c r="DK820" s="3070">
        <v>0</v>
      </c>
      <c r="DL820" s="3070">
        <v>0</v>
      </c>
      <c r="DM820" s="3070">
        <v>25491817.620000001</v>
      </c>
      <c r="DN820" s="3070">
        <v>2764253109</v>
      </c>
      <c r="DP820" s="3070">
        <v>2764253109</v>
      </c>
    </row>
    <row r="821" spans="1:120">
      <c r="A821" s="3070">
        <v>820</v>
      </c>
      <c r="B821" s="3070" t="s">
        <v>3224</v>
      </c>
      <c r="C821" s="3070">
        <v>9</v>
      </c>
      <c r="E821" s="3070">
        <v>1602</v>
      </c>
      <c r="F821" s="3070" t="s">
        <v>9916</v>
      </c>
      <c r="G821" s="3070" t="s">
        <v>9917</v>
      </c>
      <c r="H821" s="3070">
        <v>1189043</v>
      </c>
      <c r="I821" s="3070">
        <v>1189043</v>
      </c>
      <c r="J821" s="3070">
        <v>94.31</v>
      </c>
      <c r="K821" s="3070">
        <v>66.5</v>
      </c>
      <c r="L821" s="3070">
        <v>0</v>
      </c>
      <c r="M821" s="3070">
        <v>0</v>
      </c>
      <c r="N821" s="3070">
        <v>15544.44</v>
      </c>
      <c r="O821" s="3070">
        <v>1465996</v>
      </c>
      <c r="P821" s="3070">
        <v>12607.81</v>
      </c>
      <c r="Q821" s="3070">
        <v>1189043</v>
      </c>
      <c r="R821" s="3070" t="s">
        <v>3227</v>
      </c>
      <c r="S821" s="3070" t="s">
        <v>9918</v>
      </c>
      <c r="T821" s="3070" t="s">
        <v>3258</v>
      </c>
      <c r="U821" s="3070" t="s">
        <v>3259</v>
      </c>
      <c r="V821" s="3070" t="s">
        <v>3230</v>
      </c>
      <c r="Y821" s="3070">
        <v>359043</v>
      </c>
      <c r="Z821" s="3070">
        <v>118904</v>
      </c>
      <c r="AA821" s="3070">
        <v>359043</v>
      </c>
      <c r="AB821" s="3070">
        <v>0</v>
      </c>
      <c r="AC821" s="3070">
        <v>830000</v>
      </c>
      <c r="AD821" s="3070">
        <v>830000</v>
      </c>
      <c r="AE821" s="3070">
        <v>0</v>
      </c>
      <c r="AI821" s="3070" t="s">
        <v>3227</v>
      </c>
      <c r="AJ821" s="3070">
        <v>0</v>
      </c>
      <c r="AK821" s="3070">
        <v>0</v>
      </c>
      <c r="AL821" s="3070">
        <v>0</v>
      </c>
      <c r="AM821" s="3070">
        <v>12607.81</v>
      </c>
      <c r="AN821" s="3070">
        <v>1189043</v>
      </c>
      <c r="AP821" s="3070">
        <v>1189043</v>
      </c>
      <c r="AQ821" s="3072">
        <v>45138</v>
      </c>
      <c r="AT821" s="3073">
        <v>45678</v>
      </c>
      <c r="AV821" s="3074">
        <v>3.21E+17</v>
      </c>
      <c r="AW821" s="3070" t="s">
        <v>9919</v>
      </c>
      <c r="AX821" s="3070" t="s">
        <v>9920</v>
      </c>
      <c r="AY821" s="3070" t="s">
        <v>3364</v>
      </c>
      <c r="BC821" s="3070" t="s">
        <v>3263</v>
      </c>
      <c r="BD821" s="3070" t="s">
        <v>3077</v>
      </c>
      <c r="BI821" s="3070" t="s">
        <v>3235</v>
      </c>
      <c r="BJ821" s="3070" t="s">
        <v>3296</v>
      </c>
      <c r="BL821" s="3070" t="s">
        <v>9921</v>
      </c>
      <c r="BM821" s="3075">
        <v>44440</v>
      </c>
      <c r="BN821" s="3070">
        <v>602</v>
      </c>
      <c r="BO821" s="3070" t="s">
        <v>3253</v>
      </c>
      <c r="BP821" s="3070" t="s">
        <v>3253</v>
      </c>
      <c r="BR821" s="3070">
        <v>429</v>
      </c>
      <c r="BS821" s="3070" t="s">
        <v>3238</v>
      </c>
      <c r="BT821" s="3070" t="s">
        <v>9714</v>
      </c>
      <c r="BZ821" s="3073">
        <v>44142.859722222223</v>
      </c>
      <c r="CA821" s="3070">
        <v>9</v>
      </c>
      <c r="CB821" s="3070" t="s">
        <v>9714</v>
      </c>
      <c r="CD821" s="3070" t="s">
        <v>3239</v>
      </c>
      <c r="CF821" s="3070" t="s">
        <v>3091</v>
      </c>
      <c r="CH821" s="3070" t="s">
        <v>3240</v>
      </c>
      <c r="CI821" s="3070">
        <v>0</v>
      </c>
      <c r="CJ821" s="3070" t="s">
        <v>3259</v>
      </c>
      <c r="CK821" s="3070" t="s">
        <v>3364</v>
      </c>
      <c r="CL821" s="3070" t="s">
        <v>3364</v>
      </c>
      <c r="CM821" s="3070">
        <v>1090865.1299999999</v>
      </c>
      <c r="CV821" s="3070" t="s">
        <v>3258</v>
      </c>
      <c r="CW821" s="3070" t="s">
        <v>9922</v>
      </c>
      <c r="CZ821" s="3070">
        <v>213894.57</v>
      </c>
      <c r="DA821" s="3070">
        <v>159426.93</v>
      </c>
      <c r="DB821" s="3070">
        <v>0</v>
      </c>
      <c r="DC821" s="3070">
        <v>0</v>
      </c>
      <c r="DD821" s="3070">
        <v>3290547602</v>
      </c>
      <c r="DE821" s="3070">
        <v>2764253109</v>
      </c>
      <c r="DF821" s="3070">
        <v>1464966739</v>
      </c>
      <c r="DG821" s="3070">
        <v>14938370</v>
      </c>
      <c r="DH821" s="3070">
        <v>1284348000</v>
      </c>
      <c r="DI821" s="3070">
        <v>1278128000</v>
      </c>
      <c r="DJ821" s="3070">
        <v>6220000</v>
      </c>
      <c r="DK821" s="3070">
        <v>0</v>
      </c>
      <c r="DL821" s="3070">
        <v>0</v>
      </c>
      <c r="DM821" s="3070">
        <v>25491817.620000001</v>
      </c>
      <c r="DN821" s="3070">
        <v>2764253109</v>
      </c>
      <c r="DP821" s="3070">
        <v>2764253109</v>
      </c>
    </row>
    <row r="822" spans="1:120">
      <c r="A822" s="3070">
        <v>821</v>
      </c>
      <c r="B822" s="3070" t="s">
        <v>3224</v>
      </c>
      <c r="C822" s="3070">
        <v>9</v>
      </c>
      <c r="E822" s="3070">
        <v>1603</v>
      </c>
      <c r="F822" s="3070" t="s">
        <v>9923</v>
      </c>
      <c r="G822" s="3070" t="s">
        <v>9924</v>
      </c>
      <c r="H822" s="3070">
        <v>1255016</v>
      </c>
      <c r="I822" s="3070">
        <v>1255016</v>
      </c>
      <c r="J822" s="3070">
        <v>94.31</v>
      </c>
      <c r="K822" s="3070">
        <v>66.5</v>
      </c>
      <c r="L822" s="3070">
        <v>0</v>
      </c>
      <c r="M822" s="3070">
        <v>0</v>
      </c>
      <c r="N822" s="3070">
        <v>15544.44</v>
      </c>
      <c r="O822" s="3070">
        <v>1465996</v>
      </c>
      <c r="P822" s="3070">
        <v>13307.35</v>
      </c>
      <c r="Q822" s="3070">
        <v>1255016</v>
      </c>
      <c r="R822" s="3070" t="s">
        <v>3227</v>
      </c>
      <c r="S822" s="3070" t="s">
        <v>9925</v>
      </c>
      <c r="T822" s="3070" t="s">
        <v>3425</v>
      </c>
      <c r="V822" s="3070" t="s">
        <v>3230</v>
      </c>
      <c r="Y822" s="3070">
        <v>755016</v>
      </c>
      <c r="Z822" s="3070">
        <v>150602</v>
      </c>
      <c r="AA822" s="3070">
        <v>755016</v>
      </c>
      <c r="AB822" s="3070">
        <v>0</v>
      </c>
      <c r="AC822" s="3070">
        <v>500000</v>
      </c>
      <c r="AD822" s="3070">
        <v>500000</v>
      </c>
      <c r="AE822" s="3070">
        <v>0</v>
      </c>
      <c r="AI822" s="3070" t="s">
        <v>3227</v>
      </c>
      <c r="AJ822" s="3070">
        <v>0</v>
      </c>
      <c r="AK822" s="3070">
        <v>0</v>
      </c>
      <c r="AL822" s="3070">
        <v>0</v>
      </c>
      <c r="AM822" s="3070">
        <v>13307.35</v>
      </c>
      <c r="AN822" s="3070">
        <v>1255016</v>
      </c>
      <c r="AP822" s="3070">
        <v>1255016</v>
      </c>
      <c r="AQ822" s="3072">
        <v>45138</v>
      </c>
      <c r="AT822" s="3073">
        <v>45678</v>
      </c>
      <c r="AV822" s="3074">
        <v>3.21E+17</v>
      </c>
      <c r="AW822" s="3070" t="s">
        <v>9926</v>
      </c>
      <c r="AX822" s="3070" t="s">
        <v>9927</v>
      </c>
      <c r="AY822" s="3070" t="s">
        <v>3393</v>
      </c>
      <c r="BC822" s="3070" t="s">
        <v>9928</v>
      </c>
      <c r="BD822" s="3070" t="s">
        <v>3077</v>
      </c>
      <c r="BI822" s="3070" t="s">
        <v>3235</v>
      </c>
      <c r="BJ822" s="3070" t="s">
        <v>3296</v>
      </c>
      <c r="BL822" s="3070" t="s">
        <v>9929</v>
      </c>
      <c r="BM822" s="3075">
        <v>44440</v>
      </c>
      <c r="BN822" s="3070">
        <v>603</v>
      </c>
      <c r="BP822" s="3070" t="s">
        <v>3253</v>
      </c>
      <c r="BR822" s="3070">
        <v>0</v>
      </c>
      <c r="BS822" s="3070" t="s">
        <v>3238</v>
      </c>
      <c r="BT822" s="3070" t="s">
        <v>3481</v>
      </c>
      <c r="BZ822" s="3073">
        <v>44159.616666666669</v>
      </c>
      <c r="CA822" s="3070">
        <v>9</v>
      </c>
      <c r="CB822" s="3070" t="s">
        <v>3481</v>
      </c>
      <c r="CD822" s="3070" t="s">
        <v>3239</v>
      </c>
      <c r="CF822" s="3070" t="s">
        <v>3091</v>
      </c>
      <c r="CH822" s="3070" t="s">
        <v>3240</v>
      </c>
      <c r="CI822" s="3070">
        <v>0</v>
      </c>
      <c r="CJ822" s="3070" t="s">
        <v>3259</v>
      </c>
      <c r="CK822" s="3070" t="s">
        <v>3393</v>
      </c>
      <c r="CL822" s="3070" t="s">
        <v>3393</v>
      </c>
      <c r="CM822" s="3070">
        <v>1151390.83</v>
      </c>
      <c r="CV822" s="3070" t="s">
        <v>3425</v>
      </c>
      <c r="CW822" s="3070" t="s">
        <v>9930</v>
      </c>
      <c r="CX822" s="3070" t="s">
        <v>3242</v>
      </c>
      <c r="CZ822" s="3070">
        <v>213894.57</v>
      </c>
      <c r="DA822" s="3070">
        <v>159426.93</v>
      </c>
      <c r="DB822" s="3070">
        <v>0</v>
      </c>
      <c r="DC822" s="3070">
        <v>0</v>
      </c>
      <c r="DD822" s="3070">
        <v>3290547602</v>
      </c>
      <c r="DE822" s="3070">
        <v>2764253109</v>
      </c>
      <c r="DF822" s="3070">
        <v>1464966739</v>
      </c>
      <c r="DG822" s="3070">
        <v>14938370</v>
      </c>
      <c r="DH822" s="3070">
        <v>1284348000</v>
      </c>
      <c r="DI822" s="3070">
        <v>1278128000</v>
      </c>
      <c r="DJ822" s="3070">
        <v>6220000</v>
      </c>
      <c r="DK822" s="3070">
        <v>0</v>
      </c>
      <c r="DL822" s="3070">
        <v>0</v>
      </c>
      <c r="DM822" s="3070">
        <v>25491817.620000001</v>
      </c>
      <c r="DN822" s="3070">
        <v>2764253109</v>
      </c>
      <c r="DP822" s="3070">
        <v>2764253109</v>
      </c>
    </row>
    <row r="823" spans="1:120">
      <c r="A823" s="3070">
        <v>822</v>
      </c>
      <c r="B823" s="3070" t="s">
        <v>3224</v>
      </c>
      <c r="C823" s="3070">
        <v>9</v>
      </c>
      <c r="E823" s="3070">
        <v>1604</v>
      </c>
      <c r="F823" s="3070" t="s">
        <v>9931</v>
      </c>
      <c r="G823" s="3070" t="s">
        <v>9932</v>
      </c>
      <c r="H823" s="3070">
        <v>1184560</v>
      </c>
      <c r="I823" s="3070">
        <v>1184560</v>
      </c>
      <c r="J823" s="3070">
        <v>94.31</v>
      </c>
      <c r="K823" s="3070">
        <v>66.5</v>
      </c>
      <c r="L823" s="3070">
        <v>0</v>
      </c>
      <c r="M823" s="3070">
        <v>0</v>
      </c>
      <c r="N823" s="3070">
        <v>15494.44</v>
      </c>
      <c r="O823" s="3070">
        <v>1461281</v>
      </c>
      <c r="P823" s="3070">
        <v>12560.28</v>
      </c>
      <c r="Q823" s="3070">
        <v>1184560</v>
      </c>
      <c r="R823" s="3070" t="s">
        <v>3227</v>
      </c>
      <c r="S823" s="3070" t="s">
        <v>9933</v>
      </c>
      <c r="T823" s="3070" t="s">
        <v>3258</v>
      </c>
      <c r="U823" s="3070" t="s">
        <v>3259</v>
      </c>
      <c r="V823" s="3070" t="s">
        <v>3230</v>
      </c>
      <c r="Y823" s="3070">
        <v>364560</v>
      </c>
      <c r="Z823" s="3070">
        <v>364560</v>
      </c>
      <c r="AA823" s="3070">
        <v>364560</v>
      </c>
      <c r="AB823" s="3070">
        <v>0</v>
      </c>
      <c r="AC823" s="3070">
        <v>820000</v>
      </c>
      <c r="AD823" s="3070">
        <v>820000</v>
      </c>
      <c r="AE823" s="3070">
        <v>0</v>
      </c>
      <c r="AI823" s="3070" t="s">
        <v>3227</v>
      </c>
      <c r="AJ823" s="3070">
        <v>0</v>
      </c>
      <c r="AK823" s="3070">
        <v>0</v>
      </c>
      <c r="AL823" s="3070">
        <v>0</v>
      </c>
      <c r="AM823" s="3070">
        <v>12560.28</v>
      </c>
      <c r="AN823" s="3070">
        <v>1184560</v>
      </c>
      <c r="AP823" s="3070">
        <v>1184560</v>
      </c>
      <c r="AQ823" s="3072">
        <v>45138</v>
      </c>
      <c r="AT823" s="3073">
        <v>45678</v>
      </c>
      <c r="AV823" s="3070" t="s">
        <v>9934</v>
      </c>
      <c r="AW823" s="3070" t="s">
        <v>9935</v>
      </c>
      <c r="AX823" s="3070" t="s">
        <v>9936</v>
      </c>
      <c r="AY823" s="3070" t="s">
        <v>3497</v>
      </c>
      <c r="BC823" s="3070" t="s">
        <v>3263</v>
      </c>
      <c r="BD823" s="3070" t="s">
        <v>3077</v>
      </c>
      <c r="BI823" s="3070" t="s">
        <v>3235</v>
      </c>
      <c r="BJ823" s="3070" t="s">
        <v>3296</v>
      </c>
      <c r="BL823" s="3070" t="s">
        <v>9937</v>
      </c>
      <c r="BM823" s="3075">
        <v>44440</v>
      </c>
      <c r="BN823" s="3070">
        <v>604</v>
      </c>
      <c r="BO823" s="3070" t="s">
        <v>3253</v>
      </c>
      <c r="BP823" s="3070" t="s">
        <v>3253</v>
      </c>
      <c r="BR823" s="3070">
        <v>374</v>
      </c>
      <c r="BS823" s="3070" t="s">
        <v>3238</v>
      </c>
      <c r="BT823" s="3070" t="s">
        <v>9714</v>
      </c>
      <c r="BZ823" s="3073">
        <v>44142.856249999997</v>
      </c>
      <c r="CA823" s="3070">
        <v>9</v>
      </c>
      <c r="CB823" s="3070" t="s">
        <v>9714</v>
      </c>
      <c r="CD823" s="3070" t="s">
        <v>3239</v>
      </c>
      <c r="CF823" s="3070" t="s">
        <v>3091</v>
      </c>
      <c r="CH823" s="3070" t="s">
        <v>3240</v>
      </c>
      <c r="CI823" s="3070">
        <v>0</v>
      </c>
      <c r="CJ823" s="3070" t="s">
        <v>3259</v>
      </c>
      <c r="CK823" s="3070" t="s">
        <v>3497</v>
      </c>
      <c r="CL823" s="3070" t="s">
        <v>3497</v>
      </c>
      <c r="CM823" s="3070">
        <v>1086752.29</v>
      </c>
      <c r="CV823" s="3070" t="s">
        <v>3258</v>
      </c>
      <c r="CW823" s="3070" t="s">
        <v>9938</v>
      </c>
      <c r="CZ823" s="3070">
        <v>213894.57</v>
      </c>
      <c r="DA823" s="3070">
        <v>159426.93</v>
      </c>
      <c r="DB823" s="3070">
        <v>0</v>
      </c>
      <c r="DC823" s="3070">
        <v>0</v>
      </c>
      <c r="DD823" s="3070">
        <v>3290547602</v>
      </c>
      <c r="DE823" s="3070">
        <v>2764253109</v>
      </c>
      <c r="DF823" s="3070">
        <v>1464966739</v>
      </c>
      <c r="DG823" s="3070">
        <v>14938370</v>
      </c>
      <c r="DH823" s="3070">
        <v>1284348000</v>
      </c>
      <c r="DI823" s="3070">
        <v>1278128000</v>
      </c>
      <c r="DJ823" s="3070">
        <v>6220000</v>
      </c>
      <c r="DK823" s="3070">
        <v>0</v>
      </c>
      <c r="DL823" s="3070">
        <v>0</v>
      </c>
      <c r="DM823" s="3070">
        <v>25491817.620000001</v>
      </c>
      <c r="DN823" s="3070">
        <v>2764253109</v>
      </c>
      <c r="DP823" s="3070">
        <v>2764253109</v>
      </c>
    </row>
    <row r="824" spans="1:120">
      <c r="A824" s="3070">
        <v>823</v>
      </c>
      <c r="B824" s="3070" t="s">
        <v>3224</v>
      </c>
      <c r="C824" s="3070">
        <v>9</v>
      </c>
      <c r="E824" s="3070">
        <v>1701</v>
      </c>
      <c r="F824" s="3070" t="s">
        <v>9939</v>
      </c>
      <c r="G824" s="3070" t="s">
        <v>9940</v>
      </c>
      <c r="H824" s="3070">
        <v>1160869</v>
      </c>
      <c r="I824" s="3070">
        <v>1160869</v>
      </c>
      <c r="J824" s="3070">
        <v>94.31</v>
      </c>
      <c r="K824" s="3070">
        <v>66.5</v>
      </c>
      <c r="L824" s="3070">
        <v>0</v>
      </c>
      <c r="M824" s="3070">
        <v>0</v>
      </c>
      <c r="N824" s="3070">
        <v>15494.44</v>
      </c>
      <c r="O824" s="3070">
        <v>1461281</v>
      </c>
      <c r="P824" s="3070">
        <v>12309.08</v>
      </c>
      <c r="Q824" s="3070">
        <v>1160869</v>
      </c>
      <c r="R824" s="3070" t="s">
        <v>3227</v>
      </c>
      <c r="S824" s="3070" t="s">
        <v>9941</v>
      </c>
      <c r="T824" s="3070" t="s">
        <v>3246</v>
      </c>
      <c r="U824" s="3070" t="s">
        <v>3467</v>
      </c>
      <c r="V824" s="3070" t="s">
        <v>3230</v>
      </c>
      <c r="Y824" s="3070">
        <v>560869</v>
      </c>
      <c r="Z824" s="3070">
        <v>560869</v>
      </c>
      <c r="AA824" s="3070">
        <v>560869</v>
      </c>
      <c r="AB824" s="3070">
        <v>0</v>
      </c>
      <c r="AC824" s="3070">
        <v>600000</v>
      </c>
      <c r="AD824" s="3070">
        <v>600000</v>
      </c>
      <c r="AE824" s="3070">
        <v>0</v>
      </c>
      <c r="AI824" s="3070" t="s">
        <v>3227</v>
      </c>
      <c r="AJ824" s="3070">
        <v>0</v>
      </c>
      <c r="AK824" s="3070">
        <v>0</v>
      </c>
      <c r="AL824" s="3070">
        <v>0</v>
      </c>
      <c r="AM824" s="3070">
        <v>12309.08</v>
      </c>
      <c r="AN824" s="3070">
        <v>1160869</v>
      </c>
      <c r="AP824" s="3070">
        <v>1160869</v>
      </c>
      <c r="AQ824" s="3072">
        <v>45138</v>
      </c>
      <c r="AT824" s="3073">
        <v>45678</v>
      </c>
      <c r="AV824" s="3074">
        <v>3.21E+17</v>
      </c>
      <c r="AW824" s="3070" t="s">
        <v>9942</v>
      </c>
      <c r="AX824" s="3070" t="s">
        <v>9943</v>
      </c>
      <c r="AY824" s="3070" t="s">
        <v>3497</v>
      </c>
      <c r="BC824" s="3070" t="s">
        <v>3507</v>
      </c>
      <c r="BD824" s="3070" t="s">
        <v>3077</v>
      </c>
      <c r="BI824" s="3070" t="s">
        <v>3235</v>
      </c>
      <c r="BJ824" s="3070" t="s">
        <v>3328</v>
      </c>
      <c r="BL824" s="3070" t="s">
        <v>9944</v>
      </c>
      <c r="BM824" s="3075">
        <v>44440</v>
      </c>
      <c r="BN824" s="3070">
        <v>701</v>
      </c>
      <c r="BO824" s="3070" t="s">
        <v>3253</v>
      </c>
      <c r="BR824" s="3070">
        <v>568</v>
      </c>
      <c r="BS824" s="3070" t="s">
        <v>3238</v>
      </c>
      <c r="BT824" s="3070" t="s">
        <v>9714</v>
      </c>
      <c r="BZ824" s="3073">
        <v>44142.856249999997</v>
      </c>
      <c r="CA824" s="3070">
        <v>9</v>
      </c>
      <c r="CB824" s="3070" t="s">
        <v>9714</v>
      </c>
      <c r="CD824" s="3070" t="s">
        <v>3239</v>
      </c>
      <c r="CF824" s="3070" t="s">
        <v>3091</v>
      </c>
      <c r="CH824" s="3070" t="s">
        <v>3240</v>
      </c>
      <c r="CI824" s="3070">
        <v>0</v>
      </c>
      <c r="CK824" s="3070" t="s">
        <v>3497</v>
      </c>
      <c r="CL824" s="3070" t="s">
        <v>3497</v>
      </c>
      <c r="CM824" s="3070">
        <v>1065017.43</v>
      </c>
      <c r="CV824" s="3070" t="s">
        <v>3246</v>
      </c>
      <c r="CW824" s="3070" t="s">
        <v>9945</v>
      </c>
      <c r="CX824" s="3070" t="s">
        <v>3242</v>
      </c>
      <c r="CZ824" s="3070">
        <v>213894.57</v>
      </c>
      <c r="DA824" s="3070">
        <v>159426.93</v>
      </c>
      <c r="DB824" s="3070">
        <v>0</v>
      </c>
      <c r="DC824" s="3070">
        <v>0</v>
      </c>
      <c r="DD824" s="3070">
        <v>3290547602</v>
      </c>
      <c r="DE824" s="3070">
        <v>2764253109</v>
      </c>
      <c r="DF824" s="3070">
        <v>1464966739</v>
      </c>
      <c r="DG824" s="3070">
        <v>14938370</v>
      </c>
      <c r="DH824" s="3070">
        <v>1284348000</v>
      </c>
      <c r="DI824" s="3070">
        <v>1278128000</v>
      </c>
      <c r="DJ824" s="3070">
        <v>6220000</v>
      </c>
      <c r="DK824" s="3070">
        <v>0</v>
      </c>
      <c r="DL824" s="3070">
        <v>0</v>
      </c>
      <c r="DM824" s="3070">
        <v>25491817.620000001</v>
      </c>
      <c r="DN824" s="3070">
        <v>2764253109</v>
      </c>
      <c r="DP824" s="3070">
        <v>2764253109</v>
      </c>
    </row>
    <row r="825" spans="1:120">
      <c r="A825" s="3070">
        <v>824</v>
      </c>
      <c r="B825" s="3070" t="s">
        <v>3224</v>
      </c>
      <c r="C825" s="3070">
        <v>9</v>
      </c>
      <c r="E825" s="3070">
        <v>1702</v>
      </c>
      <c r="F825" s="3070" t="s">
        <v>9946</v>
      </c>
      <c r="G825" s="3070" t="s">
        <v>9947</v>
      </c>
      <c r="H825" s="3070">
        <v>1180078</v>
      </c>
      <c r="I825" s="3070">
        <v>1180078</v>
      </c>
      <c r="J825" s="3070">
        <v>94.31</v>
      </c>
      <c r="K825" s="3070">
        <v>66.5</v>
      </c>
      <c r="L825" s="3070">
        <v>0</v>
      </c>
      <c r="M825" s="3070">
        <v>0</v>
      </c>
      <c r="N825" s="3070">
        <v>15444.44</v>
      </c>
      <c r="O825" s="3070">
        <v>1456565</v>
      </c>
      <c r="P825" s="3070">
        <v>12512.76</v>
      </c>
      <c r="Q825" s="3070">
        <v>1180078</v>
      </c>
      <c r="R825" s="3070" t="s">
        <v>3227</v>
      </c>
      <c r="S825" s="3070" t="s">
        <v>9948</v>
      </c>
      <c r="T825" s="3070" t="s">
        <v>3246</v>
      </c>
      <c r="U825" s="3070" t="s">
        <v>3279</v>
      </c>
      <c r="V825" s="3070" t="s">
        <v>3230</v>
      </c>
      <c r="Y825" s="3070">
        <v>360078</v>
      </c>
      <c r="Z825" s="3070">
        <v>360078</v>
      </c>
      <c r="AA825" s="3070">
        <v>360078</v>
      </c>
      <c r="AB825" s="3070">
        <v>0</v>
      </c>
      <c r="AC825" s="3070">
        <v>820000</v>
      </c>
      <c r="AD825" s="3070">
        <v>820000</v>
      </c>
      <c r="AE825" s="3070">
        <v>0</v>
      </c>
      <c r="AI825" s="3070" t="s">
        <v>3227</v>
      </c>
      <c r="AJ825" s="3070">
        <v>0</v>
      </c>
      <c r="AK825" s="3070">
        <v>0</v>
      </c>
      <c r="AL825" s="3070">
        <v>0</v>
      </c>
      <c r="AM825" s="3070">
        <v>12512.76</v>
      </c>
      <c r="AN825" s="3070">
        <v>1180078</v>
      </c>
      <c r="AP825" s="3070">
        <v>1180078</v>
      </c>
      <c r="AQ825" s="3072">
        <v>45138</v>
      </c>
      <c r="AT825" s="3073">
        <v>45678</v>
      </c>
      <c r="AV825" s="3070" t="s">
        <v>9949</v>
      </c>
      <c r="AW825" s="3070" t="s">
        <v>9950</v>
      </c>
      <c r="AX825" s="3070" t="s">
        <v>9951</v>
      </c>
      <c r="AY825" s="3070" t="s">
        <v>3429</v>
      </c>
      <c r="BC825" s="3070" t="s">
        <v>3284</v>
      </c>
      <c r="BD825" s="3070" t="s">
        <v>3077</v>
      </c>
      <c r="BI825" s="3070" t="s">
        <v>3235</v>
      </c>
      <c r="BJ825" s="3070" t="s">
        <v>3285</v>
      </c>
      <c r="BL825" s="3070" t="s">
        <v>9952</v>
      </c>
      <c r="BM825" s="3075">
        <v>44440</v>
      </c>
      <c r="BN825" s="3070">
        <v>702</v>
      </c>
      <c r="BO825" s="3070" t="s">
        <v>3253</v>
      </c>
      <c r="BR825" s="3070">
        <v>328</v>
      </c>
      <c r="BS825" s="3070" t="s">
        <v>3238</v>
      </c>
      <c r="BT825" s="3070" t="s">
        <v>9714</v>
      </c>
      <c r="BZ825" s="3073">
        <v>44142.861111111109</v>
      </c>
      <c r="CA825" s="3070">
        <v>9</v>
      </c>
      <c r="CB825" s="3070" t="s">
        <v>9714</v>
      </c>
      <c r="CD825" s="3070" t="s">
        <v>3239</v>
      </c>
      <c r="CF825" s="3070" t="s">
        <v>3091</v>
      </c>
      <c r="CH825" s="3070" t="s">
        <v>3240</v>
      </c>
      <c r="CI825" s="3070">
        <v>0</v>
      </c>
      <c r="CK825" s="3070" t="s">
        <v>3429</v>
      </c>
      <c r="CL825" s="3070" t="s">
        <v>3429</v>
      </c>
      <c r="CM825" s="3070">
        <v>1082640.3700000001</v>
      </c>
      <c r="CV825" s="3070" t="s">
        <v>3246</v>
      </c>
      <c r="CW825" s="3070" t="s">
        <v>9953</v>
      </c>
      <c r="CX825" s="3070" t="s">
        <v>3267</v>
      </c>
      <c r="CZ825" s="3070">
        <v>213894.57</v>
      </c>
      <c r="DA825" s="3070">
        <v>159426.93</v>
      </c>
      <c r="DB825" s="3070">
        <v>0</v>
      </c>
      <c r="DC825" s="3070">
        <v>0</v>
      </c>
      <c r="DD825" s="3070">
        <v>3290547602</v>
      </c>
      <c r="DE825" s="3070">
        <v>2764253109</v>
      </c>
      <c r="DF825" s="3070">
        <v>1464966739</v>
      </c>
      <c r="DG825" s="3070">
        <v>14938370</v>
      </c>
      <c r="DH825" s="3070">
        <v>1284348000</v>
      </c>
      <c r="DI825" s="3070">
        <v>1278128000</v>
      </c>
      <c r="DJ825" s="3070">
        <v>6220000</v>
      </c>
      <c r="DK825" s="3070">
        <v>0</v>
      </c>
      <c r="DL825" s="3070">
        <v>0</v>
      </c>
      <c r="DM825" s="3070">
        <v>25491817.620000001</v>
      </c>
      <c r="DN825" s="3070">
        <v>2764253109</v>
      </c>
      <c r="DP825" s="3070">
        <v>2764253109</v>
      </c>
    </row>
    <row r="826" spans="1:120">
      <c r="A826" s="3070">
        <v>825</v>
      </c>
      <c r="B826" s="3070" t="s">
        <v>3224</v>
      </c>
      <c r="C826" s="3070">
        <v>9</v>
      </c>
      <c r="E826" s="3070">
        <v>1703</v>
      </c>
      <c r="F826" s="3070" t="s">
        <v>9954</v>
      </c>
      <c r="G826" s="3070" t="s">
        <v>9955</v>
      </c>
      <c r="H826" s="3070">
        <v>1241403</v>
      </c>
      <c r="I826" s="3070">
        <v>1241403</v>
      </c>
      <c r="J826" s="3070">
        <v>94.31</v>
      </c>
      <c r="K826" s="3070">
        <v>66.5</v>
      </c>
      <c r="L826" s="3070">
        <v>0</v>
      </c>
      <c r="M826" s="3070">
        <v>0</v>
      </c>
      <c r="N826" s="3070">
        <v>15444.44</v>
      </c>
      <c r="O826" s="3070">
        <v>1456565</v>
      </c>
      <c r="P826" s="3070">
        <v>13163</v>
      </c>
      <c r="Q826" s="3070">
        <v>1241403</v>
      </c>
      <c r="R826" s="3070" t="s">
        <v>3227</v>
      </c>
      <c r="S826" s="3070" t="s">
        <v>9956</v>
      </c>
      <c r="T826" s="3070" t="s">
        <v>3476</v>
      </c>
      <c r="U826" s="3070" t="s">
        <v>3279</v>
      </c>
      <c r="V826" s="3070" t="s">
        <v>3230</v>
      </c>
      <c r="Y826" s="3070">
        <v>148968</v>
      </c>
      <c r="Z826" s="3070">
        <v>148968</v>
      </c>
      <c r="AA826" s="3070">
        <v>741403</v>
      </c>
      <c r="AB826" s="3070">
        <v>0</v>
      </c>
      <c r="AC826" s="3070">
        <v>500000</v>
      </c>
      <c r="AD826" s="3070">
        <v>500000</v>
      </c>
      <c r="AE826" s="3070">
        <v>0</v>
      </c>
      <c r="AI826" s="3070" t="s">
        <v>3227</v>
      </c>
      <c r="AJ826" s="3070">
        <v>0</v>
      </c>
      <c r="AK826" s="3070">
        <v>0</v>
      </c>
      <c r="AL826" s="3070">
        <v>0</v>
      </c>
      <c r="AM826" s="3070">
        <v>13163</v>
      </c>
      <c r="AN826" s="3070">
        <v>1241403</v>
      </c>
      <c r="AP826" s="3070">
        <v>1241403</v>
      </c>
      <c r="AQ826" s="3072">
        <v>45138</v>
      </c>
      <c r="AT826" s="3073">
        <v>45678</v>
      </c>
      <c r="AV826" s="3074">
        <v>3.21E+17</v>
      </c>
      <c r="AW826" s="3070" t="s">
        <v>9957</v>
      </c>
      <c r="AX826" s="3070" t="s">
        <v>9958</v>
      </c>
      <c r="AY826" s="3070" t="s">
        <v>3346</v>
      </c>
      <c r="BC826" s="3070" t="s">
        <v>7322</v>
      </c>
      <c r="BD826" s="3070" t="s">
        <v>3077</v>
      </c>
      <c r="BI826" s="3070" t="s">
        <v>3295</v>
      </c>
      <c r="BL826" s="3070" t="s">
        <v>9959</v>
      </c>
      <c r="BM826" s="3075">
        <v>44440</v>
      </c>
      <c r="BN826" s="3070">
        <v>703</v>
      </c>
      <c r="BO826" s="3070" t="s">
        <v>3253</v>
      </c>
      <c r="BR826" s="3070">
        <v>245</v>
      </c>
      <c r="BS826" s="3070" t="s">
        <v>3238</v>
      </c>
      <c r="BT826" s="3070" t="s">
        <v>3481</v>
      </c>
      <c r="BZ826" s="3073">
        <v>44161.813888888886</v>
      </c>
      <c r="CA826" s="3070">
        <v>9</v>
      </c>
      <c r="CB826" s="3070" t="s">
        <v>3481</v>
      </c>
      <c r="CD826" s="3070" t="s">
        <v>3239</v>
      </c>
      <c r="CF826" s="3070" t="s">
        <v>3091</v>
      </c>
      <c r="CH826" s="3070" t="s">
        <v>3240</v>
      </c>
      <c r="CI826" s="3070">
        <v>0</v>
      </c>
      <c r="CK826" s="3070" t="s">
        <v>3346</v>
      </c>
      <c r="CL826" s="3070" t="s">
        <v>3346</v>
      </c>
      <c r="CM826" s="3070">
        <v>1138901.83</v>
      </c>
      <c r="CV826" s="3070" t="s">
        <v>3482</v>
      </c>
      <c r="CW826" s="3070" t="s">
        <v>9960</v>
      </c>
      <c r="CZ826" s="3070">
        <v>213894.57</v>
      </c>
      <c r="DA826" s="3070">
        <v>159426.93</v>
      </c>
      <c r="DB826" s="3070">
        <v>0</v>
      </c>
      <c r="DC826" s="3070">
        <v>0</v>
      </c>
      <c r="DD826" s="3070">
        <v>3290547602</v>
      </c>
      <c r="DE826" s="3070">
        <v>2764253109</v>
      </c>
      <c r="DF826" s="3070">
        <v>1464966739</v>
      </c>
      <c r="DG826" s="3070">
        <v>14938370</v>
      </c>
      <c r="DH826" s="3070">
        <v>1284348000</v>
      </c>
      <c r="DI826" s="3070">
        <v>1278128000</v>
      </c>
      <c r="DJ826" s="3070">
        <v>6220000</v>
      </c>
      <c r="DK826" s="3070">
        <v>0</v>
      </c>
      <c r="DL826" s="3070">
        <v>0</v>
      </c>
      <c r="DM826" s="3070">
        <v>25491817.620000001</v>
      </c>
      <c r="DN826" s="3070">
        <v>2764253109</v>
      </c>
      <c r="DP826" s="3070">
        <v>2764253109</v>
      </c>
    </row>
    <row r="827" spans="1:120">
      <c r="A827" s="3070">
        <v>826</v>
      </c>
      <c r="B827" s="3070" t="s">
        <v>3224</v>
      </c>
      <c r="C827" s="3070">
        <v>9</v>
      </c>
      <c r="E827" s="3070">
        <v>1704</v>
      </c>
      <c r="F827" s="3070" t="s">
        <v>9961</v>
      </c>
      <c r="G827" s="3070" t="s">
        <v>9962</v>
      </c>
      <c r="H827" s="3070">
        <v>1163839</v>
      </c>
      <c r="I827" s="3070">
        <v>1163839</v>
      </c>
      <c r="J827" s="3070">
        <v>94.31</v>
      </c>
      <c r="K827" s="3070">
        <v>66.5</v>
      </c>
      <c r="L827" s="3070">
        <v>0</v>
      </c>
      <c r="M827" s="3070">
        <v>0</v>
      </c>
      <c r="N827" s="3070">
        <v>15394.44</v>
      </c>
      <c r="O827" s="3070">
        <v>1451850</v>
      </c>
      <c r="P827" s="3070">
        <v>12340.57</v>
      </c>
      <c r="Q827" s="3070">
        <v>1163839</v>
      </c>
      <c r="R827" s="3070" t="s">
        <v>3227</v>
      </c>
      <c r="S827" s="3070" t="s">
        <v>9963</v>
      </c>
      <c r="T827" s="3070" t="s">
        <v>3229</v>
      </c>
      <c r="V827" s="3070" t="s">
        <v>3230</v>
      </c>
      <c r="Y827" s="3070">
        <v>349152</v>
      </c>
      <c r="Z827" s="3070">
        <v>349152</v>
      </c>
      <c r="AA827" s="3070">
        <v>1163839</v>
      </c>
      <c r="AB827" s="3070">
        <v>0</v>
      </c>
      <c r="AC827" s="3070">
        <v>0</v>
      </c>
      <c r="AD827" s="3070">
        <v>0</v>
      </c>
      <c r="AE827" s="3070">
        <v>0</v>
      </c>
      <c r="AI827" s="3070" t="s">
        <v>3227</v>
      </c>
      <c r="AJ827" s="3070">
        <v>0</v>
      </c>
      <c r="AK827" s="3070">
        <v>0</v>
      </c>
      <c r="AL827" s="3070">
        <v>0</v>
      </c>
      <c r="AM827" s="3070">
        <v>12340.57</v>
      </c>
      <c r="AN827" s="3070">
        <v>1163839</v>
      </c>
      <c r="AP827" s="3070">
        <v>1163839</v>
      </c>
      <c r="AQ827" s="3072">
        <v>45138</v>
      </c>
      <c r="AT827" s="3073">
        <v>45678</v>
      </c>
      <c r="AV827" s="3074">
        <v>3.21E+17</v>
      </c>
      <c r="AW827" s="3070" t="s">
        <v>9964</v>
      </c>
      <c r="AX827" s="3070" t="s">
        <v>9965</v>
      </c>
      <c r="AY827" s="3070" t="s">
        <v>3346</v>
      </c>
      <c r="BC827" s="3070" t="s">
        <v>3347</v>
      </c>
      <c r="BD827" s="3070" t="s">
        <v>3077</v>
      </c>
      <c r="BI827" s="3070" t="s">
        <v>3235</v>
      </c>
      <c r="BJ827" s="3070" t="s">
        <v>3338</v>
      </c>
      <c r="BL827" s="3070" t="s">
        <v>9966</v>
      </c>
      <c r="BM827" s="3075">
        <v>44440</v>
      </c>
      <c r="BN827" s="3070">
        <v>704</v>
      </c>
      <c r="BR827" s="3070">
        <v>847</v>
      </c>
      <c r="BS827" s="3070" t="s">
        <v>3238</v>
      </c>
      <c r="BT827" s="3070" t="s">
        <v>9714</v>
      </c>
      <c r="BZ827" s="3073">
        <v>44142.647916666669</v>
      </c>
      <c r="CA827" s="3070">
        <v>9</v>
      </c>
      <c r="CB827" s="3070" t="s">
        <v>9714</v>
      </c>
      <c r="CD827" s="3070" t="s">
        <v>3239</v>
      </c>
      <c r="CF827" s="3070" t="s">
        <v>3091</v>
      </c>
      <c r="CH827" s="3070" t="s">
        <v>3240</v>
      </c>
      <c r="CI827" s="3070">
        <v>0</v>
      </c>
      <c r="CK827" s="3070" t="s">
        <v>3346</v>
      </c>
      <c r="CL827" s="3070" t="s">
        <v>3346</v>
      </c>
      <c r="CM827" s="3070">
        <v>1067742.2</v>
      </c>
      <c r="CV827" s="3070" t="s">
        <v>3229</v>
      </c>
      <c r="CW827" s="3070" t="s">
        <v>9967</v>
      </c>
      <c r="CZ827" s="3070">
        <v>213894.57</v>
      </c>
      <c r="DA827" s="3070">
        <v>159426.93</v>
      </c>
      <c r="DB827" s="3070">
        <v>0</v>
      </c>
      <c r="DC827" s="3070">
        <v>0</v>
      </c>
      <c r="DD827" s="3070">
        <v>3290547602</v>
      </c>
      <c r="DE827" s="3070">
        <v>2764253109</v>
      </c>
      <c r="DF827" s="3070">
        <v>1464966739</v>
      </c>
      <c r="DG827" s="3070">
        <v>14938370</v>
      </c>
      <c r="DH827" s="3070">
        <v>1284348000</v>
      </c>
      <c r="DI827" s="3070">
        <v>1278128000</v>
      </c>
      <c r="DJ827" s="3070">
        <v>6220000</v>
      </c>
      <c r="DK827" s="3070">
        <v>0</v>
      </c>
      <c r="DL827" s="3070">
        <v>0</v>
      </c>
      <c r="DM827" s="3070">
        <v>25491817.620000001</v>
      </c>
      <c r="DN827" s="3070">
        <v>2764253109</v>
      </c>
      <c r="DP827" s="3070">
        <v>2764253109</v>
      </c>
    </row>
    <row r="828" spans="1:120">
      <c r="A828" s="3070">
        <v>827</v>
      </c>
      <c r="B828" s="3070" t="s">
        <v>3224</v>
      </c>
      <c r="C828" s="3070">
        <v>9</v>
      </c>
      <c r="E828" s="3070">
        <v>1801</v>
      </c>
      <c r="F828" s="3070" t="s">
        <v>9968</v>
      </c>
      <c r="G828" s="3070" t="s">
        <v>9969</v>
      </c>
      <c r="H828" s="3070">
        <v>1166630</v>
      </c>
      <c r="I828" s="3070">
        <v>1166630</v>
      </c>
      <c r="J828" s="3070">
        <v>94.31</v>
      </c>
      <c r="K828" s="3070">
        <v>66.5</v>
      </c>
      <c r="L828" s="3070">
        <v>0</v>
      </c>
      <c r="M828" s="3070">
        <v>0</v>
      </c>
      <c r="N828" s="3070">
        <v>15294.44</v>
      </c>
      <c r="O828" s="3070">
        <v>1442419</v>
      </c>
      <c r="P828" s="3070">
        <v>12370.16</v>
      </c>
      <c r="Q828" s="3070">
        <v>1166630</v>
      </c>
      <c r="R828" s="3070" t="s">
        <v>3227</v>
      </c>
      <c r="S828" s="3070" t="s">
        <v>9970</v>
      </c>
      <c r="T828" s="3070" t="s">
        <v>3246</v>
      </c>
      <c r="U828" s="3070" t="s">
        <v>3467</v>
      </c>
      <c r="V828" s="3070" t="s">
        <v>3230</v>
      </c>
      <c r="Y828" s="3070">
        <v>356630</v>
      </c>
      <c r="Z828" s="3070">
        <v>116663</v>
      </c>
      <c r="AA828" s="3070">
        <v>356630</v>
      </c>
      <c r="AB828" s="3070">
        <v>0</v>
      </c>
      <c r="AC828" s="3070">
        <v>810000</v>
      </c>
      <c r="AD828" s="3070">
        <v>810000</v>
      </c>
      <c r="AE828" s="3070">
        <v>0</v>
      </c>
      <c r="AI828" s="3070" t="s">
        <v>3227</v>
      </c>
      <c r="AJ828" s="3070">
        <v>0</v>
      </c>
      <c r="AK828" s="3070">
        <v>0</v>
      </c>
      <c r="AL828" s="3070">
        <v>0</v>
      </c>
      <c r="AM828" s="3070">
        <v>12370.16</v>
      </c>
      <c r="AN828" s="3070">
        <v>1166630</v>
      </c>
      <c r="AP828" s="3070">
        <v>1166630</v>
      </c>
      <c r="AQ828" s="3072">
        <v>45138</v>
      </c>
      <c r="AT828" s="3073">
        <v>45678</v>
      </c>
      <c r="AV828" s="3074">
        <v>3.2E+17</v>
      </c>
      <c r="AW828" s="3070" t="s">
        <v>9971</v>
      </c>
      <c r="AX828" s="3070" t="s">
        <v>9972</v>
      </c>
      <c r="AY828" s="3070" t="s">
        <v>3393</v>
      </c>
      <c r="BC828" s="3070" t="s">
        <v>3284</v>
      </c>
      <c r="BD828" s="3070" t="s">
        <v>3077</v>
      </c>
      <c r="BI828" s="3070" t="s">
        <v>3235</v>
      </c>
      <c r="BJ828" s="3070" t="s">
        <v>3296</v>
      </c>
      <c r="BL828" s="3070" t="s">
        <v>9973</v>
      </c>
      <c r="BM828" s="3075">
        <v>44440</v>
      </c>
      <c r="BN828" s="3070">
        <v>801</v>
      </c>
      <c r="BO828" s="3070" t="s">
        <v>3253</v>
      </c>
      <c r="BR828" s="3070">
        <v>221</v>
      </c>
      <c r="BS828" s="3070" t="s">
        <v>3238</v>
      </c>
      <c r="BT828" s="3070" t="s">
        <v>9714</v>
      </c>
      <c r="BZ828" s="3073">
        <v>44142.856944444444</v>
      </c>
      <c r="CA828" s="3070">
        <v>9</v>
      </c>
      <c r="CB828" s="3070" t="s">
        <v>9714</v>
      </c>
      <c r="CD828" s="3070" t="s">
        <v>3239</v>
      </c>
      <c r="CF828" s="3070" t="s">
        <v>3091</v>
      </c>
      <c r="CH828" s="3070" t="s">
        <v>3240</v>
      </c>
      <c r="CI828" s="3070">
        <v>0</v>
      </c>
      <c r="CK828" s="3070" t="s">
        <v>3393</v>
      </c>
      <c r="CL828" s="3070" t="s">
        <v>3393</v>
      </c>
      <c r="CM828" s="3070">
        <v>1070302.75</v>
      </c>
      <c r="CV828" s="3070" t="s">
        <v>3246</v>
      </c>
      <c r="CW828" s="3070" t="s">
        <v>9974</v>
      </c>
      <c r="CZ828" s="3070">
        <v>213894.57</v>
      </c>
      <c r="DA828" s="3070">
        <v>159426.93</v>
      </c>
      <c r="DB828" s="3070">
        <v>0</v>
      </c>
      <c r="DC828" s="3070">
        <v>0</v>
      </c>
      <c r="DD828" s="3070">
        <v>3290547602</v>
      </c>
      <c r="DE828" s="3070">
        <v>2764253109</v>
      </c>
      <c r="DF828" s="3070">
        <v>1464966739</v>
      </c>
      <c r="DG828" s="3070">
        <v>14938370</v>
      </c>
      <c r="DH828" s="3070">
        <v>1284348000</v>
      </c>
      <c r="DI828" s="3070">
        <v>1278128000</v>
      </c>
      <c r="DJ828" s="3070">
        <v>6220000</v>
      </c>
      <c r="DK828" s="3070">
        <v>0</v>
      </c>
      <c r="DL828" s="3070">
        <v>0</v>
      </c>
      <c r="DM828" s="3070">
        <v>25491817.620000001</v>
      </c>
      <c r="DN828" s="3070">
        <v>2764253109</v>
      </c>
      <c r="DP828" s="3070">
        <v>2764253109</v>
      </c>
    </row>
    <row r="829" spans="1:120">
      <c r="A829" s="3070">
        <v>828</v>
      </c>
      <c r="B829" s="3070" t="s">
        <v>3224</v>
      </c>
      <c r="C829" s="3070">
        <v>9</v>
      </c>
      <c r="E829" s="3070">
        <v>1802</v>
      </c>
      <c r="F829" s="3070" t="s">
        <v>9975</v>
      </c>
      <c r="G829" s="3070" t="s">
        <v>9976</v>
      </c>
      <c r="H829" s="3070">
        <v>1133576</v>
      </c>
      <c r="I829" s="3070">
        <v>1133576</v>
      </c>
      <c r="J829" s="3070">
        <v>94.31</v>
      </c>
      <c r="K829" s="3070">
        <v>66.5</v>
      </c>
      <c r="L829" s="3070">
        <v>0</v>
      </c>
      <c r="M829" s="3070">
        <v>0</v>
      </c>
      <c r="N829" s="3070">
        <v>15244.44</v>
      </c>
      <c r="O829" s="3070">
        <v>1437703</v>
      </c>
      <c r="P829" s="3070">
        <v>12019.68</v>
      </c>
      <c r="Q829" s="3070">
        <v>1133576</v>
      </c>
      <c r="R829" s="3070" t="s">
        <v>3227</v>
      </c>
      <c r="S829" s="3070" t="s">
        <v>9977</v>
      </c>
      <c r="T829" s="3070" t="s">
        <v>3494</v>
      </c>
      <c r="V829" s="3070" t="s">
        <v>3230</v>
      </c>
      <c r="Y829" s="3070">
        <v>113358</v>
      </c>
      <c r="Z829" s="3070">
        <v>113358</v>
      </c>
      <c r="AA829" s="3070">
        <v>1133576</v>
      </c>
      <c r="AB829" s="3070">
        <v>0</v>
      </c>
      <c r="AC829" s="3070">
        <v>0</v>
      </c>
      <c r="AD829" s="3070">
        <v>0</v>
      </c>
      <c r="AE829" s="3070">
        <v>0</v>
      </c>
      <c r="AI829" s="3070" t="s">
        <v>3227</v>
      </c>
      <c r="AJ829" s="3070">
        <v>0</v>
      </c>
      <c r="AK829" s="3070">
        <v>0</v>
      </c>
      <c r="AL829" s="3070">
        <v>0</v>
      </c>
      <c r="AM829" s="3070">
        <v>12019.68</v>
      </c>
      <c r="AN829" s="3070">
        <v>1133576</v>
      </c>
      <c r="AP829" s="3070">
        <v>1133576</v>
      </c>
      <c r="AQ829" s="3072">
        <v>45138</v>
      </c>
      <c r="AT829" s="3073">
        <v>45678</v>
      </c>
      <c r="AV829" s="3074">
        <v>3.21E+17</v>
      </c>
      <c r="AW829" s="3070" t="s">
        <v>9978</v>
      </c>
      <c r="AX829" s="3070" t="s">
        <v>9979</v>
      </c>
      <c r="AY829" s="3070" t="s">
        <v>4527</v>
      </c>
      <c r="BA829" s="3070" t="s">
        <v>5264</v>
      </c>
      <c r="BC829" s="3070" t="s">
        <v>9980</v>
      </c>
      <c r="BD829" s="3070" t="s">
        <v>3077</v>
      </c>
      <c r="BI829" s="3070" t="s">
        <v>3235</v>
      </c>
      <c r="BL829" s="3070" t="s">
        <v>9981</v>
      </c>
      <c r="BM829" s="3075">
        <v>44440</v>
      </c>
      <c r="BN829" s="3070">
        <v>802</v>
      </c>
      <c r="BR829" s="3070">
        <v>20</v>
      </c>
      <c r="BS829" s="3070" t="s">
        <v>3238</v>
      </c>
      <c r="BT829" s="3070" t="s">
        <v>9714</v>
      </c>
      <c r="BU829" s="3070" t="s">
        <v>5264</v>
      </c>
      <c r="BV829" s="3070" t="s">
        <v>9982</v>
      </c>
      <c r="BZ829" s="3073">
        <v>44190.522916666669</v>
      </c>
      <c r="CA829" s="3070">
        <v>9</v>
      </c>
      <c r="CB829" s="3070" t="s">
        <v>9714</v>
      </c>
      <c r="CD829" s="3070" t="s">
        <v>3239</v>
      </c>
      <c r="CF829" s="3070" t="s">
        <v>3091</v>
      </c>
      <c r="CH829" s="3070" t="s">
        <v>3240</v>
      </c>
      <c r="CI829" s="3070">
        <v>0</v>
      </c>
      <c r="CK829" s="3070" t="s">
        <v>5264</v>
      </c>
      <c r="CL829" s="3070" t="s">
        <v>5264</v>
      </c>
      <c r="CM829" s="3070">
        <v>1039977.98</v>
      </c>
      <c r="CV829" s="3070" t="s">
        <v>3494</v>
      </c>
      <c r="CW829" s="3070" t="s">
        <v>9983</v>
      </c>
      <c r="CZ829" s="3070">
        <v>213894.57</v>
      </c>
      <c r="DA829" s="3070">
        <v>159426.93</v>
      </c>
      <c r="DB829" s="3070">
        <v>0</v>
      </c>
      <c r="DC829" s="3070">
        <v>0</v>
      </c>
      <c r="DD829" s="3070">
        <v>3290547602</v>
      </c>
      <c r="DE829" s="3070">
        <v>2764253109</v>
      </c>
      <c r="DF829" s="3070">
        <v>1464966739</v>
      </c>
      <c r="DG829" s="3070">
        <v>14938370</v>
      </c>
      <c r="DH829" s="3070">
        <v>1284348000</v>
      </c>
      <c r="DI829" s="3070">
        <v>1278128000</v>
      </c>
      <c r="DJ829" s="3070">
        <v>6220000</v>
      </c>
      <c r="DK829" s="3070">
        <v>0</v>
      </c>
      <c r="DL829" s="3070">
        <v>0</v>
      </c>
      <c r="DM829" s="3070">
        <v>25491817.620000001</v>
      </c>
      <c r="DN829" s="3070">
        <v>2764253109</v>
      </c>
      <c r="DP829" s="3070">
        <v>2764253109</v>
      </c>
    </row>
    <row r="830" spans="1:120">
      <c r="A830" s="3070">
        <v>829</v>
      </c>
      <c r="B830" s="3070" t="s">
        <v>3224</v>
      </c>
      <c r="C830" s="3070">
        <v>9</v>
      </c>
      <c r="E830" s="3070">
        <v>1803</v>
      </c>
      <c r="F830" s="3070" t="s">
        <v>9984</v>
      </c>
      <c r="G830" s="3070" t="s">
        <v>9985</v>
      </c>
      <c r="H830" s="3070">
        <v>1133576</v>
      </c>
      <c r="I830" s="3070">
        <v>1133576</v>
      </c>
      <c r="J830" s="3070">
        <v>94.31</v>
      </c>
      <c r="K830" s="3070">
        <v>66.5</v>
      </c>
      <c r="L830" s="3070">
        <v>0</v>
      </c>
      <c r="M830" s="3070">
        <v>0</v>
      </c>
      <c r="N830" s="3070">
        <v>15244.44</v>
      </c>
      <c r="O830" s="3070">
        <v>1437703</v>
      </c>
      <c r="P830" s="3070">
        <v>12019.68</v>
      </c>
      <c r="Q830" s="3070">
        <v>1133576</v>
      </c>
      <c r="R830" s="3070" t="s">
        <v>3227</v>
      </c>
      <c r="S830" s="3070" t="s">
        <v>9986</v>
      </c>
      <c r="T830" s="3070" t="s">
        <v>3494</v>
      </c>
      <c r="V830" s="3070" t="s">
        <v>3230</v>
      </c>
      <c r="Y830" s="3070">
        <v>113358</v>
      </c>
      <c r="Z830" s="3070">
        <v>113358</v>
      </c>
      <c r="AA830" s="3070">
        <v>1133576</v>
      </c>
      <c r="AB830" s="3070">
        <v>0</v>
      </c>
      <c r="AC830" s="3070">
        <v>0</v>
      </c>
      <c r="AD830" s="3070">
        <v>0</v>
      </c>
      <c r="AE830" s="3070">
        <v>0</v>
      </c>
      <c r="AI830" s="3070" t="s">
        <v>3227</v>
      </c>
      <c r="AJ830" s="3070">
        <v>0</v>
      </c>
      <c r="AK830" s="3070">
        <v>0</v>
      </c>
      <c r="AL830" s="3070">
        <v>0</v>
      </c>
      <c r="AM830" s="3070">
        <v>12019.68</v>
      </c>
      <c r="AN830" s="3070">
        <v>1133576</v>
      </c>
      <c r="AP830" s="3070">
        <v>1133576</v>
      </c>
      <c r="AQ830" s="3072">
        <v>45138</v>
      </c>
      <c r="AT830" s="3073">
        <v>45678</v>
      </c>
      <c r="AV830" s="3074">
        <v>3.21E+17</v>
      </c>
      <c r="AW830" s="3070" t="s">
        <v>9987</v>
      </c>
      <c r="AX830" s="3070" t="s">
        <v>9988</v>
      </c>
      <c r="AY830" s="3070" t="s">
        <v>3892</v>
      </c>
      <c r="BC830" s="3070" t="s">
        <v>9989</v>
      </c>
      <c r="BD830" s="3070" t="s">
        <v>3077</v>
      </c>
      <c r="BI830" s="3070" t="s">
        <v>3235</v>
      </c>
      <c r="BL830" s="3070" t="s">
        <v>9990</v>
      </c>
      <c r="BM830" s="3075">
        <v>44440</v>
      </c>
      <c r="BN830" s="3070">
        <v>803</v>
      </c>
      <c r="BR830" s="3070">
        <v>16</v>
      </c>
      <c r="BS830" s="3070" t="s">
        <v>3238</v>
      </c>
      <c r="BT830" s="3070" t="s">
        <v>9714</v>
      </c>
      <c r="BV830" s="3070" t="s">
        <v>9991</v>
      </c>
      <c r="BZ830" s="3073">
        <v>44191.834722222222</v>
      </c>
      <c r="CA830" s="3070">
        <v>9</v>
      </c>
      <c r="CB830" s="3070" t="s">
        <v>9714</v>
      </c>
      <c r="CD830" s="3070" t="s">
        <v>3239</v>
      </c>
      <c r="CF830" s="3070" t="s">
        <v>3091</v>
      </c>
      <c r="CH830" s="3070" t="s">
        <v>3240</v>
      </c>
      <c r="CI830" s="3070">
        <v>0</v>
      </c>
      <c r="CK830" s="3070" t="s">
        <v>4056</v>
      </c>
      <c r="CL830" s="3070" t="s">
        <v>4056</v>
      </c>
      <c r="CM830" s="3070">
        <v>1039977.98</v>
      </c>
      <c r="CV830" s="3070" t="s">
        <v>3494</v>
      </c>
      <c r="CW830" s="3070" t="s">
        <v>9992</v>
      </c>
      <c r="CZ830" s="3070">
        <v>213894.57</v>
      </c>
      <c r="DA830" s="3070">
        <v>159426.93</v>
      </c>
      <c r="DB830" s="3070">
        <v>0</v>
      </c>
      <c r="DC830" s="3070">
        <v>0</v>
      </c>
      <c r="DD830" s="3070">
        <v>3290547602</v>
      </c>
      <c r="DE830" s="3070">
        <v>2764253109</v>
      </c>
      <c r="DF830" s="3070">
        <v>1464966739</v>
      </c>
      <c r="DG830" s="3070">
        <v>14938370</v>
      </c>
      <c r="DH830" s="3070">
        <v>1284348000</v>
      </c>
      <c r="DI830" s="3070">
        <v>1278128000</v>
      </c>
      <c r="DJ830" s="3070">
        <v>6220000</v>
      </c>
      <c r="DK830" s="3070">
        <v>0</v>
      </c>
      <c r="DL830" s="3070">
        <v>0</v>
      </c>
      <c r="DM830" s="3070">
        <v>25491817.620000001</v>
      </c>
      <c r="DN830" s="3070">
        <v>2764253109</v>
      </c>
      <c r="DP830" s="3070">
        <v>2764253109</v>
      </c>
    </row>
    <row r="831" spans="1:120">
      <c r="A831" s="3070">
        <v>830</v>
      </c>
      <c r="B831" s="3070" t="s">
        <v>3224</v>
      </c>
      <c r="C831" s="3070">
        <v>9</v>
      </c>
      <c r="E831" s="3070">
        <v>1804</v>
      </c>
      <c r="F831" s="3070" t="s">
        <v>9993</v>
      </c>
      <c r="G831" s="3070" t="s">
        <v>9994</v>
      </c>
      <c r="H831" s="3070">
        <v>1129535</v>
      </c>
      <c r="I831" s="3070">
        <v>1129535</v>
      </c>
      <c r="J831" s="3070">
        <v>94.31</v>
      </c>
      <c r="K831" s="3070">
        <v>66.5</v>
      </c>
      <c r="L831" s="3070">
        <v>0</v>
      </c>
      <c r="M831" s="3070">
        <v>0</v>
      </c>
      <c r="N831" s="3070">
        <v>15194.44</v>
      </c>
      <c r="O831" s="3070">
        <v>1432988</v>
      </c>
      <c r="P831" s="3070">
        <v>11976.83</v>
      </c>
      <c r="Q831" s="3070">
        <v>1129535</v>
      </c>
      <c r="R831" s="3070" t="s">
        <v>3227</v>
      </c>
      <c r="S831" s="3070" t="s">
        <v>9995</v>
      </c>
      <c r="T831" s="3070" t="s">
        <v>3494</v>
      </c>
      <c r="V831" s="3070" t="s">
        <v>3230</v>
      </c>
      <c r="Y831" s="3070">
        <v>112954</v>
      </c>
      <c r="Z831" s="3070">
        <v>112954</v>
      </c>
      <c r="AA831" s="3070">
        <v>1129535</v>
      </c>
      <c r="AB831" s="3070">
        <v>0</v>
      </c>
      <c r="AC831" s="3070">
        <v>0</v>
      </c>
      <c r="AD831" s="3070">
        <v>0</v>
      </c>
      <c r="AE831" s="3070">
        <v>0</v>
      </c>
      <c r="AI831" s="3070" t="s">
        <v>3227</v>
      </c>
      <c r="AJ831" s="3070">
        <v>0</v>
      </c>
      <c r="AK831" s="3070">
        <v>0</v>
      </c>
      <c r="AL831" s="3070">
        <v>0</v>
      </c>
      <c r="AM831" s="3070">
        <v>11976.83</v>
      </c>
      <c r="AN831" s="3070">
        <v>1129535</v>
      </c>
      <c r="AP831" s="3070">
        <v>1129535</v>
      </c>
      <c r="AQ831" s="3072">
        <v>45138</v>
      </c>
      <c r="AT831" s="3073">
        <v>45678</v>
      </c>
      <c r="AV831" s="3074">
        <v>3.21E+17</v>
      </c>
      <c r="AW831" s="3070" t="s">
        <v>9996</v>
      </c>
      <c r="AX831" s="3070" t="s">
        <v>9997</v>
      </c>
      <c r="AY831" s="3070" t="s">
        <v>3892</v>
      </c>
      <c r="BA831" s="3070" t="s">
        <v>4527</v>
      </c>
      <c r="BC831" s="3070" t="s">
        <v>9998</v>
      </c>
      <c r="BD831" s="3070" t="s">
        <v>3077</v>
      </c>
      <c r="BI831" s="3070" t="s">
        <v>3235</v>
      </c>
      <c r="BL831" s="3070" t="s">
        <v>9999</v>
      </c>
      <c r="BM831" s="3075">
        <v>44440</v>
      </c>
      <c r="BN831" s="3070">
        <v>804</v>
      </c>
      <c r="BR831" s="3070">
        <v>21</v>
      </c>
      <c r="BS831" s="3070" t="s">
        <v>3238</v>
      </c>
      <c r="BT831" s="3070" t="s">
        <v>9714</v>
      </c>
      <c r="BU831" s="3070" t="s">
        <v>4527</v>
      </c>
      <c r="BV831" s="3070" t="s">
        <v>10000</v>
      </c>
      <c r="BZ831" s="3073">
        <v>44193.689583333333</v>
      </c>
      <c r="CA831" s="3070">
        <v>9</v>
      </c>
      <c r="CB831" s="3070" t="s">
        <v>9714</v>
      </c>
      <c r="CD831" s="3070" t="s">
        <v>3239</v>
      </c>
      <c r="CF831" s="3070" t="s">
        <v>3091</v>
      </c>
      <c r="CH831" s="3070" t="s">
        <v>3240</v>
      </c>
      <c r="CI831" s="3070">
        <v>0</v>
      </c>
      <c r="CK831" s="3070" t="s">
        <v>4056</v>
      </c>
      <c r="CL831" s="3070" t="s">
        <v>4056</v>
      </c>
      <c r="CM831" s="3070">
        <v>1036270.64</v>
      </c>
      <c r="CV831" s="3070" t="s">
        <v>3494</v>
      </c>
      <c r="CW831" s="3070" t="s">
        <v>10001</v>
      </c>
      <c r="CZ831" s="3070">
        <v>213894.57</v>
      </c>
      <c r="DA831" s="3070">
        <v>159426.93</v>
      </c>
      <c r="DB831" s="3070">
        <v>0</v>
      </c>
      <c r="DC831" s="3070">
        <v>0</v>
      </c>
      <c r="DD831" s="3070">
        <v>3290547602</v>
      </c>
      <c r="DE831" s="3070">
        <v>2764253109</v>
      </c>
      <c r="DF831" s="3070">
        <v>1464966739</v>
      </c>
      <c r="DG831" s="3070">
        <v>14938370</v>
      </c>
      <c r="DH831" s="3070">
        <v>1284348000</v>
      </c>
      <c r="DI831" s="3070">
        <v>1278128000</v>
      </c>
      <c r="DJ831" s="3070">
        <v>6220000</v>
      </c>
      <c r="DK831" s="3070">
        <v>0</v>
      </c>
      <c r="DL831" s="3070">
        <v>0</v>
      </c>
      <c r="DM831" s="3070">
        <v>25491817.620000001</v>
      </c>
      <c r="DN831" s="3070">
        <v>2764253109</v>
      </c>
      <c r="DP831" s="3070">
        <v>2764253109</v>
      </c>
    </row>
    <row r="832" spans="1:120">
      <c r="A832" s="3070">
        <v>831</v>
      </c>
      <c r="B832" s="3070" t="s">
        <v>3224</v>
      </c>
      <c r="C832" s="3070">
        <v>9</v>
      </c>
      <c r="E832" s="3070">
        <v>201</v>
      </c>
      <c r="F832" s="3070" t="s">
        <v>10002</v>
      </c>
      <c r="G832" s="3070" t="s">
        <v>10003</v>
      </c>
      <c r="H832" s="3070">
        <v>1212465</v>
      </c>
      <c r="I832" s="3070">
        <v>1212465</v>
      </c>
      <c r="J832" s="3070">
        <v>94.31</v>
      </c>
      <c r="K832" s="3070">
        <v>66.5</v>
      </c>
      <c r="L832" s="3070">
        <v>0</v>
      </c>
      <c r="M832" s="3070">
        <v>0</v>
      </c>
      <c r="N832" s="3070">
        <v>15144.44</v>
      </c>
      <c r="O832" s="3070">
        <v>1428272</v>
      </c>
      <c r="P832" s="3070">
        <v>12856.17</v>
      </c>
      <c r="Q832" s="3070">
        <v>1212465</v>
      </c>
      <c r="R832" s="3070" t="s">
        <v>3227</v>
      </c>
      <c r="S832" s="3070" t="s">
        <v>10004</v>
      </c>
      <c r="T832" s="3070" t="s">
        <v>3246</v>
      </c>
      <c r="U832" s="3070" t="s">
        <v>3247</v>
      </c>
      <c r="V832" s="3070" t="s">
        <v>3230</v>
      </c>
      <c r="Y832" s="3070">
        <v>372465</v>
      </c>
      <c r="Z832" s="3070">
        <v>372465</v>
      </c>
      <c r="AA832" s="3070">
        <v>372465</v>
      </c>
      <c r="AB832" s="3070">
        <v>0</v>
      </c>
      <c r="AC832" s="3070">
        <v>840000</v>
      </c>
      <c r="AD832" s="3070">
        <v>840000</v>
      </c>
      <c r="AE832" s="3070">
        <v>0</v>
      </c>
      <c r="AI832" s="3070" t="s">
        <v>3227</v>
      </c>
      <c r="AJ832" s="3070">
        <v>0</v>
      </c>
      <c r="AK832" s="3070">
        <v>0</v>
      </c>
      <c r="AL832" s="3070">
        <v>0</v>
      </c>
      <c r="AM832" s="3070">
        <v>12856.17</v>
      </c>
      <c r="AN832" s="3070">
        <v>1212465</v>
      </c>
      <c r="AP832" s="3070">
        <v>1212465</v>
      </c>
      <c r="AQ832" s="3072">
        <v>45138</v>
      </c>
      <c r="AT832" s="3073">
        <v>45678</v>
      </c>
      <c r="AV832" s="3074">
        <v>3.33E+17</v>
      </c>
      <c r="AW832" s="3070" t="s">
        <v>10005</v>
      </c>
      <c r="AX832" s="3070" t="s">
        <v>10006</v>
      </c>
      <c r="AY832" s="3070" t="s">
        <v>3419</v>
      </c>
      <c r="BC832" s="3070" t="s">
        <v>8076</v>
      </c>
      <c r="BD832" s="3070" t="s">
        <v>3077</v>
      </c>
      <c r="BI832" s="3070" t="s">
        <v>3235</v>
      </c>
      <c r="BL832" s="3070" t="s">
        <v>10007</v>
      </c>
      <c r="BM832" s="3075">
        <v>44441</v>
      </c>
      <c r="BN832" s="3070">
        <v>1</v>
      </c>
      <c r="BO832" s="3070" t="s">
        <v>3253</v>
      </c>
      <c r="BR832" s="3070">
        <v>16</v>
      </c>
      <c r="BS832" s="3070" t="s">
        <v>3238</v>
      </c>
      <c r="BT832" s="3070" t="s">
        <v>9714</v>
      </c>
      <c r="BV832" s="3070" t="s">
        <v>10008</v>
      </c>
      <c r="BZ832" s="3073">
        <v>44185.668749999997</v>
      </c>
      <c r="CA832" s="3070">
        <v>9</v>
      </c>
      <c r="CB832" s="3070" t="s">
        <v>9714</v>
      </c>
      <c r="CD832" s="3070" t="s">
        <v>3239</v>
      </c>
      <c r="CF832" s="3070" t="s">
        <v>3091</v>
      </c>
      <c r="CH832" s="3070" t="s">
        <v>3240</v>
      </c>
      <c r="CI832" s="3070">
        <v>0</v>
      </c>
      <c r="CK832" s="3070" t="s">
        <v>3419</v>
      </c>
      <c r="CL832" s="3070" t="s">
        <v>3419</v>
      </c>
      <c r="CM832" s="3070">
        <v>1112353.21</v>
      </c>
      <c r="CV832" s="3070" t="s">
        <v>3246</v>
      </c>
      <c r="CW832" s="3070" t="s">
        <v>10009</v>
      </c>
      <c r="CX832" s="3070" t="s">
        <v>3510</v>
      </c>
      <c r="CZ832" s="3070">
        <v>213894.57</v>
      </c>
      <c r="DA832" s="3070">
        <v>159426.93</v>
      </c>
      <c r="DB832" s="3070">
        <v>0</v>
      </c>
      <c r="DC832" s="3070">
        <v>0</v>
      </c>
      <c r="DD832" s="3070">
        <v>3290547602</v>
      </c>
      <c r="DE832" s="3070">
        <v>2764253109</v>
      </c>
      <c r="DF832" s="3070">
        <v>1464966739</v>
      </c>
      <c r="DG832" s="3070">
        <v>14938370</v>
      </c>
      <c r="DH832" s="3070">
        <v>1284348000</v>
      </c>
      <c r="DI832" s="3070">
        <v>1278128000</v>
      </c>
      <c r="DJ832" s="3070">
        <v>6220000</v>
      </c>
      <c r="DK832" s="3070">
        <v>0</v>
      </c>
      <c r="DL832" s="3070">
        <v>0</v>
      </c>
      <c r="DM832" s="3070">
        <v>25491817.620000001</v>
      </c>
      <c r="DN832" s="3070">
        <v>2764253109</v>
      </c>
      <c r="DP832" s="3070">
        <v>2764253109</v>
      </c>
    </row>
    <row r="833" spans="1:120">
      <c r="A833" s="3070">
        <v>832</v>
      </c>
      <c r="B833" s="3070" t="s">
        <v>3224</v>
      </c>
      <c r="C833" s="3070">
        <v>9</v>
      </c>
      <c r="E833" s="3070">
        <v>202</v>
      </c>
      <c r="F833" s="3070" t="s">
        <v>10010</v>
      </c>
      <c r="G833" s="3070" t="s">
        <v>10011</v>
      </c>
      <c r="H833" s="3070">
        <v>1148699</v>
      </c>
      <c r="I833" s="3070">
        <v>1148699</v>
      </c>
      <c r="J833" s="3070">
        <v>94.31</v>
      </c>
      <c r="K833" s="3070">
        <v>66.5</v>
      </c>
      <c r="L833" s="3070">
        <v>0</v>
      </c>
      <c r="M833" s="3070">
        <v>0</v>
      </c>
      <c r="N833" s="3070">
        <v>15094.44</v>
      </c>
      <c r="O833" s="3070">
        <v>1423557</v>
      </c>
      <c r="P833" s="3070">
        <v>12180.03</v>
      </c>
      <c r="Q833" s="3070">
        <v>1148699</v>
      </c>
      <c r="R833" s="3070" t="s">
        <v>3227</v>
      </c>
      <c r="S833" s="3070" t="s">
        <v>10012</v>
      </c>
      <c r="T833" s="3070" t="s">
        <v>3246</v>
      </c>
      <c r="U833" s="3070" t="s">
        <v>3279</v>
      </c>
      <c r="V833" s="3070" t="s">
        <v>3230</v>
      </c>
      <c r="Y833" s="3070">
        <v>588699</v>
      </c>
      <c r="Z833" s="3070">
        <v>588699</v>
      </c>
      <c r="AA833" s="3070">
        <v>588699</v>
      </c>
      <c r="AB833" s="3070">
        <v>0</v>
      </c>
      <c r="AC833" s="3070">
        <v>560000</v>
      </c>
      <c r="AD833" s="3070">
        <v>560000</v>
      </c>
      <c r="AE833" s="3070">
        <v>0</v>
      </c>
      <c r="AI833" s="3070" t="s">
        <v>3227</v>
      </c>
      <c r="AJ833" s="3070">
        <v>0</v>
      </c>
      <c r="AK833" s="3070">
        <v>0</v>
      </c>
      <c r="AL833" s="3070">
        <v>0</v>
      </c>
      <c r="AM833" s="3070">
        <v>12180.03</v>
      </c>
      <c r="AN833" s="3070">
        <v>1148699</v>
      </c>
      <c r="AP833" s="3070">
        <v>1148699</v>
      </c>
      <c r="AQ833" s="3072">
        <v>45138</v>
      </c>
      <c r="AT833" s="3073">
        <v>45678</v>
      </c>
      <c r="AV833" s="3070" t="s">
        <v>10013</v>
      </c>
      <c r="AW833" s="3070" t="s">
        <v>10014</v>
      </c>
      <c r="AX833" s="3070" t="s">
        <v>10015</v>
      </c>
      <c r="AY833" s="3070" t="s">
        <v>3262</v>
      </c>
      <c r="BC833" s="3070" t="s">
        <v>3284</v>
      </c>
      <c r="BD833" s="3070" t="s">
        <v>3077</v>
      </c>
      <c r="BI833" s="3070" t="s">
        <v>3235</v>
      </c>
      <c r="BJ833" s="3070" t="s">
        <v>3338</v>
      </c>
      <c r="BL833" s="3070" t="s">
        <v>10016</v>
      </c>
      <c r="BM833" s="3075">
        <v>44441</v>
      </c>
      <c r="BN833" s="3070">
        <v>2</v>
      </c>
      <c r="BO833" s="3070" t="s">
        <v>3253</v>
      </c>
      <c r="BR833" s="3070">
        <v>265</v>
      </c>
      <c r="BS833" s="3070" t="s">
        <v>3238</v>
      </c>
      <c r="BT833" s="3070" t="s">
        <v>9714</v>
      </c>
      <c r="BZ833" s="3073">
        <v>44142.856249999997</v>
      </c>
      <c r="CA833" s="3070">
        <v>9</v>
      </c>
      <c r="CB833" s="3070" t="s">
        <v>9714</v>
      </c>
      <c r="CD833" s="3070" t="s">
        <v>3239</v>
      </c>
      <c r="CF833" s="3070" t="s">
        <v>3091</v>
      </c>
      <c r="CH833" s="3070" t="s">
        <v>3240</v>
      </c>
      <c r="CI833" s="3070">
        <v>0</v>
      </c>
      <c r="CK833" s="3070" t="s">
        <v>3262</v>
      </c>
      <c r="CL833" s="3070" t="s">
        <v>3262</v>
      </c>
      <c r="CM833" s="3070">
        <v>1053852.29</v>
      </c>
      <c r="CV833" s="3070" t="s">
        <v>3246</v>
      </c>
      <c r="CW833" s="3070" t="s">
        <v>10017</v>
      </c>
      <c r="CZ833" s="3070">
        <v>213894.57</v>
      </c>
      <c r="DA833" s="3070">
        <v>159426.93</v>
      </c>
      <c r="DB833" s="3070">
        <v>0</v>
      </c>
      <c r="DC833" s="3070">
        <v>0</v>
      </c>
      <c r="DD833" s="3070">
        <v>3290547602</v>
      </c>
      <c r="DE833" s="3070">
        <v>2764253109</v>
      </c>
      <c r="DF833" s="3070">
        <v>1464966739</v>
      </c>
      <c r="DG833" s="3070">
        <v>14938370</v>
      </c>
      <c r="DH833" s="3070">
        <v>1284348000</v>
      </c>
      <c r="DI833" s="3070">
        <v>1278128000</v>
      </c>
      <c r="DJ833" s="3070">
        <v>6220000</v>
      </c>
      <c r="DK833" s="3070">
        <v>0</v>
      </c>
      <c r="DL833" s="3070">
        <v>0</v>
      </c>
      <c r="DM833" s="3070">
        <v>25491817.620000001</v>
      </c>
      <c r="DN833" s="3070">
        <v>2764253109</v>
      </c>
      <c r="DP833" s="3070">
        <v>2764253109</v>
      </c>
    </row>
    <row r="834" spans="1:120">
      <c r="A834" s="3070">
        <v>833</v>
      </c>
      <c r="B834" s="3070" t="s">
        <v>3224</v>
      </c>
      <c r="C834" s="3070">
        <v>9</v>
      </c>
      <c r="E834" s="3070">
        <v>203</v>
      </c>
      <c r="F834" s="3070" t="s">
        <v>10018</v>
      </c>
      <c r="G834" s="3070" t="s">
        <v>10019</v>
      </c>
      <c r="H834" s="3070">
        <v>1148699</v>
      </c>
      <c r="I834" s="3070">
        <v>1148699</v>
      </c>
      <c r="J834" s="3070">
        <v>94.31</v>
      </c>
      <c r="K834" s="3070">
        <v>66.5</v>
      </c>
      <c r="L834" s="3070">
        <v>0</v>
      </c>
      <c r="M834" s="3070">
        <v>0</v>
      </c>
      <c r="N834" s="3070">
        <v>15094.44</v>
      </c>
      <c r="O834" s="3070">
        <v>1423557</v>
      </c>
      <c r="P834" s="3070">
        <v>12180.03</v>
      </c>
      <c r="Q834" s="3070">
        <v>1148699</v>
      </c>
      <c r="R834" s="3070" t="s">
        <v>3227</v>
      </c>
      <c r="S834" s="3070" t="s">
        <v>10020</v>
      </c>
      <c r="T834" s="3070" t="s">
        <v>3246</v>
      </c>
      <c r="U834" s="3070" t="s">
        <v>3247</v>
      </c>
      <c r="V834" s="3070" t="s">
        <v>3230</v>
      </c>
      <c r="Y834" s="3070">
        <v>428699</v>
      </c>
      <c r="Z834" s="3070">
        <v>148699</v>
      </c>
      <c r="AA834" s="3070">
        <v>428699</v>
      </c>
      <c r="AB834" s="3070">
        <v>0</v>
      </c>
      <c r="AC834" s="3070">
        <v>720000</v>
      </c>
      <c r="AD834" s="3070">
        <v>720000</v>
      </c>
      <c r="AE834" s="3070">
        <v>0</v>
      </c>
      <c r="AI834" s="3070" t="s">
        <v>3227</v>
      </c>
      <c r="AJ834" s="3070">
        <v>0</v>
      </c>
      <c r="AK834" s="3070">
        <v>0</v>
      </c>
      <c r="AL834" s="3070">
        <v>0</v>
      </c>
      <c r="AM834" s="3070">
        <v>12180.03</v>
      </c>
      <c r="AN834" s="3070">
        <v>1148699</v>
      </c>
      <c r="AP834" s="3070">
        <v>1148699</v>
      </c>
      <c r="AQ834" s="3072">
        <v>45138</v>
      </c>
      <c r="AT834" s="3073">
        <v>45678</v>
      </c>
      <c r="AV834" s="3074">
        <v>3.21E+17</v>
      </c>
      <c r="AW834" s="3070" t="s">
        <v>10021</v>
      </c>
      <c r="AX834" s="3070" t="s">
        <v>10022</v>
      </c>
      <c r="AY834" s="3070" t="s">
        <v>3648</v>
      </c>
      <c r="BC834" s="3070" t="s">
        <v>3284</v>
      </c>
      <c r="BD834" s="3070" t="s">
        <v>3077</v>
      </c>
      <c r="BI834" s="3070" t="s">
        <v>3235</v>
      </c>
      <c r="BL834" s="3070" t="s">
        <v>10023</v>
      </c>
      <c r="BM834" s="3075">
        <v>44441</v>
      </c>
      <c r="BN834" s="3070">
        <v>3</v>
      </c>
      <c r="BO834" s="3070" t="s">
        <v>3253</v>
      </c>
      <c r="BR834" s="3070">
        <v>113</v>
      </c>
      <c r="BS834" s="3070" t="s">
        <v>3238</v>
      </c>
      <c r="BT834" s="3070" t="s">
        <v>9714</v>
      </c>
      <c r="BZ834" s="3073">
        <v>44142.84097222222</v>
      </c>
      <c r="CA834" s="3070">
        <v>9</v>
      </c>
      <c r="CB834" s="3070" t="s">
        <v>9714</v>
      </c>
      <c r="CD834" s="3070" t="s">
        <v>3239</v>
      </c>
      <c r="CF834" s="3070" t="s">
        <v>3091</v>
      </c>
      <c r="CH834" s="3070" t="s">
        <v>3240</v>
      </c>
      <c r="CI834" s="3070">
        <v>0</v>
      </c>
      <c r="CK834" s="3070" t="s">
        <v>3648</v>
      </c>
      <c r="CL834" s="3070" t="s">
        <v>3648</v>
      </c>
      <c r="CM834" s="3070">
        <v>1053852.29</v>
      </c>
      <c r="CV834" s="3070" t="s">
        <v>3246</v>
      </c>
      <c r="CW834" s="3070" t="s">
        <v>10024</v>
      </c>
      <c r="CZ834" s="3070">
        <v>213894.57</v>
      </c>
      <c r="DA834" s="3070">
        <v>159426.93</v>
      </c>
      <c r="DB834" s="3070">
        <v>0</v>
      </c>
      <c r="DC834" s="3070">
        <v>0</v>
      </c>
      <c r="DD834" s="3070">
        <v>3290547602</v>
      </c>
      <c r="DE834" s="3070">
        <v>2764253109</v>
      </c>
      <c r="DF834" s="3070">
        <v>1464966739</v>
      </c>
      <c r="DG834" s="3070">
        <v>14938370</v>
      </c>
      <c r="DH834" s="3070">
        <v>1284348000</v>
      </c>
      <c r="DI834" s="3070">
        <v>1278128000</v>
      </c>
      <c r="DJ834" s="3070">
        <v>6220000</v>
      </c>
      <c r="DK834" s="3070">
        <v>0</v>
      </c>
      <c r="DL834" s="3070">
        <v>0</v>
      </c>
      <c r="DM834" s="3070">
        <v>25491817.620000001</v>
      </c>
      <c r="DN834" s="3070">
        <v>2764253109</v>
      </c>
      <c r="DP834" s="3070">
        <v>2764253109</v>
      </c>
    </row>
    <row r="835" spans="1:120">
      <c r="A835" s="3070">
        <v>834</v>
      </c>
      <c r="B835" s="3070" t="s">
        <v>3224</v>
      </c>
      <c r="C835" s="3070">
        <v>9</v>
      </c>
      <c r="E835" s="3070">
        <v>204</v>
      </c>
      <c r="F835" s="3070" t="s">
        <v>10025</v>
      </c>
      <c r="G835" s="3070" t="s">
        <v>10026</v>
      </c>
      <c r="H835" s="3070">
        <v>1144217</v>
      </c>
      <c r="I835" s="3070">
        <v>1144217</v>
      </c>
      <c r="J835" s="3070">
        <v>94.31</v>
      </c>
      <c r="K835" s="3070">
        <v>66.5</v>
      </c>
      <c r="L835" s="3070">
        <v>0</v>
      </c>
      <c r="M835" s="3070">
        <v>0</v>
      </c>
      <c r="N835" s="3070">
        <v>15044.44</v>
      </c>
      <c r="O835" s="3070">
        <v>1418841</v>
      </c>
      <c r="P835" s="3070">
        <v>12132.51</v>
      </c>
      <c r="Q835" s="3070">
        <v>1144217</v>
      </c>
      <c r="R835" s="3070" t="s">
        <v>3227</v>
      </c>
      <c r="S835" s="3070" t="s">
        <v>10027</v>
      </c>
      <c r="T835" s="3070" t="s">
        <v>3246</v>
      </c>
      <c r="U835" s="3070" t="s">
        <v>3247</v>
      </c>
      <c r="V835" s="3070" t="s">
        <v>3230</v>
      </c>
      <c r="Y835" s="3070">
        <v>344217</v>
      </c>
      <c r="Z835" s="3070">
        <v>344217</v>
      </c>
      <c r="AA835" s="3070">
        <v>344217</v>
      </c>
      <c r="AB835" s="3070">
        <v>0</v>
      </c>
      <c r="AC835" s="3070">
        <v>800000</v>
      </c>
      <c r="AD835" s="3070">
        <v>800000</v>
      </c>
      <c r="AE835" s="3070">
        <v>0</v>
      </c>
      <c r="AI835" s="3070" t="s">
        <v>3227</v>
      </c>
      <c r="AJ835" s="3070">
        <v>0</v>
      </c>
      <c r="AK835" s="3070">
        <v>0</v>
      </c>
      <c r="AL835" s="3070">
        <v>0</v>
      </c>
      <c r="AM835" s="3070">
        <v>12132.51</v>
      </c>
      <c r="AN835" s="3070">
        <v>1144217</v>
      </c>
      <c r="AP835" s="3070">
        <v>1144217</v>
      </c>
      <c r="AQ835" s="3072">
        <v>45138</v>
      </c>
      <c r="AT835" s="3073">
        <v>45678</v>
      </c>
      <c r="AV835" s="3074">
        <v>3.21E+17</v>
      </c>
      <c r="AW835" s="3070" t="s">
        <v>10028</v>
      </c>
      <c r="AX835" s="3070" t="s">
        <v>10029</v>
      </c>
      <c r="AY835" s="3070" t="s">
        <v>5921</v>
      </c>
      <c r="BC835" s="3070" t="s">
        <v>3284</v>
      </c>
      <c r="BD835" s="3070" t="s">
        <v>3077</v>
      </c>
      <c r="BI835" s="3070" t="s">
        <v>3235</v>
      </c>
      <c r="BJ835" s="3070" t="s">
        <v>3338</v>
      </c>
      <c r="BL835" s="3070" t="s">
        <v>10030</v>
      </c>
      <c r="BM835" s="3075">
        <v>44441</v>
      </c>
      <c r="BN835" s="3070">
        <v>4</v>
      </c>
      <c r="BO835" s="3070" t="s">
        <v>3253</v>
      </c>
      <c r="BR835" s="3070">
        <v>398</v>
      </c>
      <c r="BS835" s="3070" t="s">
        <v>3238</v>
      </c>
      <c r="BT835" s="3070" t="s">
        <v>9714</v>
      </c>
      <c r="BZ835" s="3073">
        <v>44142.845833333333</v>
      </c>
      <c r="CA835" s="3070">
        <v>9</v>
      </c>
      <c r="CB835" s="3070" t="s">
        <v>9714</v>
      </c>
      <c r="CD835" s="3070" t="s">
        <v>3239</v>
      </c>
      <c r="CF835" s="3070" t="s">
        <v>3091</v>
      </c>
      <c r="CH835" s="3070" t="s">
        <v>3240</v>
      </c>
      <c r="CI835" s="3070">
        <v>0</v>
      </c>
      <c r="CK835" s="3070" t="s">
        <v>5921</v>
      </c>
      <c r="CL835" s="3070" t="s">
        <v>5921</v>
      </c>
      <c r="CM835" s="3070">
        <v>1049740.3700000001</v>
      </c>
      <c r="CV835" s="3070" t="s">
        <v>3246</v>
      </c>
      <c r="CW835" s="3070" t="s">
        <v>10031</v>
      </c>
      <c r="CZ835" s="3070">
        <v>213894.57</v>
      </c>
      <c r="DA835" s="3070">
        <v>159426.93</v>
      </c>
      <c r="DB835" s="3070">
        <v>0</v>
      </c>
      <c r="DC835" s="3070">
        <v>0</v>
      </c>
      <c r="DD835" s="3070">
        <v>3290547602</v>
      </c>
      <c r="DE835" s="3070">
        <v>2764253109</v>
      </c>
      <c r="DF835" s="3070">
        <v>1464966739</v>
      </c>
      <c r="DG835" s="3070">
        <v>14938370</v>
      </c>
      <c r="DH835" s="3070">
        <v>1284348000</v>
      </c>
      <c r="DI835" s="3070">
        <v>1278128000</v>
      </c>
      <c r="DJ835" s="3070">
        <v>6220000</v>
      </c>
      <c r="DK835" s="3070">
        <v>0</v>
      </c>
      <c r="DL835" s="3070">
        <v>0</v>
      </c>
      <c r="DM835" s="3070">
        <v>25491817.620000001</v>
      </c>
      <c r="DN835" s="3070">
        <v>2764253109</v>
      </c>
      <c r="DP835" s="3070">
        <v>2764253109</v>
      </c>
    </row>
    <row r="836" spans="1:120">
      <c r="A836" s="3070">
        <v>835</v>
      </c>
      <c r="B836" s="3070" t="s">
        <v>3224</v>
      </c>
      <c r="C836" s="3070">
        <v>9</v>
      </c>
      <c r="E836" s="3070">
        <v>301</v>
      </c>
      <c r="F836" s="3070" t="s">
        <v>10032</v>
      </c>
      <c r="G836" s="3070" t="s">
        <v>10033</v>
      </c>
      <c r="H836" s="3070">
        <v>1162147</v>
      </c>
      <c r="I836" s="3070">
        <v>1162147</v>
      </c>
      <c r="J836" s="3070">
        <v>94.31</v>
      </c>
      <c r="K836" s="3070">
        <v>66.5</v>
      </c>
      <c r="L836" s="3070">
        <v>0</v>
      </c>
      <c r="M836" s="3070">
        <v>0</v>
      </c>
      <c r="N836" s="3070">
        <v>15244.44</v>
      </c>
      <c r="O836" s="3070">
        <v>1437703</v>
      </c>
      <c r="P836" s="3070">
        <v>12322.63</v>
      </c>
      <c r="Q836" s="3070">
        <v>1162147</v>
      </c>
      <c r="R836" s="3070" t="s">
        <v>3227</v>
      </c>
      <c r="S836" s="3070" t="s">
        <v>10034</v>
      </c>
      <c r="T836" s="3070" t="s">
        <v>3246</v>
      </c>
      <c r="U836" s="3070" t="s">
        <v>3247</v>
      </c>
      <c r="V836" s="3070" t="s">
        <v>3230</v>
      </c>
      <c r="Y836" s="3070">
        <v>352147</v>
      </c>
      <c r="Z836" s="3070">
        <v>352147</v>
      </c>
      <c r="AA836" s="3070">
        <v>352147</v>
      </c>
      <c r="AB836" s="3070">
        <v>0</v>
      </c>
      <c r="AC836" s="3070">
        <v>810000</v>
      </c>
      <c r="AD836" s="3070">
        <v>810000</v>
      </c>
      <c r="AE836" s="3070">
        <v>0</v>
      </c>
      <c r="AI836" s="3070" t="s">
        <v>3227</v>
      </c>
      <c r="AJ836" s="3070">
        <v>0</v>
      </c>
      <c r="AK836" s="3070">
        <v>0</v>
      </c>
      <c r="AL836" s="3070">
        <v>0</v>
      </c>
      <c r="AM836" s="3070">
        <v>12322.63</v>
      </c>
      <c r="AN836" s="3070">
        <v>1162147</v>
      </c>
      <c r="AP836" s="3070">
        <v>1162147</v>
      </c>
      <c r="AQ836" s="3072">
        <v>45138</v>
      </c>
      <c r="AT836" s="3073">
        <v>45678</v>
      </c>
      <c r="AV836" s="3074">
        <v>3.21E+17</v>
      </c>
      <c r="AW836" s="3070" t="s">
        <v>10035</v>
      </c>
      <c r="AX836" s="3070" t="s">
        <v>10036</v>
      </c>
      <c r="AY836" s="3070" t="s">
        <v>3273</v>
      </c>
      <c r="BC836" s="3070" t="s">
        <v>3284</v>
      </c>
      <c r="BD836" s="3070" t="s">
        <v>3077</v>
      </c>
      <c r="BI836" s="3070" t="s">
        <v>3235</v>
      </c>
      <c r="BL836" s="3070" t="s">
        <v>10037</v>
      </c>
      <c r="BM836" s="3075">
        <v>44442</v>
      </c>
      <c r="BN836" s="3070">
        <v>1</v>
      </c>
      <c r="BO836" s="3070" t="s">
        <v>3253</v>
      </c>
      <c r="BR836" s="3070">
        <v>870</v>
      </c>
      <c r="BS836" s="3070" t="s">
        <v>3238</v>
      </c>
      <c r="BT836" s="3070" t="s">
        <v>9714</v>
      </c>
      <c r="BZ836" s="3073">
        <v>44142.852777777778</v>
      </c>
      <c r="CA836" s="3070">
        <v>9</v>
      </c>
      <c r="CB836" s="3070" t="s">
        <v>9714</v>
      </c>
      <c r="CD836" s="3070" t="s">
        <v>3239</v>
      </c>
      <c r="CF836" s="3070" t="s">
        <v>3091</v>
      </c>
      <c r="CH836" s="3070" t="s">
        <v>3240</v>
      </c>
      <c r="CI836" s="3070">
        <v>0</v>
      </c>
      <c r="CK836" s="3070" t="s">
        <v>3273</v>
      </c>
      <c r="CL836" s="3070" t="s">
        <v>3273</v>
      </c>
      <c r="CM836" s="3070">
        <v>1066189.9099999999</v>
      </c>
      <c r="CV836" s="3070" t="s">
        <v>3246</v>
      </c>
      <c r="CW836" s="3070" t="s">
        <v>10038</v>
      </c>
      <c r="CX836" s="3070" t="s">
        <v>3510</v>
      </c>
      <c r="CZ836" s="3070">
        <v>213894.57</v>
      </c>
      <c r="DA836" s="3070">
        <v>159426.93</v>
      </c>
      <c r="DB836" s="3070">
        <v>0</v>
      </c>
      <c r="DC836" s="3070">
        <v>0</v>
      </c>
      <c r="DD836" s="3070">
        <v>3290547602</v>
      </c>
      <c r="DE836" s="3070">
        <v>2764253109</v>
      </c>
      <c r="DF836" s="3070">
        <v>1464966739</v>
      </c>
      <c r="DG836" s="3070">
        <v>14938370</v>
      </c>
      <c r="DH836" s="3070">
        <v>1284348000</v>
      </c>
      <c r="DI836" s="3070">
        <v>1278128000</v>
      </c>
      <c r="DJ836" s="3070">
        <v>6220000</v>
      </c>
      <c r="DK836" s="3070">
        <v>0</v>
      </c>
      <c r="DL836" s="3070">
        <v>0</v>
      </c>
      <c r="DM836" s="3070">
        <v>25491817.620000001</v>
      </c>
      <c r="DN836" s="3070">
        <v>2764253109</v>
      </c>
      <c r="DP836" s="3070">
        <v>2764253109</v>
      </c>
    </row>
    <row r="837" spans="1:120">
      <c r="A837" s="3070">
        <v>836</v>
      </c>
      <c r="B837" s="3070" t="s">
        <v>3224</v>
      </c>
      <c r="C837" s="3070">
        <v>9</v>
      </c>
      <c r="E837" s="3070">
        <v>302</v>
      </c>
      <c r="F837" s="3070" t="s">
        <v>10039</v>
      </c>
      <c r="G837" s="3070" t="s">
        <v>10040</v>
      </c>
      <c r="H837" s="3070">
        <v>1236117</v>
      </c>
      <c r="I837" s="3070">
        <v>1236117</v>
      </c>
      <c r="J837" s="3070">
        <v>94.31</v>
      </c>
      <c r="K837" s="3070">
        <v>66.5</v>
      </c>
      <c r="L837" s="3070">
        <v>0</v>
      </c>
      <c r="M837" s="3070">
        <v>0</v>
      </c>
      <c r="N837" s="3070">
        <v>15194.44</v>
      </c>
      <c r="O837" s="3070">
        <v>1432988</v>
      </c>
      <c r="P837" s="3070">
        <v>13106.96</v>
      </c>
      <c r="Q837" s="3070">
        <v>1236117</v>
      </c>
      <c r="R837" s="3070" t="s">
        <v>3227</v>
      </c>
      <c r="S837" s="3070" t="s">
        <v>10041</v>
      </c>
      <c r="T837" s="3070" t="s">
        <v>3258</v>
      </c>
      <c r="U837" s="3070" t="s">
        <v>3259</v>
      </c>
      <c r="V837" s="3070" t="s">
        <v>3230</v>
      </c>
      <c r="Y837" s="3070">
        <v>376117</v>
      </c>
      <c r="Z837" s="3070">
        <v>376117</v>
      </c>
      <c r="AA837" s="3070">
        <v>376117</v>
      </c>
      <c r="AB837" s="3070">
        <v>0</v>
      </c>
      <c r="AC837" s="3070">
        <v>860000</v>
      </c>
      <c r="AD837" s="3070">
        <v>860000</v>
      </c>
      <c r="AE837" s="3070">
        <v>0</v>
      </c>
      <c r="AI837" s="3070" t="s">
        <v>3227</v>
      </c>
      <c r="AJ837" s="3070">
        <v>0</v>
      </c>
      <c r="AK837" s="3070">
        <v>0</v>
      </c>
      <c r="AL837" s="3070">
        <v>0</v>
      </c>
      <c r="AM837" s="3070">
        <v>13106.96</v>
      </c>
      <c r="AN837" s="3070">
        <v>1236117</v>
      </c>
      <c r="AP837" s="3070">
        <v>1236117</v>
      </c>
      <c r="AQ837" s="3072">
        <v>45138</v>
      </c>
      <c r="AT837" s="3073">
        <v>45678</v>
      </c>
      <c r="AV837" s="3070" t="s">
        <v>10042</v>
      </c>
      <c r="AW837" s="3070" t="s">
        <v>10043</v>
      </c>
      <c r="AX837" s="3070" t="s">
        <v>10044</v>
      </c>
      <c r="AY837" s="3070" t="s">
        <v>5921</v>
      </c>
      <c r="BC837" s="3070" t="s">
        <v>10045</v>
      </c>
      <c r="BD837" s="3070" t="s">
        <v>3077</v>
      </c>
      <c r="BI837" s="3070" t="s">
        <v>3235</v>
      </c>
      <c r="BJ837" s="3070" t="s">
        <v>3296</v>
      </c>
      <c r="BL837" s="3070" t="s">
        <v>10046</v>
      </c>
      <c r="BM837" s="3075">
        <v>44442</v>
      </c>
      <c r="BN837" s="3070">
        <v>2</v>
      </c>
      <c r="BO837" s="3070" t="s">
        <v>3253</v>
      </c>
      <c r="BP837" s="3070" t="s">
        <v>3253</v>
      </c>
      <c r="BR837" s="3070">
        <v>0</v>
      </c>
      <c r="BS837" s="3070" t="s">
        <v>3238</v>
      </c>
      <c r="BT837" s="3070" t="s">
        <v>9714</v>
      </c>
      <c r="BZ837" s="3073">
        <v>44161.443749999999</v>
      </c>
      <c r="CA837" s="3070">
        <v>9</v>
      </c>
      <c r="CB837" s="3070" t="s">
        <v>9714</v>
      </c>
      <c r="CD837" s="3070" t="s">
        <v>3239</v>
      </c>
      <c r="CF837" s="3070" t="s">
        <v>3091</v>
      </c>
      <c r="CH837" s="3070" t="s">
        <v>3240</v>
      </c>
      <c r="CI837" s="3070">
        <v>0</v>
      </c>
      <c r="CJ837" s="3070" t="s">
        <v>3259</v>
      </c>
      <c r="CK837" s="3070" t="s">
        <v>5921</v>
      </c>
      <c r="CL837" s="3070" t="s">
        <v>5921</v>
      </c>
      <c r="CM837" s="3070">
        <v>1134052.29</v>
      </c>
      <c r="CV837" s="3070" t="s">
        <v>3258</v>
      </c>
      <c r="CW837" s="3070" t="s">
        <v>10047</v>
      </c>
      <c r="CZ837" s="3070">
        <v>213894.57</v>
      </c>
      <c r="DA837" s="3070">
        <v>159426.93</v>
      </c>
      <c r="DB837" s="3070">
        <v>0</v>
      </c>
      <c r="DC837" s="3070">
        <v>0</v>
      </c>
      <c r="DD837" s="3070">
        <v>3290547602</v>
      </c>
      <c r="DE837" s="3070">
        <v>2764253109</v>
      </c>
      <c r="DF837" s="3070">
        <v>1464966739</v>
      </c>
      <c r="DG837" s="3070">
        <v>14938370</v>
      </c>
      <c r="DH837" s="3070">
        <v>1284348000</v>
      </c>
      <c r="DI837" s="3070">
        <v>1278128000</v>
      </c>
      <c r="DJ837" s="3070">
        <v>6220000</v>
      </c>
      <c r="DK837" s="3070">
        <v>0</v>
      </c>
      <c r="DL837" s="3070">
        <v>0</v>
      </c>
      <c r="DM837" s="3070">
        <v>25491817.620000001</v>
      </c>
      <c r="DN837" s="3070">
        <v>2764253109</v>
      </c>
      <c r="DP837" s="3070">
        <v>2764253109</v>
      </c>
    </row>
    <row r="838" spans="1:120">
      <c r="A838" s="3070">
        <v>837</v>
      </c>
      <c r="B838" s="3070" t="s">
        <v>3224</v>
      </c>
      <c r="C838" s="3070">
        <v>9</v>
      </c>
      <c r="E838" s="3070">
        <v>303</v>
      </c>
      <c r="F838" s="3070" t="s">
        <v>10048</v>
      </c>
      <c r="G838" s="3070" t="s">
        <v>10049</v>
      </c>
      <c r="H838" s="3070">
        <v>1216811</v>
      </c>
      <c r="I838" s="3070">
        <v>1216811</v>
      </c>
      <c r="J838" s="3070">
        <v>94.31</v>
      </c>
      <c r="K838" s="3070">
        <v>66.5</v>
      </c>
      <c r="L838" s="3070">
        <v>0</v>
      </c>
      <c r="M838" s="3070">
        <v>0</v>
      </c>
      <c r="N838" s="3070">
        <v>15194.44</v>
      </c>
      <c r="O838" s="3070">
        <v>1432988</v>
      </c>
      <c r="P838" s="3070">
        <v>12902.25</v>
      </c>
      <c r="Q838" s="3070">
        <v>1216811</v>
      </c>
      <c r="R838" s="3070" t="s">
        <v>3227</v>
      </c>
      <c r="S838" s="3070" t="s">
        <v>10050</v>
      </c>
      <c r="T838" s="3070" t="s">
        <v>3258</v>
      </c>
      <c r="U838" s="3070" t="s">
        <v>3259</v>
      </c>
      <c r="V838" s="3070" t="s">
        <v>3230</v>
      </c>
      <c r="Y838" s="3070">
        <v>366811</v>
      </c>
      <c r="Z838" s="3070">
        <v>366811</v>
      </c>
      <c r="AA838" s="3070">
        <v>366811</v>
      </c>
      <c r="AB838" s="3070">
        <v>0</v>
      </c>
      <c r="AC838" s="3070">
        <v>850000</v>
      </c>
      <c r="AD838" s="3070">
        <v>850000</v>
      </c>
      <c r="AE838" s="3070">
        <v>0</v>
      </c>
      <c r="AI838" s="3070" t="s">
        <v>3227</v>
      </c>
      <c r="AJ838" s="3070">
        <v>0</v>
      </c>
      <c r="AK838" s="3070">
        <v>0</v>
      </c>
      <c r="AL838" s="3070">
        <v>0</v>
      </c>
      <c r="AM838" s="3070">
        <v>12902.25</v>
      </c>
      <c r="AN838" s="3070">
        <v>1216811</v>
      </c>
      <c r="AP838" s="3070">
        <v>1216811</v>
      </c>
      <c r="AQ838" s="3072">
        <v>45138</v>
      </c>
      <c r="AT838" s="3073">
        <v>45678</v>
      </c>
      <c r="AV838" s="3070" t="s">
        <v>10051</v>
      </c>
      <c r="AW838" s="3070" t="s">
        <v>10052</v>
      </c>
      <c r="AX838" s="3070" t="s">
        <v>10053</v>
      </c>
      <c r="AY838" s="3070" t="s">
        <v>3587</v>
      </c>
      <c r="BA838" s="3070" t="s">
        <v>3590</v>
      </c>
      <c r="BC838" s="3070" t="s">
        <v>3982</v>
      </c>
      <c r="BD838" s="3070" t="s">
        <v>3077</v>
      </c>
      <c r="BI838" s="3070" t="s">
        <v>3235</v>
      </c>
      <c r="BL838" s="3070" t="s">
        <v>10054</v>
      </c>
      <c r="BM838" s="3075">
        <v>44442</v>
      </c>
      <c r="BN838" s="3070">
        <v>3</v>
      </c>
      <c r="BO838" s="3070" t="s">
        <v>3253</v>
      </c>
      <c r="BP838" s="3070" t="s">
        <v>3253</v>
      </c>
      <c r="BR838" s="3070">
        <v>21</v>
      </c>
      <c r="BS838" s="3070" t="s">
        <v>3238</v>
      </c>
      <c r="BT838" s="3070" t="s">
        <v>9714</v>
      </c>
      <c r="BU838" s="3070" t="s">
        <v>3590</v>
      </c>
      <c r="BV838" s="3070" t="s">
        <v>10055</v>
      </c>
      <c r="BZ838" s="3073">
        <v>44192.747916666667</v>
      </c>
      <c r="CA838" s="3070">
        <v>9</v>
      </c>
      <c r="CB838" s="3070" t="s">
        <v>9714</v>
      </c>
      <c r="CD838" s="3070" t="s">
        <v>3239</v>
      </c>
      <c r="CF838" s="3070" t="s">
        <v>3091</v>
      </c>
      <c r="CH838" s="3070" t="s">
        <v>3240</v>
      </c>
      <c r="CI838" s="3070">
        <v>0</v>
      </c>
      <c r="CJ838" s="3070" t="s">
        <v>3259</v>
      </c>
      <c r="CK838" s="3070" t="s">
        <v>4736</v>
      </c>
      <c r="CL838" s="3070" t="s">
        <v>3590</v>
      </c>
      <c r="CM838" s="3070">
        <v>1116340.3700000001</v>
      </c>
      <c r="CV838" s="3070" t="s">
        <v>3258</v>
      </c>
      <c r="CW838" s="3070" t="s">
        <v>10056</v>
      </c>
      <c r="CZ838" s="3070">
        <v>213894.57</v>
      </c>
      <c r="DA838" s="3070">
        <v>159426.93</v>
      </c>
      <c r="DB838" s="3070">
        <v>0</v>
      </c>
      <c r="DC838" s="3070">
        <v>0</v>
      </c>
      <c r="DD838" s="3070">
        <v>3290547602</v>
      </c>
      <c r="DE838" s="3070">
        <v>2764253109</v>
      </c>
      <c r="DF838" s="3070">
        <v>1464966739</v>
      </c>
      <c r="DG838" s="3070">
        <v>14938370</v>
      </c>
      <c r="DH838" s="3070">
        <v>1284348000</v>
      </c>
      <c r="DI838" s="3070">
        <v>1278128000</v>
      </c>
      <c r="DJ838" s="3070">
        <v>6220000</v>
      </c>
      <c r="DK838" s="3070">
        <v>0</v>
      </c>
      <c r="DL838" s="3070">
        <v>0</v>
      </c>
      <c r="DM838" s="3070">
        <v>25491817.620000001</v>
      </c>
      <c r="DN838" s="3070">
        <v>2764253109</v>
      </c>
      <c r="DP838" s="3070">
        <v>2764253109</v>
      </c>
    </row>
    <row r="839" spans="1:120">
      <c r="A839" s="3070">
        <v>838</v>
      </c>
      <c r="B839" s="3070" t="s">
        <v>3224</v>
      </c>
      <c r="C839" s="3070">
        <v>9</v>
      </c>
      <c r="E839" s="3070">
        <v>304</v>
      </c>
      <c r="F839" s="3070" t="s">
        <v>10057</v>
      </c>
      <c r="G839" s="3070" t="s">
        <v>10058</v>
      </c>
      <c r="H839" s="3070">
        <v>1153182</v>
      </c>
      <c r="I839" s="3070">
        <v>1153182</v>
      </c>
      <c r="J839" s="3070">
        <v>94.31</v>
      </c>
      <c r="K839" s="3070">
        <v>66.5</v>
      </c>
      <c r="L839" s="3070">
        <v>0</v>
      </c>
      <c r="M839" s="3070">
        <v>0</v>
      </c>
      <c r="N839" s="3070">
        <v>15144.44</v>
      </c>
      <c r="O839" s="3070">
        <v>1428272</v>
      </c>
      <c r="P839" s="3070">
        <v>12227.57</v>
      </c>
      <c r="Q839" s="3070">
        <v>1153182</v>
      </c>
      <c r="R839" s="3070" t="s">
        <v>3227</v>
      </c>
      <c r="S839" s="3070" t="s">
        <v>10059</v>
      </c>
      <c r="T839" s="3070" t="s">
        <v>3246</v>
      </c>
      <c r="U839" s="3070" t="s">
        <v>3381</v>
      </c>
      <c r="V839" s="3070" t="s">
        <v>3230</v>
      </c>
      <c r="Y839" s="3070">
        <v>353182</v>
      </c>
      <c r="Z839" s="3070">
        <v>353182</v>
      </c>
      <c r="AA839" s="3070">
        <v>353182</v>
      </c>
      <c r="AB839" s="3070">
        <v>0</v>
      </c>
      <c r="AC839" s="3070">
        <v>800000</v>
      </c>
      <c r="AD839" s="3070">
        <v>800000</v>
      </c>
      <c r="AE839" s="3070">
        <v>0</v>
      </c>
      <c r="AI839" s="3070" t="s">
        <v>3227</v>
      </c>
      <c r="AJ839" s="3070">
        <v>0</v>
      </c>
      <c r="AK839" s="3070">
        <v>0</v>
      </c>
      <c r="AL839" s="3070">
        <v>0</v>
      </c>
      <c r="AM839" s="3070">
        <v>12227.57</v>
      </c>
      <c r="AN839" s="3070">
        <v>1153182</v>
      </c>
      <c r="AP839" s="3070">
        <v>1153182</v>
      </c>
      <c r="AQ839" s="3072">
        <v>45138</v>
      </c>
      <c r="AT839" s="3073">
        <v>45678</v>
      </c>
      <c r="AV839" s="3070" t="s">
        <v>10060</v>
      </c>
      <c r="AW839" s="3070" t="s">
        <v>10061</v>
      </c>
      <c r="AX839" s="3070" t="s">
        <v>10062</v>
      </c>
      <c r="AY839" s="3070" t="s">
        <v>3656</v>
      </c>
      <c r="BC839" s="3070" t="s">
        <v>3284</v>
      </c>
      <c r="BD839" s="3070" t="s">
        <v>3077</v>
      </c>
      <c r="BI839" s="3070" t="s">
        <v>3235</v>
      </c>
      <c r="BJ839" s="3070" t="s">
        <v>3296</v>
      </c>
      <c r="BL839" s="3070" t="s">
        <v>10063</v>
      </c>
      <c r="BM839" s="3075">
        <v>44442</v>
      </c>
      <c r="BN839" s="3070">
        <v>4</v>
      </c>
      <c r="BO839" s="3070" t="s">
        <v>3253</v>
      </c>
      <c r="BR839" s="3070">
        <v>645</v>
      </c>
      <c r="BS839" s="3070" t="s">
        <v>3238</v>
      </c>
      <c r="BT839" s="3070" t="s">
        <v>9714</v>
      </c>
      <c r="BZ839" s="3073">
        <v>44142.630555555559</v>
      </c>
      <c r="CA839" s="3070">
        <v>9</v>
      </c>
      <c r="CB839" s="3070" t="s">
        <v>9714</v>
      </c>
      <c r="CD839" s="3070" t="s">
        <v>3239</v>
      </c>
      <c r="CF839" s="3070" t="s">
        <v>3091</v>
      </c>
      <c r="CH839" s="3070" t="s">
        <v>3240</v>
      </c>
      <c r="CI839" s="3070">
        <v>0</v>
      </c>
      <c r="CK839" s="3070" t="s">
        <v>3656</v>
      </c>
      <c r="CL839" s="3070" t="s">
        <v>3656</v>
      </c>
      <c r="CM839" s="3070">
        <v>1057965.1399999999</v>
      </c>
      <c r="CV839" s="3070" t="s">
        <v>3246</v>
      </c>
      <c r="CW839" s="3070" t="s">
        <v>10064</v>
      </c>
      <c r="CX839" s="3070" t="s">
        <v>3267</v>
      </c>
      <c r="CZ839" s="3070">
        <v>213894.57</v>
      </c>
      <c r="DA839" s="3070">
        <v>159426.93</v>
      </c>
      <c r="DB839" s="3070">
        <v>0</v>
      </c>
      <c r="DC839" s="3070">
        <v>0</v>
      </c>
      <c r="DD839" s="3070">
        <v>3290547602</v>
      </c>
      <c r="DE839" s="3070">
        <v>2764253109</v>
      </c>
      <c r="DF839" s="3070">
        <v>1464966739</v>
      </c>
      <c r="DG839" s="3070">
        <v>14938370</v>
      </c>
      <c r="DH839" s="3070">
        <v>1284348000</v>
      </c>
      <c r="DI839" s="3070">
        <v>1278128000</v>
      </c>
      <c r="DJ839" s="3070">
        <v>6220000</v>
      </c>
      <c r="DK839" s="3070">
        <v>0</v>
      </c>
      <c r="DL839" s="3070">
        <v>0</v>
      </c>
      <c r="DM839" s="3070">
        <v>25491817.620000001</v>
      </c>
      <c r="DN839" s="3070">
        <v>2764253109</v>
      </c>
      <c r="DP839" s="3070">
        <v>2764253109</v>
      </c>
    </row>
    <row r="840" spans="1:120">
      <c r="A840" s="3070">
        <v>839</v>
      </c>
      <c r="B840" s="3070" t="s">
        <v>3224</v>
      </c>
      <c r="C840" s="3070">
        <v>9</v>
      </c>
      <c r="E840" s="3070">
        <v>401</v>
      </c>
      <c r="F840" s="3070" t="s">
        <v>10065</v>
      </c>
      <c r="G840" s="3070" t="s">
        <v>10066</v>
      </c>
      <c r="H840" s="3070">
        <v>1153182</v>
      </c>
      <c r="I840" s="3070">
        <v>1153182</v>
      </c>
      <c r="J840" s="3070">
        <v>94.31</v>
      </c>
      <c r="K840" s="3070">
        <v>66.5</v>
      </c>
      <c r="L840" s="3070">
        <v>0</v>
      </c>
      <c r="M840" s="3070">
        <v>0</v>
      </c>
      <c r="N840" s="3070">
        <v>15144.44</v>
      </c>
      <c r="O840" s="3070">
        <v>1428272</v>
      </c>
      <c r="P840" s="3070">
        <v>12227.57</v>
      </c>
      <c r="Q840" s="3070">
        <v>1153182</v>
      </c>
      <c r="R840" s="3070" t="s">
        <v>3227</v>
      </c>
      <c r="S840" s="3070" t="s">
        <v>10067</v>
      </c>
      <c r="T840" s="3070" t="s">
        <v>3246</v>
      </c>
      <c r="U840" s="3070" t="s">
        <v>3381</v>
      </c>
      <c r="V840" s="3070" t="s">
        <v>3230</v>
      </c>
      <c r="Y840" s="3070">
        <v>593182</v>
      </c>
      <c r="Z840" s="3070">
        <v>593182</v>
      </c>
      <c r="AA840" s="3070">
        <v>593182</v>
      </c>
      <c r="AB840" s="3070">
        <v>0</v>
      </c>
      <c r="AC840" s="3070">
        <v>560000</v>
      </c>
      <c r="AD840" s="3070">
        <v>560000</v>
      </c>
      <c r="AE840" s="3070">
        <v>0</v>
      </c>
      <c r="AI840" s="3070" t="s">
        <v>3227</v>
      </c>
      <c r="AJ840" s="3070">
        <v>0</v>
      </c>
      <c r="AK840" s="3070">
        <v>0</v>
      </c>
      <c r="AL840" s="3070">
        <v>0</v>
      </c>
      <c r="AM840" s="3070">
        <v>12227.57</v>
      </c>
      <c r="AN840" s="3070">
        <v>1153182</v>
      </c>
      <c r="AP840" s="3070">
        <v>1153182</v>
      </c>
      <c r="AQ840" s="3072">
        <v>45138</v>
      </c>
      <c r="AT840" s="3073">
        <v>45678</v>
      </c>
      <c r="AV840" s="3070" t="s">
        <v>10068</v>
      </c>
      <c r="AW840" s="3070" t="s">
        <v>10069</v>
      </c>
      <c r="AX840" s="3070" t="s">
        <v>10070</v>
      </c>
      <c r="AY840" s="3070" t="s">
        <v>3375</v>
      </c>
      <c r="BC840" s="3070" t="s">
        <v>3284</v>
      </c>
      <c r="BD840" s="3070" t="s">
        <v>3077</v>
      </c>
      <c r="BI840" s="3070" t="s">
        <v>3295</v>
      </c>
      <c r="BJ840" s="3070" t="s">
        <v>3296</v>
      </c>
      <c r="BL840" s="3070" t="s">
        <v>10071</v>
      </c>
      <c r="BM840" s="3075">
        <v>44443</v>
      </c>
      <c r="BN840" s="3070">
        <v>1</v>
      </c>
      <c r="BO840" s="3070" t="s">
        <v>3253</v>
      </c>
      <c r="BR840" s="3070">
        <v>787</v>
      </c>
      <c r="BS840" s="3070" t="s">
        <v>3238</v>
      </c>
      <c r="BT840" s="3070" t="s">
        <v>9714</v>
      </c>
      <c r="BZ840" s="3073">
        <v>44142.644444444442</v>
      </c>
      <c r="CA840" s="3070">
        <v>9</v>
      </c>
      <c r="CB840" s="3070" t="s">
        <v>9714</v>
      </c>
      <c r="CD840" s="3070" t="s">
        <v>3239</v>
      </c>
      <c r="CF840" s="3070" t="s">
        <v>3091</v>
      </c>
      <c r="CH840" s="3070" t="s">
        <v>3240</v>
      </c>
      <c r="CI840" s="3070">
        <v>0</v>
      </c>
      <c r="CK840" s="3070" t="s">
        <v>3375</v>
      </c>
      <c r="CL840" s="3070" t="s">
        <v>3375</v>
      </c>
      <c r="CM840" s="3070">
        <v>1057965.1399999999</v>
      </c>
      <c r="CV840" s="3070" t="s">
        <v>3246</v>
      </c>
      <c r="CW840" s="3070" t="s">
        <v>10072</v>
      </c>
      <c r="CZ840" s="3070">
        <v>213894.57</v>
      </c>
      <c r="DA840" s="3070">
        <v>159426.93</v>
      </c>
      <c r="DB840" s="3070">
        <v>0</v>
      </c>
      <c r="DC840" s="3070">
        <v>0</v>
      </c>
      <c r="DD840" s="3070">
        <v>3290547602</v>
      </c>
      <c r="DE840" s="3070">
        <v>2764253109</v>
      </c>
      <c r="DF840" s="3070">
        <v>1464966739</v>
      </c>
      <c r="DG840" s="3070">
        <v>14938370</v>
      </c>
      <c r="DH840" s="3070">
        <v>1284348000</v>
      </c>
      <c r="DI840" s="3070">
        <v>1278128000</v>
      </c>
      <c r="DJ840" s="3070">
        <v>6220000</v>
      </c>
      <c r="DK840" s="3070">
        <v>0</v>
      </c>
      <c r="DL840" s="3070">
        <v>0</v>
      </c>
      <c r="DM840" s="3070">
        <v>25491817.620000001</v>
      </c>
      <c r="DN840" s="3070">
        <v>2764253109</v>
      </c>
      <c r="DP840" s="3070">
        <v>2764253109</v>
      </c>
    </row>
    <row r="841" spans="1:120">
      <c r="A841" s="3070">
        <v>840</v>
      </c>
      <c r="B841" s="3070" t="s">
        <v>3224</v>
      </c>
      <c r="C841" s="3070">
        <v>9</v>
      </c>
      <c r="E841" s="3070">
        <v>402</v>
      </c>
      <c r="F841" s="3070" t="s">
        <v>10073</v>
      </c>
      <c r="G841" s="3070" t="s">
        <v>10074</v>
      </c>
      <c r="H841" s="3070">
        <v>1148699</v>
      </c>
      <c r="I841" s="3070">
        <v>1148699</v>
      </c>
      <c r="J841" s="3070">
        <v>94.31</v>
      </c>
      <c r="K841" s="3070">
        <v>66.5</v>
      </c>
      <c r="L841" s="3070">
        <v>0</v>
      </c>
      <c r="M841" s="3070">
        <v>0</v>
      </c>
      <c r="N841" s="3070">
        <v>15094.44</v>
      </c>
      <c r="O841" s="3070">
        <v>1423557</v>
      </c>
      <c r="P841" s="3070">
        <v>12180.03</v>
      </c>
      <c r="Q841" s="3070">
        <v>1148699</v>
      </c>
      <c r="R841" s="3070" t="s">
        <v>3227</v>
      </c>
      <c r="S841" s="3070" t="s">
        <v>10075</v>
      </c>
      <c r="T841" s="3070" t="s">
        <v>3246</v>
      </c>
      <c r="U841" s="3070" t="s">
        <v>3381</v>
      </c>
      <c r="V841" s="3070" t="s">
        <v>3230</v>
      </c>
      <c r="Y841" s="3070">
        <v>378699</v>
      </c>
      <c r="Z841" s="3070">
        <v>378699</v>
      </c>
      <c r="AA841" s="3070">
        <v>378699</v>
      </c>
      <c r="AB841" s="3070">
        <v>0</v>
      </c>
      <c r="AC841" s="3070">
        <v>770000</v>
      </c>
      <c r="AD841" s="3070">
        <v>770000</v>
      </c>
      <c r="AE841" s="3070">
        <v>0</v>
      </c>
      <c r="AI841" s="3070" t="s">
        <v>3227</v>
      </c>
      <c r="AJ841" s="3070">
        <v>0</v>
      </c>
      <c r="AK841" s="3070">
        <v>0</v>
      </c>
      <c r="AL841" s="3070">
        <v>0</v>
      </c>
      <c r="AM841" s="3070">
        <v>12180.03</v>
      </c>
      <c r="AN841" s="3070">
        <v>1148699</v>
      </c>
      <c r="AP841" s="3070">
        <v>1148699</v>
      </c>
      <c r="AQ841" s="3072">
        <v>45138</v>
      </c>
      <c r="AT841" s="3073">
        <v>45678</v>
      </c>
      <c r="AV841" s="3074">
        <v>3.21E+17</v>
      </c>
      <c r="AW841" s="3070" t="s">
        <v>10076</v>
      </c>
      <c r="AX841" s="3070" t="s">
        <v>10077</v>
      </c>
      <c r="AY841" s="3070" t="s">
        <v>3364</v>
      </c>
      <c r="BC841" s="3070" t="s">
        <v>3284</v>
      </c>
      <c r="BD841" s="3070" t="s">
        <v>3077</v>
      </c>
      <c r="BI841" s="3070" t="s">
        <v>3235</v>
      </c>
      <c r="BJ841" s="3070" t="s">
        <v>3296</v>
      </c>
      <c r="BL841" s="3070" t="s">
        <v>10078</v>
      </c>
      <c r="BM841" s="3075">
        <v>44443</v>
      </c>
      <c r="BN841" s="3070">
        <v>2</v>
      </c>
      <c r="BO841" s="3070" t="s">
        <v>3253</v>
      </c>
      <c r="BR841" s="3070">
        <v>232</v>
      </c>
      <c r="BS841" s="3070" t="s">
        <v>3238</v>
      </c>
      <c r="BT841" s="3070" t="s">
        <v>9714</v>
      </c>
      <c r="BZ841" s="3073">
        <v>44142.85833333333</v>
      </c>
      <c r="CA841" s="3070">
        <v>9</v>
      </c>
      <c r="CB841" s="3070" t="s">
        <v>9714</v>
      </c>
      <c r="CD841" s="3070" t="s">
        <v>3239</v>
      </c>
      <c r="CF841" s="3070" t="s">
        <v>3091</v>
      </c>
      <c r="CH841" s="3070" t="s">
        <v>3240</v>
      </c>
      <c r="CI841" s="3070">
        <v>0</v>
      </c>
      <c r="CK841" s="3070" t="s">
        <v>3364</v>
      </c>
      <c r="CL841" s="3070" t="s">
        <v>3364</v>
      </c>
      <c r="CM841" s="3070">
        <v>1053852.29</v>
      </c>
      <c r="CV841" s="3070" t="s">
        <v>3246</v>
      </c>
      <c r="CW841" s="3070" t="s">
        <v>10079</v>
      </c>
      <c r="CZ841" s="3070">
        <v>213894.57</v>
      </c>
      <c r="DA841" s="3070">
        <v>159426.93</v>
      </c>
      <c r="DB841" s="3070">
        <v>0</v>
      </c>
      <c r="DC841" s="3070">
        <v>0</v>
      </c>
      <c r="DD841" s="3070">
        <v>3290547602</v>
      </c>
      <c r="DE841" s="3070">
        <v>2764253109</v>
      </c>
      <c r="DF841" s="3070">
        <v>1464966739</v>
      </c>
      <c r="DG841" s="3070">
        <v>14938370</v>
      </c>
      <c r="DH841" s="3070">
        <v>1284348000</v>
      </c>
      <c r="DI841" s="3070">
        <v>1278128000</v>
      </c>
      <c r="DJ841" s="3070">
        <v>6220000</v>
      </c>
      <c r="DK841" s="3070">
        <v>0</v>
      </c>
      <c r="DL841" s="3070">
        <v>0</v>
      </c>
      <c r="DM841" s="3070">
        <v>25491817.620000001</v>
      </c>
      <c r="DN841" s="3070">
        <v>2764253109</v>
      </c>
      <c r="DP841" s="3070">
        <v>2764253109</v>
      </c>
    </row>
    <row r="842" spans="1:120">
      <c r="A842" s="3070">
        <v>841</v>
      </c>
      <c r="B842" s="3070" t="s">
        <v>3224</v>
      </c>
      <c r="C842" s="3070">
        <v>9</v>
      </c>
      <c r="E842" s="3070">
        <v>403</v>
      </c>
      <c r="F842" s="3070" t="s">
        <v>10080</v>
      </c>
      <c r="G842" s="3070" t="s">
        <v>7742</v>
      </c>
      <c r="H842" s="3070">
        <v>1148699</v>
      </c>
      <c r="I842" s="3070">
        <v>1148699</v>
      </c>
      <c r="J842" s="3070">
        <v>94.31</v>
      </c>
      <c r="K842" s="3070">
        <v>66.5</v>
      </c>
      <c r="L842" s="3070">
        <v>0</v>
      </c>
      <c r="M842" s="3070">
        <v>0</v>
      </c>
      <c r="N842" s="3070">
        <v>15094.44</v>
      </c>
      <c r="O842" s="3070">
        <v>1423557</v>
      </c>
      <c r="P842" s="3070">
        <v>12180.03</v>
      </c>
      <c r="Q842" s="3070">
        <v>1148699</v>
      </c>
      <c r="R842" s="3070" t="s">
        <v>3227</v>
      </c>
      <c r="S842" s="3070" t="s">
        <v>10081</v>
      </c>
      <c r="T842" s="3070" t="s">
        <v>3246</v>
      </c>
      <c r="U842" s="3070" t="s">
        <v>3467</v>
      </c>
      <c r="V842" s="3070" t="s">
        <v>3230</v>
      </c>
      <c r="Y842" s="3070">
        <v>348699</v>
      </c>
      <c r="Z842" s="3070">
        <v>348699</v>
      </c>
      <c r="AA842" s="3070">
        <v>348699</v>
      </c>
      <c r="AB842" s="3070">
        <v>0</v>
      </c>
      <c r="AC842" s="3070">
        <v>800000</v>
      </c>
      <c r="AD842" s="3070">
        <v>800000</v>
      </c>
      <c r="AE842" s="3070">
        <v>0</v>
      </c>
      <c r="AI842" s="3070" t="s">
        <v>3227</v>
      </c>
      <c r="AJ842" s="3070">
        <v>0</v>
      </c>
      <c r="AK842" s="3070">
        <v>0</v>
      </c>
      <c r="AL842" s="3070">
        <v>0</v>
      </c>
      <c r="AM842" s="3070">
        <v>12180.03</v>
      </c>
      <c r="AN842" s="3070">
        <v>1148699</v>
      </c>
      <c r="AP842" s="3070">
        <v>1148699</v>
      </c>
      <c r="AQ842" s="3072">
        <v>45138</v>
      </c>
      <c r="AT842" s="3073">
        <v>45678</v>
      </c>
      <c r="AV842" s="3074">
        <v>3.21E+17</v>
      </c>
      <c r="AW842" s="3070" t="s">
        <v>10082</v>
      </c>
      <c r="AX842" s="3070" t="s">
        <v>10083</v>
      </c>
      <c r="AY842" s="3070" t="s">
        <v>3385</v>
      </c>
      <c r="BC842" s="3070" t="s">
        <v>3284</v>
      </c>
      <c r="BD842" s="3070" t="s">
        <v>3077</v>
      </c>
      <c r="BI842" s="3070" t="s">
        <v>3235</v>
      </c>
      <c r="BJ842" s="3070" t="s">
        <v>3296</v>
      </c>
      <c r="BL842" s="3070" t="s">
        <v>10084</v>
      </c>
      <c r="BM842" s="3075">
        <v>44443</v>
      </c>
      <c r="BN842" s="3070">
        <v>3</v>
      </c>
      <c r="BO842" s="3070" t="s">
        <v>3253</v>
      </c>
      <c r="BR842" s="3070">
        <v>0</v>
      </c>
      <c r="BS842" s="3070" t="s">
        <v>3238</v>
      </c>
      <c r="BT842" s="3070" t="s">
        <v>9714</v>
      </c>
      <c r="BZ842" s="3073">
        <v>44144.698611111111</v>
      </c>
      <c r="CA842" s="3070">
        <v>9</v>
      </c>
      <c r="CB842" s="3070" t="s">
        <v>9714</v>
      </c>
      <c r="CD842" s="3070" t="s">
        <v>3239</v>
      </c>
      <c r="CF842" s="3070" t="s">
        <v>3091</v>
      </c>
      <c r="CH842" s="3070" t="s">
        <v>3240</v>
      </c>
      <c r="CI842" s="3070">
        <v>0</v>
      </c>
      <c r="CK842" s="3070" t="s">
        <v>3385</v>
      </c>
      <c r="CL842" s="3070" t="s">
        <v>3385</v>
      </c>
      <c r="CM842" s="3070">
        <v>1053852.29</v>
      </c>
      <c r="CV842" s="3070" t="s">
        <v>3246</v>
      </c>
      <c r="CW842" s="3070" t="s">
        <v>10085</v>
      </c>
      <c r="CX842" s="3070" t="s">
        <v>3510</v>
      </c>
      <c r="CZ842" s="3070">
        <v>213894.57</v>
      </c>
      <c r="DA842" s="3070">
        <v>159426.93</v>
      </c>
      <c r="DB842" s="3070">
        <v>0</v>
      </c>
      <c r="DC842" s="3070">
        <v>0</v>
      </c>
      <c r="DD842" s="3070">
        <v>3290547602</v>
      </c>
      <c r="DE842" s="3070">
        <v>2764253109</v>
      </c>
      <c r="DF842" s="3070">
        <v>1464966739</v>
      </c>
      <c r="DG842" s="3070">
        <v>14938370</v>
      </c>
      <c r="DH842" s="3070">
        <v>1284348000</v>
      </c>
      <c r="DI842" s="3070">
        <v>1278128000</v>
      </c>
      <c r="DJ842" s="3070">
        <v>6220000</v>
      </c>
      <c r="DK842" s="3070">
        <v>0</v>
      </c>
      <c r="DL842" s="3070">
        <v>0</v>
      </c>
      <c r="DM842" s="3070">
        <v>25491817.620000001</v>
      </c>
      <c r="DN842" s="3070">
        <v>2764253109</v>
      </c>
      <c r="DP842" s="3070">
        <v>2764253109</v>
      </c>
    </row>
    <row r="843" spans="1:120">
      <c r="A843" s="3070">
        <v>842</v>
      </c>
      <c r="B843" s="3070" t="s">
        <v>3224</v>
      </c>
      <c r="C843" s="3070">
        <v>9</v>
      </c>
      <c r="E843" s="3070">
        <v>404</v>
      </c>
      <c r="F843" s="3070" t="s">
        <v>10086</v>
      </c>
      <c r="G843" s="3070" t="s">
        <v>10087</v>
      </c>
      <c r="H843" s="3070">
        <v>1144217</v>
      </c>
      <c r="I843" s="3070">
        <v>1144217</v>
      </c>
      <c r="J843" s="3070">
        <v>94.31</v>
      </c>
      <c r="K843" s="3070">
        <v>66.5</v>
      </c>
      <c r="L843" s="3070">
        <v>0</v>
      </c>
      <c r="M843" s="3070">
        <v>0</v>
      </c>
      <c r="N843" s="3070">
        <v>15044.44</v>
      </c>
      <c r="O843" s="3070">
        <v>1418841</v>
      </c>
      <c r="P843" s="3070">
        <v>12132.51</v>
      </c>
      <c r="Q843" s="3070">
        <v>1144217</v>
      </c>
      <c r="R843" s="3070" t="s">
        <v>3227</v>
      </c>
      <c r="S843" s="3070" t="s">
        <v>10088</v>
      </c>
      <c r="T843" s="3070" t="s">
        <v>3246</v>
      </c>
      <c r="U843" s="3070" t="s">
        <v>3539</v>
      </c>
      <c r="V843" s="3070" t="s">
        <v>3230</v>
      </c>
      <c r="Y843" s="3070">
        <v>344217</v>
      </c>
      <c r="Z843" s="3070">
        <v>344217</v>
      </c>
      <c r="AA843" s="3070">
        <v>344217</v>
      </c>
      <c r="AB843" s="3070">
        <v>0</v>
      </c>
      <c r="AC843" s="3070">
        <v>800000</v>
      </c>
      <c r="AD843" s="3070">
        <v>800000</v>
      </c>
      <c r="AE843" s="3070">
        <v>0</v>
      </c>
      <c r="AI843" s="3070" t="s">
        <v>3227</v>
      </c>
      <c r="AJ843" s="3070">
        <v>0</v>
      </c>
      <c r="AK843" s="3070">
        <v>0</v>
      </c>
      <c r="AL843" s="3070">
        <v>0</v>
      </c>
      <c r="AM843" s="3070">
        <v>12132.51</v>
      </c>
      <c r="AN843" s="3070">
        <v>1144217</v>
      </c>
      <c r="AP843" s="3070">
        <v>1144217</v>
      </c>
      <c r="AQ843" s="3072">
        <v>45138</v>
      </c>
      <c r="AT843" s="3073">
        <v>45678</v>
      </c>
      <c r="AV843" s="3074">
        <v>3.21E+17</v>
      </c>
      <c r="AW843" s="3070" t="s">
        <v>10089</v>
      </c>
      <c r="AX843" s="3070" t="s">
        <v>10090</v>
      </c>
      <c r="AY843" s="3070" t="s">
        <v>3419</v>
      </c>
      <c r="BC843" s="3070" t="s">
        <v>3284</v>
      </c>
      <c r="BD843" s="3070" t="s">
        <v>3077</v>
      </c>
      <c r="BI843" s="3070" t="s">
        <v>3235</v>
      </c>
      <c r="BJ843" s="3070" t="s">
        <v>3338</v>
      </c>
      <c r="BL843" s="3070" t="s">
        <v>10091</v>
      </c>
      <c r="BM843" s="3075">
        <v>44443</v>
      </c>
      <c r="BN843" s="3070">
        <v>4</v>
      </c>
      <c r="BO843" s="3070" t="s">
        <v>3253</v>
      </c>
      <c r="BR843" s="3070">
        <v>218</v>
      </c>
      <c r="BS843" s="3070" t="s">
        <v>3238</v>
      </c>
      <c r="BT843" s="3070" t="s">
        <v>9714</v>
      </c>
      <c r="BZ843" s="3073">
        <v>44142.654861111114</v>
      </c>
      <c r="CA843" s="3070">
        <v>9</v>
      </c>
      <c r="CB843" s="3070" t="s">
        <v>9714</v>
      </c>
      <c r="CD843" s="3070" t="s">
        <v>3239</v>
      </c>
      <c r="CF843" s="3070" t="s">
        <v>3091</v>
      </c>
      <c r="CH843" s="3070" t="s">
        <v>3240</v>
      </c>
      <c r="CI843" s="3070">
        <v>0</v>
      </c>
      <c r="CK843" s="3070" t="s">
        <v>3419</v>
      </c>
      <c r="CL843" s="3070" t="s">
        <v>3419</v>
      </c>
      <c r="CM843" s="3070">
        <v>1049740.3700000001</v>
      </c>
      <c r="CV843" s="3070" t="s">
        <v>3246</v>
      </c>
      <c r="CW843" s="3070" t="s">
        <v>10092</v>
      </c>
      <c r="CZ843" s="3070">
        <v>213894.57</v>
      </c>
      <c r="DA843" s="3070">
        <v>159426.93</v>
      </c>
      <c r="DB843" s="3070">
        <v>0</v>
      </c>
      <c r="DC843" s="3070">
        <v>0</v>
      </c>
      <c r="DD843" s="3070">
        <v>3290547602</v>
      </c>
      <c r="DE843" s="3070">
        <v>2764253109</v>
      </c>
      <c r="DF843" s="3070">
        <v>1464966739</v>
      </c>
      <c r="DG843" s="3070">
        <v>14938370</v>
      </c>
      <c r="DH843" s="3070">
        <v>1284348000</v>
      </c>
      <c r="DI843" s="3070">
        <v>1278128000</v>
      </c>
      <c r="DJ843" s="3070">
        <v>6220000</v>
      </c>
      <c r="DK843" s="3070">
        <v>0</v>
      </c>
      <c r="DL843" s="3070">
        <v>0</v>
      </c>
      <c r="DM843" s="3070">
        <v>25491817.620000001</v>
      </c>
      <c r="DN843" s="3070">
        <v>2764253109</v>
      </c>
      <c r="DP843" s="3070">
        <v>2764253109</v>
      </c>
    </row>
    <row r="844" spans="1:120">
      <c r="A844" s="3070">
        <v>843</v>
      </c>
      <c r="B844" s="3070" t="s">
        <v>3224</v>
      </c>
      <c r="C844" s="3070">
        <v>9</v>
      </c>
      <c r="E844" s="3070">
        <v>501</v>
      </c>
      <c r="F844" s="3070" t="s">
        <v>10093</v>
      </c>
      <c r="G844" s="3070" t="s">
        <v>10094</v>
      </c>
      <c r="H844" s="3070">
        <v>1166630</v>
      </c>
      <c r="I844" s="3070">
        <v>1166630</v>
      </c>
      <c r="J844" s="3070">
        <v>94.31</v>
      </c>
      <c r="K844" s="3070">
        <v>66.5</v>
      </c>
      <c r="L844" s="3070">
        <v>0</v>
      </c>
      <c r="M844" s="3070">
        <v>0</v>
      </c>
      <c r="N844" s="3070">
        <v>15294.44</v>
      </c>
      <c r="O844" s="3070">
        <v>1442419</v>
      </c>
      <c r="P844" s="3070">
        <v>12370.16</v>
      </c>
      <c r="Q844" s="3070">
        <v>1166630</v>
      </c>
      <c r="R844" s="3070" t="s">
        <v>3227</v>
      </c>
      <c r="S844" s="3070" t="s">
        <v>10095</v>
      </c>
      <c r="T844" s="3070" t="s">
        <v>3246</v>
      </c>
      <c r="U844" s="3070" t="s">
        <v>3279</v>
      </c>
      <c r="V844" s="3070" t="s">
        <v>3230</v>
      </c>
      <c r="Y844" s="3070">
        <v>466630</v>
      </c>
      <c r="Z844" s="3070">
        <v>466630</v>
      </c>
      <c r="AA844" s="3070">
        <v>466630</v>
      </c>
      <c r="AB844" s="3070">
        <v>0</v>
      </c>
      <c r="AC844" s="3070">
        <v>700000</v>
      </c>
      <c r="AD844" s="3070">
        <v>700000</v>
      </c>
      <c r="AE844" s="3070">
        <v>0</v>
      </c>
      <c r="AI844" s="3070" t="s">
        <v>3227</v>
      </c>
      <c r="AJ844" s="3070">
        <v>0</v>
      </c>
      <c r="AK844" s="3070">
        <v>0</v>
      </c>
      <c r="AL844" s="3070">
        <v>0</v>
      </c>
      <c r="AM844" s="3070">
        <v>12370.16</v>
      </c>
      <c r="AN844" s="3070">
        <v>1166630</v>
      </c>
      <c r="AP844" s="3070">
        <v>1166630</v>
      </c>
      <c r="AQ844" s="3072">
        <v>45138</v>
      </c>
      <c r="AT844" s="3073">
        <v>45678</v>
      </c>
      <c r="AV844" s="3070" t="s">
        <v>10096</v>
      </c>
      <c r="AW844" s="3070" t="s">
        <v>10097</v>
      </c>
      <c r="AX844" s="3070" t="s">
        <v>10098</v>
      </c>
      <c r="AY844" s="3070" t="s">
        <v>3318</v>
      </c>
      <c r="BC844" s="3070" t="s">
        <v>3284</v>
      </c>
      <c r="BD844" s="3070" t="s">
        <v>3077</v>
      </c>
      <c r="BI844" s="3070" t="s">
        <v>3235</v>
      </c>
      <c r="BJ844" s="3070" t="s">
        <v>3598</v>
      </c>
      <c r="BL844" s="3070" t="s">
        <v>10099</v>
      </c>
      <c r="BM844" s="3075">
        <v>44444</v>
      </c>
      <c r="BN844" s="3070">
        <v>1</v>
      </c>
      <c r="BO844" s="3070" t="s">
        <v>3253</v>
      </c>
      <c r="BR844" s="3070">
        <v>677</v>
      </c>
      <c r="BS844" s="3070" t="s">
        <v>3238</v>
      </c>
      <c r="BT844" s="3070" t="s">
        <v>9714</v>
      </c>
      <c r="BZ844" s="3073">
        <v>44142.631944444445</v>
      </c>
      <c r="CA844" s="3070">
        <v>9</v>
      </c>
      <c r="CB844" s="3070" t="s">
        <v>9714</v>
      </c>
      <c r="CD844" s="3070" t="s">
        <v>3239</v>
      </c>
      <c r="CF844" s="3070" t="s">
        <v>3091</v>
      </c>
      <c r="CH844" s="3070" t="s">
        <v>3240</v>
      </c>
      <c r="CI844" s="3070">
        <v>0</v>
      </c>
      <c r="CK844" s="3070" t="s">
        <v>3318</v>
      </c>
      <c r="CL844" s="3070" t="s">
        <v>3318</v>
      </c>
      <c r="CM844" s="3070">
        <v>1070302.75</v>
      </c>
      <c r="CV844" s="3070" t="s">
        <v>3246</v>
      </c>
      <c r="CW844" s="3070" t="s">
        <v>10100</v>
      </c>
      <c r="CZ844" s="3070">
        <v>213894.57</v>
      </c>
      <c r="DA844" s="3070">
        <v>159426.93</v>
      </c>
      <c r="DB844" s="3070">
        <v>0</v>
      </c>
      <c r="DC844" s="3070">
        <v>0</v>
      </c>
      <c r="DD844" s="3070">
        <v>3290547602</v>
      </c>
      <c r="DE844" s="3070">
        <v>2764253109</v>
      </c>
      <c r="DF844" s="3070">
        <v>1464966739</v>
      </c>
      <c r="DG844" s="3070">
        <v>14938370</v>
      </c>
      <c r="DH844" s="3070">
        <v>1284348000</v>
      </c>
      <c r="DI844" s="3070">
        <v>1278128000</v>
      </c>
      <c r="DJ844" s="3070">
        <v>6220000</v>
      </c>
      <c r="DK844" s="3070">
        <v>0</v>
      </c>
      <c r="DL844" s="3070">
        <v>0</v>
      </c>
      <c r="DM844" s="3070">
        <v>25491817.620000001</v>
      </c>
      <c r="DN844" s="3070">
        <v>2764253109</v>
      </c>
      <c r="DP844" s="3070">
        <v>2764253109</v>
      </c>
    </row>
    <row r="845" spans="1:120">
      <c r="A845" s="3070">
        <v>844</v>
      </c>
      <c r="B845" s="3070" t="s">
        <v>3224</v>
      </c>
      <c r="C845" s="3070">
        <v>9</v>
      </c>
      <c r="E845" s="3070">
        <v>502</v>
      </c>
      <c r="F845" s="3070" t="s">
        <v>10101</v>
      </c>
      <c r="G845" s="3070" t="s">
        <v>10102</v>
      </c>
      <c r="H845" s="3070">
        <v>1150526</v>
      </c>
      <c r="I845" s="3070">
        <v>1150526</v>
      </c>
      <c r="J845" s="3070">
        <v>94.31</v>
      </c>
      <c r="K845" s="3070">
        <v>66.5</v>
      </c>
      <c r="L845" s="3070">
        <v>0</v>
      </c>
      <c r="M845" s="3070">
        <v>0</v>
      </c>
      <c r="N845" s="3070">
        <v>15244.44</v>
      </c>
      <c r="O845" s="3070">
        <v>1437703</v>
      </c>
      <c r="P845" s="3070">
        <v>12199.41</v>
      </c>
      <c r="Q845" s="3070">
        <v>1150526</v>
      </c>
      <c r="R845" s="3070" t="s">
        <v>3227</v>
      </c>
      <c r="S845" s="3070" t="s">
        <v>10103</v>
      </c>
      <c r="T845" s="3070" t="s">
        <v>3229</v>
      </c>
      <c r="V845" s="3070" t="s">
        <v>3230</v>
      </c>
      <c r="Y845" s="3070">
        <v>345158</v>
      </c>
      <c r="Z845" s="3070">
        <v>345158</v>
      </c>
      <c r="AA845" s="3070">
        <v>1150526</v>
      </c>
      <c r="AB845" s="3070">
        <v>0</v>
      </c>
      <c r="AC845" s="3070">
        <v>0</v>
      </c>
      <c r="AD845" s="3070">
        <v>0</v>
      </c>
      <c r="AE845" s="3070">
        <v>0</v>
      </c>
      <c r="AI845" s="3070" t="s">
        <v>3227</v>
      </c>
      <c r="AJ845" s="3070">
        <v>0</v>
      </c>
      <c r="AK845" s="3070">
        <v>0</v>
      </c>
      <c r="AL845" s="3070">
        <v>0</v>
      </c>
      <c r="AM845" s="3070">
        <v>12199.41</v>
      </c>
      <c r="AN845" s="3070">
        <v>1150526</v>
      </c>
      <c r="AP845" s="3070">
        <v>1150526</v>
      </c>
      <c r="AQ845" s="3072">
        <v>45138</v>
      </c>
      <c r="AT845" s="3073">
        <v>45678</v>
      </c>
      <c r="AV845" s="3070" t="s">
        <v>10104</v>
      </c>
      <c r="AW845" s="3070" t="s">
        <v>10105</v>
      </c>
      <c r="AX845" s="3070" t="s">
        <v>10106</v>
      </c>
      <c r="AY845" s="3070" t="s">
        <v>3497</v>
      </c>
      <c r="BC845" s="3070" t="s">
        <v>3347</v>
      </c>
      <c r="BD845" s="3070" t="s">
        <v>3077</v>
      </c>
      <c r="BI845" s="3070" t="s">
        <v>3235</v>
      </c>
      <c r="BJ845" s="3070" t="s">
        <v>3296</v>
      </c>
      <c r="BL845" s="3070" t="s">
        <v>10107</v>
      </c>
      <c r="BM845" s="3075">
        <v>44444</v>
      </c>
      <c r="BN845" s="3070">
        <v>2</v>
      </c>
      <c r="BR845" s="3070">
        <v>238</v>
      </c>
      <c r="BS845" s="3070" t="s">
        <v>3238</v>
      </c>
      <c r="BT845" s="3070" t="s">
        <v>9714</v>
      </c>
      <c r="BZ845" s="3073">
        <v>44142.618055555555</v>
      </c>
      <c r="CA845" s="3070">
        <v>9</v>
      </c>
      <c r="CB845" s="3070" t="s">
        <v>9714</v>
      </c>
      <c r="CD845" s="3070" t="s">
        <v>3239</v>
      </c>
      <c r="CF845" s="3070" t="s">
        <v>3091</v>
      </c>
      <c r="CH845" s="3070" t="s">
        <v>3240</v>
      </c>
      <c r="CI845" s="3070">
        <v>0</v>
      </c>
      <c r="CK845" s="3070" t="s">
        <v>3497</v>
      </c>
      <c r="CL845" s="3070" t="s">
        <v>3497</v>
      </c>
      <c r="CM845" s="3070">
        <v>1055528.44</v>
      </c>
      <c r="CV845" s="3070" t="s">
        <v>3229</v>
      </c>
      <c r="CW845" s="3070" t="s">
        <v>10108</v>
      </c>
      <c r="CZ845" s="3070">
        <v>213894.57</v>
      </c>
      <c r="DA845" s="3070">
        <v>159426.93</v>
      </c>
      <c r="DB845" s="3070">
        <v>0</v>
      </c>
      <c r="DC845" s="3070">
        <v>0</v>
      </c>
      <c r="DD845" s="3070">
        <v>3290547602</v>
      </c>
      <c r="DE845" s="3070">
        <v>2764253109</v>
      </c>
      <c r="DF845" s="3070">
        <v>1464966739</v>
      </c>
      <c r="DG845" s="3070">
        <v>14938370</v>
      </c>
      <c r="DH845" s="3070">
        <v>1284348000</v>
      </c>
      <c r="DI845" s="3070">
        <v>1278128000</v>
      </c>
      <c r="DJ845" s="3070">
        <v>6220000</v>
      </c>
      <c r="DK845" s="3070">
        <v>0</v>
      </c>
      <c r="DL845" s="3070">
        <v>0</v>
      </c>
      <c r="DM845" s="3070">
        <v>25491817.620000001</v>
      </c>
      <c r="DN845" s="3070">
        <v>2764253109</v>
      </c>
      <c r="DP845" s="3070">
        <v>2764253109</v>
      </c>
    </row>
    <row r="846" spans="1:120">
      <c r="A846" s="3070">
        <v>845</v>
      </c>
      <c r="B846" s="3070" t="s">
        <v>3224</v>
      </c>
      <c r="C846" s="3070">
        <v>9</v>
      </c>
      <c r="E846" s="3070">
        <v>503</v>
      </c>
      <c r="F846" s="3070" t="s">
        <v>10109</v>
      </c>
      <c r="G846" s="3070" t="s">
        <v>10110</v>
      </c>
      <c r="H846" s="3070">
        <v>1162147</v>
      </c>
      <c r="I846" s="3070">
        <v>1162147</v>
      </c>
      <c r="J846" s="3070">
        <v>94.31</v>
      </c>
      <c r="K846" s="3070">
        <v>66.5</v>
      </c>
      <c r="L846" s="3070">
        <v>0</v>
      </c>
      <c r="M846" s="3070">
        <v>0</v>
      </c>
      <c r="N846" s="3070">
        <v>15244.44</v>
      </c>
      <c r="O846" s="3070">
        <v>1437703</v>
      </c>
      <c r="P846" s="3070">
        <v>12322.63</v>
      </c>
      <c r="Q846" s="3070">
        <v>1162147</v>
      </c>
      <c r="R846" s="3070" t="s">
        <v>3227</v>
      </c>
      <c r="S846" s="3070" t="s">
        <v>10111</v>
      </c>
      <c r="T846" s="3070" t="s">
        <v>3246</v>
      </c>
      <c r="U846" s="3070" t="s">
        <v>3371</v>
      </c>
      <c r="V846" s="3070" t="s">
        <v>3230</v>
      </c>
      <c r="Y846" s="3070">
        <v>412147</v>
      </c>
      <c r="Z846" s="3070">
        <v>412147</v>
      </c>
      <c r="AA846" s="3070">
        <v>412147</v>
      </c>
      <c r="AB846" s="3070">
        <v>0</v>
      </c>
      <c r="AC846" s="3070">
        <v>750000</v>
      </c>
      <c r="AD846" s="3070">
        <v>750000</v>
      </c>
      <c r="AE846" s="3070">
        <v>0</v>
      </c>
      <c r="AI846" s="3070" t="s">
        <v>3227</v>
      </c>
      <c r="AJ846" s="3070">
        <v>0</v>
      </c>
      <c r="AK846" s="3070">
        <v>0</v>
      </c>
      <c r="AL846" s="3070">
        <v>0</v>
      </c>
      <c r="AM846" s="3070">
        <v>12322.63</v>
      </c>
      <c r="AN846" s="3070">
        <v>1162147</v>
      </c>
      <c r="AP846" s="3070">
        <v>1162147</v>
      </c>
      <c r="AQ846" s="3072">
        <v>45138</v>
      </c>
      <c r="AT846" s="3073">
        <v>45678</v>
      </c>
      <c r="AV846" s="3070" t="s">
        <v>10112</v>
      </c>
      <c r="AW846" s="3070" t="s">
        <v>10113</v>
      </c>
      <c r="AX846" s="3070" t="s">
        <v>10114</v>
      </c>
      <c r="AY846" s="3070" t="s">
        <v>5106</v>
      </c>
      <c r="BC846" s="3070" t="s">
        <v>3284</v>
      </c>
      <c r="BD846" s="3070" t="s">
        <v>3077</v>
      </c>
      <c r="BI846" s="3070" t="s">
        <v>3235</v>
      </c>
      <c r="BL846" s="3070" t="s">
        <v>10115</v>
      </c>
      <c r="BM846" s="3075">
        <v>44444</v>
      </c>
      <c r="BN846" s="3070">
        <v>3</v>
      </c>
      <c r="BO846" s="3070" t="s">
        <v>3253</v>
      </c>
      <c r="BR846" s="3070">
        <v>140</v>
      </c>
      <c r="BS846" s="3070" t="s">
        <v>3238</v>
      </c>
      <c r="BT846" s="3070" t="s">
        <v>9714</v>
      </c>
      <c r="BZ846" s="3073">
        <v>44142.843055555553</v>
      </c>
      <c r="CA846" s="3070">
        <v>9</v>
      </c>
      <c r="CB846" s="3070" t="s">
        <v>9714</v>
      </c>
      <c r="CD846" s="3070" t="s">
        <v>3239</v>
      </c>
      <c r="CF846" s="3070" t="s">
        <v>3091</v>
      </c>
      <c r="CH846" s="3070" t="s">
        <v>3240</v>
      </c>
      <c r="CI846" s="3070">
        <v>0</v>
      </c>
      <c r="CK846" s="3070" t="s">
        <v>5106</v>
      </c>
      <c r="CL846" s="3070" t="s">
        <v>5106</v>
      </c>
      <c r="CM846" s="3070">
        <v>1066189.9099999999</v>
      </c>
      <c r="CV846" s="3070" t="s">
        <v>3246</v>
      </c>
      <c r="CW846" s="3070" t="s">
        <v>10116</v>
      </c>
      <c r="CX846" s="3070" t="s">
        <v>3267</v>
      </c>
      <c r="CZ846" s="3070">
        <v>213894.57</v>
      </c>
      <c r="DA846" s="3070">
        <v>159426.93</v>
      </c>
      <c r="DB846" s="3070">
        <v>0</v>
      </c>
      <c r="DC846" s="3070">
        <v>0</v>
      </c>
      <c r="DD846" s="3070">
        <v>3290547602</v>
      </c>
      <c r="DE846" s="3070">
        <v>2764253109</v>
      </c>
      <c r="DF846" s="3070">
        <v>1464966739</v>
      </c>
      <c r="DG846" s="3070">
        <v>14938370</v>
      </c>
      <c r="DH846" s="3070">
        <v>1284348000</v>
      </c>
      <c r="DI846" s="3070">
        <v>1278128000</v>
      </c>
      <c r="DJ846" s="3070">
        <v>6220000</v>
      </c>
      <c r="DK846" s="3070">
        <v>0</v>
      </c>
      <c r="DL846" s="3070">
        <v>0</v>
      </c>
      <c r="DM846" s="3070">
        <v>25491817.620000001</v>
      </c>
      <c r="DN846" s="3070">
        <v>2764253109</v>
      </c>
      <c r="DP846" s="3070">
        <v>2764253109</v>
      </c>
    </row>
    <row r="847" spans="1:120">
      <c r="A847" s="3070">
        <v>846</v>
      </c>
      <c r="B847" s="3070" t="s">
        <v>3224</v>
      </c>
      <c r="C847" s="3070">
        <v>9</v>
      </c>
      <c r="E847" s="3070">
        <v>504</v>
      </c>
      <c r="F847" s="3070" t="s">
        <v>10117</v>
      </c>
      <c r="G847" s="3070" t="s">
        <v>10118</v>
      </c>
      <c r="H847" s="3070">
        <v>1211395</v>
      </c>
      <c r="I847" s="3070">
        <v>1211395</v>
      </c>
      <c r="J847" s="3070">
        <v>94.31</v>
      </c>
      <c r="K847" s="3070">
        <v>66.5</v>
      </c>
      <c r="L847" s="3070">
        <v>0</v>
      </c>
      <c r="M847" s="3070">
        <v>0</v>
      </c>
      <c r="N847" s="3070">
        <v>15194.44</v>
      </c>
      <c r="O847" s="3070">
        <v>1432988</v>
      </c>
      <c r="P847" s="3070">
        <v>12844.82</v>
      </c>
      <c r="Q847" s="3070">
        <v>1211395</v>
      </c>
      <c r="R847" s="3070" t="s">
        <v>3227</v>
      </c>
      <c r="S847" s="3070" t="s">
        <v>10119</v>
      </c>
      <c r="T847" s="3070" t="s">
        <v>3246</v>
      </c>
      <c r="U847" s="3070" t="s">
        <v>3247</v>
      </c>
      <c r="V847" s="3070" t="s">
        <v>3230</v>
      </c>
      <c r="Y847" s="3070">
        <v>371395</v>
      </c>
      <c r="Z847" s="3070">
        <v>121140</v>
      </c>
      <c r="AA847" s="3070">
        <v>371395</v>
      </c>
      <c r="AB847" s="3070">
        <v>0</v>
      </c>
      <c r="AC847" s="3070">
        <v>840000</v>
      </c>
      <c r="AD847" s="3070">
        <v>840000</v>
      </c>
      <c r="AE847" s="3070">
        <v>0</v>
      </c>
      <c r="AI847" s="3070" t="s">
        <v>3227</v>
      </c>
      <c r="AJ847" s="3070">
        <v>0</v>
      </c>
      <c r="AK847" s="3070">
        <v>0</v>
      </c>
      <c r="AL847" s="3070">
        <v>0</v>
      </c>
      <c r="AM847" s="3070">
        <v>12844.82</v>
      </c>
      <c r="AN847" s="3070">
        <v>1211395</v>
      </c>
      <c r="AP847" s="3070">
        <v>1211395</v>
      </c>
      <c r="AQ847" s="3072">
        <v>45138</v>
      </c>
      <c r="AT847" s="3073">
        <v>45678</v>
      </c>
      <c r="AV847" s="3070" t="s">
        <v>10120</v>
      </c>
      <c r="AW847" s="3070" t="s">
        <v>10121</v>
      </c>
      <c r="AX847" s="3070" t="s">
        <v>10122</v>
      </c>
      <c r="AY847" s="3070" t="s">
        <v>3497</v>
      </c>
      <c r="BC847" s="3070" t="s">
        <v>10123</v>
      </c>
      <c r="BD847" s="3070" t="s">
        <v>3077</v>
      </c>
      <c r="BI847" s="3070" t="s">
        <v>3235</v>
      </c>
      <c r="BL847" s="3070" t="s">
        <v>10124</v>
      </c>
      <c r="BM847" s="3075">
        <v>44444</v>
      </c>
      <c r="BN847" s="3070">
        <v>4</v>
      </c>
      <c r="BO847" s="3070" t="s">
        <v>3253</v>
      </c>
      <c r="BR847" s="3070">
        <v>0</v>
      </c>
      <c r="BS847" s="3070" t="s">
        <v>3238</v>
      </c>
      <c r="BT847" s="3070" t="s">
        <v>9714</v>
      </c>
      <c r="BZ847" s="3073">
        <v>44157.688888888886</v>
      </c>
      <c r="CA847" s="3070">
        <v>9</v>
      </c>
      <c r="CB847" s="3070" t="s">
        <v>9714</v>
      </c>
      <c r="CD847" s="3070" t="s">
        <v>3239</v>
      </c>
      <c r="CF847" s="3070" t="s">
        <v>3091</v>
      </c>
      <c r="CH847" s="3070" t="s">
        <v>3240</v>
      </c>
      <c r="CI847" s="3070">
        <v>0</v>
      </c>
      <c r="CK847" s="3070" t="s">
        <v>3497</v>
      </c>
      <c r="CL847" s="3070" t="s">
        <v>3497</v>
      </c>
      <c r="CM847" s="3070">
        <v>1111371.56</v>
      </c>
      <c r="CV847" s="3070" t="s">
        <v>3246</v>
      </c>
      <c r="CW847" s="3070" t="s">
        <v>10125</v>
      </c>
      <c r="CX847" s="3070" t="s">
        <v>3242</v>
      </c>
      <c r="CZ847" s="3070">
        <v>213894.57</v>
      </c>
      <c r="DA847" s="3070">
        <v>159426.93</v>
      </c>
      <c r="DB847" s="3070">
        <v>0</v>
      </c>
      <c r="DC847" s="3070">
        <v>0</v>
      </c>
      <c r="DD847" s="3070">
        <v>3290547602</v>
      </c>
      <c r="DE847" s="3070">
        <v>2764253109</v>
      </c>
      <c r="DF847" s="3070">
        <v>1464966739</v>
      </c>
      <c r="DG847" s="3070">
        <v>14938370</v>
      </c>
      <c r="DH847" s="3070">
        <v>1284348000</v>
      </c>
      <c r="DI847" s="3070">
        <v>1278128000</v>
      </c>
      <c r="DJ847" s="3070">
        <v>6220000</v>
      </c>
      <c r="DK847" s="3070">
        <v>0</v>
      </c>
      <c r="DL847" s="3070">
        <v>0</v>
      </c>
      <c r="DM847" s="3070">
        <v>25491817.620000001</v>
      </c>
      <c r="DN847" s="3070">
        <v>2764253109</v>
      </c>
      <c r="DP847" s="3070">
        <v>2764253109</v>
      </c>
    </row>
    <row r="848" spans="1:120">
      <c r="A848" s="3070">
        <v>847</v>
      </c>
      <c r="B848" s="3070" t="s">
        <v>3224</v>
      </c>
      <c r="C848" s="3070">
        <v>9</v>
      </c>
      <c r="E848" s="3070">
        <v>601</v>
      </c>
      <c r="F848" s="3070" t="s">
        <v>10126</v>
      </c>
      <c r="G848" s="3070" t="s">
        <v>10127</v>
      </c>
      <c r="H848" s="3070">
        <v>1171113</v>
      </c>
      <c r="I848" s="3070">
        <v>1171113</v>
      </c>
      <c r="J848" s="3070">
        <v>94.31</v>
      </c>
      <c r="K848" s="3070">
        <v>66.5</v>
      </c>
      <c r="L848" s="3070">
        <v>0</v>
      </c>
      <c r="M848" s="3070">
        <v>0</v>
      </c>
      <c r="N848" s="3070">
        <v>15344.44</v>
      </c>
      <c r="O848" s="3070">
        <v>1447134</v>
      </c>
      <c r="P848" s="3070">
        <v>12417.7</v>
      </c>
      <c r="Q848" s="3070">
        <v>1171113</v>
      </c>
      <c r="R848" s="3070" t="s">
        <v>3227</v>
      </c>
      <c r="S848" s="3070" t="s">
        <v>10128</v>
      </c>
      <c r="T848" s="3070" t="s">
        <v>3258</v>
      </c>
      <c r="U848" s="3070" t="s">
        <v>3259</v>
      </c>
      <c r="V848" s="3070" t="s">
        <v>3230</v>
      </c>
      <c r="Y848" s="3070">
        <v>361113</v>
      </c>
      <c r="Z848" s="3070">
        <v>361113</v>
      </c>
      <c r="AA848" s="3070">
        <v>361113</v>
      </c>
      <c r="AB848" s="3070">
        <v>0</v>
      </c>
      <c r="AC848" s="3070">
        <v>810000</v>
      </c>
      <c r="AD848" s="3070">
        <v>810000</v>
      </c>
      <c r="AE848" s="3070">
        <v>0</v>
      </c>
      <c r="AI848" s="3070" t="s">
        <v>3227</v>
      </c>
      <c r="AJ848" s="3070">
        <v>0</v>
      </c>
      <c r="AK848" s="3070">
        <v>0</v>
      </c>
      <c r="AL848" s="3070">
        <v>0</v>
      </c>
      <c r="AM848" s="3070">
        <v>12417.7</v>
      </c>
      <c r="AN848" s="3070">
        <v>1171113</v>
      </c>
      <c r="AP848" s="3070">
        <v>1171113</v>
      </c>
      <c r="AQ848" s="3072">
        <v>45138</v>
      </c>
      <c r="AT848" s="3073">
        <v>45678</v>
      </c>
      <c r="AV848" s="3070" t="s">
        <v>10129</v>
      </c>
      <c r="AW848" s="3070" t="s">
        <v>10130</v>
      </c>
      <c r="AX848" s="3070" t="s">
        <v>10131</v>
      </c>
      <c r="AY848" s="3070" t="s">
        <v>3429</v>
      </c>
      <c r="BC848" s="3070" t="s">
        <v>3263</v>
      </c>
      <c r="BD848" s="3070" t="s">
        <v>3077</v>
      </c>
      <c r="BI848" s="3070" t="s">
        <v>3235</v>
      </c>
      <c r="BJ848" s="3070" t="s">
        <v>3296</v>
      </c>
      <c r="BL848" s="3070" t="s">
        <v>10132</v>
      </c>
      <c r="BM848" s="3075">
        <v>44445</v>
      </c>
      <c r="BN848" s="3070">
        <v>1</v>
      </c>
      <c r="BO848" s="3070" t="s">
        <v>3253</v>
      </c>
      <c r="BP848" s="3070" t="s">
        <v>3253</v>
      </c>
      <c r="BR848" s="3070">
        <v>216</v>
      </c>
      <c r="BS848" s="3070" t="s">
        <v>3238</v>
      </c>
      <c r="BT848" s="3070" t="s">
        <v>9714</v>
      </c>
      <c r="BZ848" s="3073">
        <v>44142.854166666664</v>
      </c>
      <c r="CA848" s="3070">
        <v>9</v>
      </c>
      <c r="CB848" s="3070" t="s">
        <v>9714</v>
      </c>
      <c r="CD848" s="3070" t="s">
        <v>3239</v>
      </c>
      <c r="CF848" s="3070" t="s">
        <v>3091</v>
      </c>
      <c r="CH848" s="3070" t="s">
        <v>3240</v>
      </c>
      <c r="CI848" s="3070">
        <v>0</v>
      </c>
      <c r="CJ848" s="3070" t="s">
        <v>3259</v>
      </c>
      <c r="CK848" s="3070" t="s">
        <v>3429</v>
      </c>
      <c r="CL848" s="3070" t="s">
        <v>3429</v>
      </c>
      <c r="CM848" s="3070">
        <v>1074415.6000000001</v>
      </c>
      <c r="CV848" s="3070" t="s">
        <v>3258</v>
      </c>
      <c r="CW848" s="3070" t="s">
        <v>10133</v>
      </c>
      <c r="CZ848" s="3070">
        <v>213894.57</v>
      </c>
      <c r="DA848" s="3070">
        <v>159426.93</v>
      </c>
      <c r="DB848" s="3070">
        <v>0</v>
      </c>
      <c r="DC848" s="3070">
        <v>0</v>
      </c>
      <c r="DD848" s="3070">
        <v>3290547602</v>
      </c>
      <c r="DE848" s="3070">
        <v>2764253109</v>
      </c>
      <c r="DF848" s="3070">
        <v>1464966739</v>
      </c>
      <c r="DG848" s="3070">
        <v>14938370</v>
      </c>
      <c r="DH848" s="3070">
        <v>1284348000</v>
      </c>
      <c r="DI848" s="3070">
        <v>1278128000</v>
      </c>
      <c r="DJ848" s="3070">
        <v>6220000</v>
      </c>
      <c r="DK848" s="3070">
        <v>0</v>
      </c>
      <c r="DL848" s="3070">
        <v>0</v>
      </c>
      <c r="DM848" s="3070">
        <v>25491817.620000001</v>
      </c>
      <c r="DN848" s="3070">
        <v>2764253109</v>
      </c>
      <c r="DP848" s="3070">
        <v>2764253109</v>
      </c>
    </row>
    <row r="849" spans="1:120">
      <c r="A849" s="3070">
        <v>848</v>
      </c>
      <c r="B849" s="3070" t="s">
        <v>3224</v>
      </c>
      <c r="C849" s="3070">
        <v>9</v>
      </c>
      <c r="E849" s="3070">
        <v>602</v>
      </c>
      <c r="F849" s="3070" t="s">
        <v>10134</v>
      </c>
      <c r="G849" s="3070" t="s">
        <v>10135</v>
      </c>
      <c r="H849" s="3070">
        <v>1166630</v>
      </c>
      <c r="I849" s="3070">
        <v>1166630</v>
      </c>
      <c r="J849" s="3070">
        <v>94.31</v>
      </c>
      <c r="K849" s="3070">
        <v>66.5</v>
      </c>
      <c r="L849" s="3070">
        <v>0</v>
      </c>
      <c r="M849" s="3070">
        <v>0</v>
      </c>
      <c r="N849" s="3070">
        <v>15294.44</v>
      </c>
      <c r="O849" s="3070">
        <v>1442419</v>
      </c>
      <c r="P849" s="3070">
        <v>12370.16</v>
      </c>
      <c r="Q849" s="3070">
        <v>1166630</v>
      </c>
      <c r="R849" s="3070" t="s">
        <v>3227</v>
      </c>
      <c r="S849" s="3070" t="s">
        <v>10136</v>
      </c>
      <c r="T849" s="3070" t="s">
        <v>3246</v>
      </c>
      <c r="U849" s="3070" t="s">
        <v>3279</v>
      </c>
      <c r="V849" s="3070" t="s">
        <v>3230</v>
      </c>
      <c r="Y849" s="3070">
        <v>576630</v>
      </c>
      <c r="Z849" s="3070">
        <v>576630</v>
      </c>
      <c r="AA849" s="3070">
        <v>576630</v>
      </c>
      <c r="AB849" s="3070">
        <v>0</v>
      </c>
      <c r="AC849" s="3070">
        <v>590000</v>
      </c>
      <c r="AD849" s="3070">
        <v>590000</v>
      </c>
      <c r="AE849" s="3070">
        <v>0</v>
      </c>
      <c r="AI849" s="3070" t="s">
        <v>3227</v>
      </c>
      <c r="AJ849" s="3070">
        <v>0</v>
      </c>
      <c r="AK849" s="3070">
        <v>0</v>
      </c>
      <c r="AL849" s="3070">
        <v>0</v>
      </c>
      <c r="AM849" s="3070">
        <v>12370.16</v>
      </c>
      <c r="AN849" s="3070">
        <v>1166630</v>
      </c>
      <c r="AP849" s="3070">
        <v>1166630</v>
      </c>
      <c r="AQ849" s="3072">
        <v>45138</v>
      </c>
      <c r="AT849" s="3073">
        <v>45678</v>
      </c>
      <c r="AV849" s="3074">
        <v>3.21E+17</v>
      </c>
      <c r="AW849" s="3070" t="s">
        <v>10137</v>
      </c>
      <c r="AX849" s="3070" t="s">
        <v>10138</v>
      </c>
      <c r="AY849" s="3070" t="s">
        <v>3346</v>
      </c>
      <c r="BC849" s="3070" t="s">
        <v>3251</v>
      </c>
      <c r="BD849" s="3070" t="s">
        <v>3077</v>
      </c>
      <c r="BI849" s="3070" t="s">
        <v>3235</v>
      </c>
      <c r="BJ849" s="3070" t="s">
        <v>3236</v>
      </c>
      <c r="BL849" s="3070" t="s">
        <v>10139</v>
      </c>
      <c r="BM849" s="3075">
        <v>44445</v>
      </c>
      <c r="BN849" s="3070">
        <v>2</v>
      </c>
      <c r="BO849" s="3070" t="s">
        <v>3253</v>
      </c>
      <c r="BR849" s="3070">
        <v>477</v>
      </c>
      <c r="BS849" s="3070" t="s">
        <v>3238</v>
      </c>
      <c r="BT849" s="3070" t="s">
        <v>9714</v>
      </c>
      <c r="BZ849" s="3073">
        <v>44142.622916666667</v>
      </c>
      <c r="CA849" s="3070">
        <v>9</v>
      </c>
      <c r="CB849" s="3070" t="s">
        <v>9714</v>
      </c>
      <c r="CD849" s="3070" t="s">
        <v>3239</v>
      </c>
      <c r="CF849" s="3070" t="s">
        <v>3091</v>
      </c>
      <c r="CH849" s="3070" t="s">
        <v>3240</v>
      </c>
      <c r="CI849" s="3070">
        <v>0</v>
      </c>
      <c r="CK849" s="3070" t="s">
        <v>3346</v>
      </c>
      <c r="CL849" s="3070" t="s">
        <v>3346</v>
      </c>
      <c r="CM849" s="3070">
        <v>1070302.75</v>
      </c>
      <c r="CV849" s="3070" t="s">
        <v>3246</v>
      </c>
      <c r="CW849" s="3070" t="s">
        <v>10140</v>
      </c>
      <c r="CX849" s="3070" t="s">
        <v>3350</v>
      </c>
      <c r="CZ849" s="3070">
        <v>213894.57</v>
      </c>
      <c r="DA849" s="3070">
        <v>159426.93</v>
      </c>
      <c r="DB849" s="3070">
        <v>0</v>
      </c>
      <c r="DC849" s="3070">
        <v>0</v>
      </c>
      <c r="DD849" s="3070">
        <v>3290547602</v>
      </c>
      <c r="DE849" s="3070">
        <v>2764253109</v>
      </c>
      <c r="DF849" s="3070">
        <v>1464966739</v>
      </c>
      <c r="DG849" s="3070">
        <v>14938370</v>
      </c>
      <c r="DH849" s="3070">
        <v>1284348000</v>
      </c>
      <c r="DI849" s="3070">
        <v>1278128000</v>
      </c>
      <c r="DJ849" s="3070">
        <v>6220000</v>
      </c>
      <c r="DK849" s="3070">
        <v>0</v>
      </c>
      <c r="DL849" s="3070">
        <v>0</v>
      </c>
      <c r="DM849" s="3070">
        <v>25491817.620000001</v>
      </c>
      <c r="DN849" s="3070">
        <v>2764253109</v>
      </c>
      <c r="DP849" s="3070">
        <v>2764253109</v>
      </c>
    </row>
    <row r="850" spans="1:120">
      <c r="A850" s="3070">
        <v>849</v>
      </c>
      <c r="B850" s="3070" t="s">
        <v>3224</v>
      </c>
      <c r="C850" s="3070">
        <v>9</v>
      </c>
      <c r="E850" s="3070">
        <v>603</v>
      </c>
      <c r="F850" s="3070" t="s">
        <v>10141</v>
      </c>
      <c r="G850" s="3070" t="s">
        <v>10142</v>
      </c>
      <c r="H850" s="3070">
        <v>1166630</v>
      </c>
      <c r="I850" s="3070">
        <v>1166630</v>
      </c>
      <c r="J850" s="3070">
        <v>94.31</v>
      </c>
      <c r="K850" s="3070">
        <v>66.5</v>
      </c>
      <c r="L850" s="3070">
        <v>0</v>
      </c>
      <c r="M850" s="3070">
        <v>0</v>
      </c>
      <c r="N850" s="3070">
        <v>15294.44</v>
      </c>
      <c r="O850" s="3070">
        <v>1442419</v>
      </c>
      <c r="P850" s="3070">
        <v>12370.16</v>
      </c>
      <c r="Q850" s="3070">
        <v>1166630</v>
      </c>
      <c r="R850" s="3070" t="s">
        <v>3227</v>
      </c>
      <c r="S850" s="3070" t="s">
        <v>10143</v>
      </c>
      <c r="T850" s="3070" t="s">
        <v>3246</v>
      </c>
      <c r="U850" s="3070" t="s">
        <v>3247</v>
      </c>
      <c r="V850" s="3070" t="s">
        <v>3230</v>
      </c>
      <c r="Y850" s="3070">
        <v>356630</v>
      </c>
      <c r="Z850" s="3070">
        <v>356630</v>
      </c>
      <c r="AA850" s="3070">
        <v>356630</v>
      </c>
      <c r="AB850" s="3070">
        <v>0</v>
      </c>
      <c r="AC850" s="3070">
        <v>810000</v>
      </c>
      <c r="AD850" s="3070">
        <v>810000</v>
      </c>
      <c r="AE850" s="3070">
        <v>0</v>
      </c>
      <c r="AI850" s="3070" t="s">
        <v>3227</v>
      </c>
      <c r="AJ850" s="3070">
        <v>0</v>
      </c>
      <c r="AK850" s="3070">
        <v>0</v>
      </c>
      <c r="AL850" s="3070">
        <v>0</v>
      </c>
      <c r="AM850" s="3070">
        <v>12370.16</v>
      </c>
      <c r="AN850" s="3070">
        <v>1166630</v>
      </c>
      <c r="AP850" s="3070">
        <v>1166630</v>
      </c>
      <c r="AQ850" s="3072">
        <v>45138</v>
      </c>
      <c r="AT850" s="3073">
        <v>45678</v>
      </c>
      <c r="AV850" s="3074">
        <v>3.21E+17</v>
      </c>
      <c r="AW850" s="3070" t="s">
        <v>10144</v>
      </c>
      <c r="AX850" s="3070" t="s">
        <v>10145</v>
      </c>
      <c r="AY850" s="3070" t="s">
        <v>3607</v>
      </c>
      <c r="BC850" s="3070" t="s">
        <v>3284</v>
      </c>
      <c r="BD850" s="3070" t="s">
        <v>3077</v>
      </c>
      <c r="BI850" s="3070" t="s">
        <v>3235</v>
      </c>
      <c r="BJ850" s="3070" t="s">
        <v>3296</v>
      </c>
      <c r="BL850" s="3070" t="s">
        <v>10146</v>
      </c>
      <c r="BM850" s="3075">
        <v>44445</v>
      </c>
      <c r="BN850" s="3070">
        <v>3</v>
      </c>
      <c r="BO850" s="3070" t="s">
        <v>3253</v>
      </c>
      <c r="BR850" s="3070">
        <v>87</v>
      </c>
      <c r="BS850" s="3070" t="s">
        <v>3238</v>
      </c>
      <c r="BT850" s="3070" t="s">
        <v>9714</v>
      </c>
      <c r="BZ850" s="3073">
        <v>44142.638888888891</v>
      </c>
      <c r="CA850" s="3070">
        <v>9</v>
      </c>
      <c r="CB850" s="3070" t="s">
        <v>9714</v>
      </c>
      <c r="CD850" s="3070" t="s">
        <v>3239</v>
      </c>
      <c r="CF850" s="3070" t="s">
        <v>3091</v>
      </c>
      <c r="CH850" s="3070" t="s">
        <v>3240</v>
      </c>
      <c r="CI850" s="3070">
        <v>0</v>
      </c>
      <c r="CK850" s="3070" t="s">
        <v>3607</v>
      </c>
      <c r="CL850" s="3070" t="s">
        <v>3607</v>
      </c>
      <c r="CM850" s="3070">
        <v>1070302.75</v>
      </c>
      <c r="CV850" s="3070" t="s">
        <v>3246</v>
      </c>
      <c r="CW850" s="3070" t="s">
        <v>10147</v>
      </c>
      <c r="CX850" s="3070" t="s">
        <v>3267</v>
      </c>
      <c r="CZ850" s="3070">
        <v>213894.57</v>
      </c>
      <c r="DA850" s="3070">
        <v>159426.93</v>
      </c>
      <c r="DB850" s="3070">
        <v>0</v>
      </c>
      <c r="DC850" s="3070">
        <v>0</v>
      </c>
      <c r="DD850" s="3070">
        <v>3290547602</v>
      </c>
      <c r="DE850" s="3070">
        <v>2764253109</v>
      </c>
      <c r="DF850" s="3070">
        <v>1464966739</v>
      </c>
      <c r="DG850" s="3070">
        <v>14938370</v>
      </c>
      <c r="DH850" s="3070">
        <v>1284348000</v>
      </c>
      <c r="DI850" s="3070">
        <v>1278128000</v>
      </c>
      <c r="DJ850" s="3070">
        <v>6220000</v>
      </c>
      <c r="DK850" s="3070">
        <v>0</v>
      </c>
      <c r="DL850" s="3070">
        <v>0</v>
      </c>
      <c r="DM850" s="3070">
        <v>25491817.620000001</v>
      </c>
      <c r="DN850" s="3070">
        <v>2764253109</v>
      </c>
      <c r="DP850" s="3070">
        <v>2764253109</v>
      </c>
    </row>
    <row r="851" spans="1:120">
      <c r="A851" s="3070">
        <v>850</v>
      </c>
      <c r="B851" s="3070" t="s">
        <v>3224</v>
      </c>
      <c r="C851" s="3070">
        <v>9</v>
      </c>
      <c r="E851" s="3070">
        <v>604</v>
      </c>
      <c r="F851" s="3070" t="s">
        <v>10148</v>
      </c>
      <c r="G851" s="3070" t="s">
        <v>10149</v>
      </c>
      <c r="H851" s="3070">
        <v>1162147</v>
      </c>
      <c r="I851" s="3070">
        <v>1162147</v>
      </c>
      <c r="J851" s="3070">
        <v>94.31</v>
      </c>
      <c r="K851" s="3070">
        <v>66.5</v>
      </c>
      <c r="L851" s="3070">
        <v>0</v>
      </c>
      <c r="M851" s="3070">
        <v>0</v>
      </c>
      <c r="N851" s="3070">
        <v>15244.44</v>
      </c>
      <c r="O851" s="3070">
        <v>1437703</v>
      </c>
      <c r="P851" s="3070">
        <v>12322.63</v>
      </c>
      <c r="Q851" s="3070">
        <v>1162147</v>
      </c>
      <c r="R851" s="3070" t="s">
        <v>3227</v>
      </c>
      <c r="S851" s="3070" t="s">
        <v>10150</v>
      </c>
      <c r="T851" s="3070" t="s">
        <v>3476</v>
      </c>
      <c r="U851" s="3070" t="s">
        <v>3247</v>
      </c>
      <c r="V851" s="3070" t="s">
        <v>3230</v>
      </c>
      <c r="Y851" s="3070">
        <v>139458</v>
      </c>
      <c r="Z851" s="3070">
        <v>139458</v>
      </c>
      <c r="AA851" s="3070">
        <v>542147</v>
      </c>
      <c r="AB851" s="3070">
        <v>0</v>
      </c>
      <c r="AC851" s="3070">
        <v>620000</v>
      </c>
      <c r="AD851" s="3070">
        <v>620000</v>
      </c>
      <c r="AE851" s="3070">
        <v>0</v>
      </c>
      <c r="AI851" s="3070" t="s">
        <v>3227</v>
      </c>
      <c r="AJ851" s="3070">
        <v>0</v>
      </c>
      <c r="AK851" s="3070">
        <v>0</v>
      </c>
      <c r="AL851" s="3070">
        <v>0</v>
      </c>
      <c r="AM851" s="3070">
        <v>12322.63</v>
      </c>
      <c r="AN851" s="3070">
        <v>1162147</v>
      </c>
      <c r="AP851" s="3070">
        <v>1162147</v>
      </c>
      <c r="AQ851" s="3072">
        <v>45138</v>
      </c>
      <c r="AT851" s="3073">
        <v>45678</v>
      </c>
      <c r="AV851" s="3070" t="s">
        <v>10151</v>
      </c>
      <c r="AW851" s="3070" t="s">
        <v>10152</v>
      </c>
      <c r="AX851" s="3070" t="s">
        <v>10153</v>
      </c>
      <c r="AY851" s="3070" t="s">
        <v>3681</v>
      </c>
      <c r="BC851" s="3070" t="s">
        <v>3479</v>
      </c>
      <c r="BD851" s="3070" t="s">
        <v>3077</v>
      </c>
      <c r="BI851" s="3070" t="s">
        <v>3235</v>
      </c>
      <c r="BJ851" s="3070" t="s">
        <v>3296</v>
      </c>
      <c r="BL851" s="3070" t="s">
        <v>10154</v>
      </c>
      <c r="BM851" s="3075">
        <v>44445</v>
      </c>
      <c r="BN851" s="3070">
        <v>4</v>
      </c>
      <c r="BO851" s="3070" t="s">
        <v>3253</v>
      </c>
      <c r="BR851" s="3070">
        <v>348</v>
      </c>
      <c r="BS851" s="3070" t="s">
        <v>3238</v>
      </c>
      <c r="BT851" s="3070" t="s">
        <v>9714</v>
      </c>
      <c r="BZ851" s="3073">
        <v>44142.847916666666</v>
      </c>
      <c r="CA851" s="3070">
        <v>9</v>
      </c>
      <c r="CB851" s="3070" t="s">
        <v>9714</v>
      </c>
      <c r="CD851" s="3070" t="s">
        <v>3239</v>
      </c>
      <c r="CF851" s="3070" t="s">
        <v>3091</v>
      </c>
      <c r="CH851" s="3070" t="s">
        <v>3240</v>
      </c>
      <c r="CI851" s="3070">
        <v>0</v>
      </c>
      <c r="CK851" s="3070" t="s">
        <v>3681</v>
      </c>
      <c r="CL851" s="3070" t="s">
        <v>3681</v>
      </c>
      <c r="CM851" s="3070">
        <v>1066189.9099999999</v>
      </c>
      <c r="CV851" s="3070" t="s">
        <v>3482</v>
      </c>
      <c r="CW851" s="3070" t="s">
        <v>10155</v>
      </c>
      <c r="CX851" s="3070" t="s">
        <v>3267</v>
      </c>
      <c r="CZ851" s="3070">
        <v>213894.57</v>
      </c>
      <c r="DA851" s="3070">
        <v>159426.93</v>
      </c>
      <c r="DB851" s="3070">
        <v>0</v>
      </c>
      <c r="DC851" s="3070">
        <v>0</v>
      </c>
      <c r="DD851" s="3070">
        <v>3290547602</v>
      </c>
      <c r="DE851" s="3070">
        <v>2764253109</v>
      </c>
      <c r="DF851" s="3070">
        <v>1464966739</v>
      </c>
      <c r="DG851" s="3070">
        <v>14938370</v>
      </c>
      <c r="DH851" s="3070">
        <v>1284348000</v>
      </c>
      <c r="DI851" s="3070">
        <v>1278128000</v>
      </c>
      <c r="DJ851" s="3070">
        <v>6220000</v>
      </c>
      <c r="DK851" s="3070">
        <v>0</v>
      </c>
      <c r="DL851" s="3070">
        <v>0</v>
      </c>
      <c r="DM851" s="3070">
        <v>25491817.620000001</v>
      </c>
      <c r="DN851" s="3070">
        <v>2764253109</v>
      </c>
      <c r="DP851" s="3070">
        <v>2764253109</v>
      </c>
    </row>
    <row r="852" spans="1:120">
      <c r="A852" s="3070">
        <v>851</v>
      </c>
      <c r="B852" s="3070" t="s">
        <v>3224</v>
      </c>
      <c r="C852" s="3070">
        <v>9</v>
      </c>
      <c r="E852" s="3070">
        <v>701</v>
      </c>
      <c r="F852" s="3070" t="s">
        <v>10156</v>
      </c>
      <c r="G852" s="3070" t="s">
        <v>10157</v>
      </c>
      <c r="H852" s="3070">
        <v>1175595</v>
      </c>
      <c r="I852" s="3070">
        <v>1175595</v>
      </c>
      <c r="J852" s="3070">
        <v>94.31</v>
      </c>
      <c r="K852" s="3070">
        <v>66.5</v>
      </c>
      <c r="L852" s="3070">
        <v>0</v>
      </c>
      <c r="M852" s="3070">
        <v>0</v>
      </c>
      <c r="N852" s="3070">
        <v>15394.44</v>
      </c>
      <c r="O852" s="3070">
        <v>1451850</v>
      </c>
      <c r="P852" s="3070">
        <v>12465.22</v>
      </c>
      <c r="Q852" s="3070">
        <v>1175595</v>
      </c>
      <c r="R852" s="3070" t="s">
        <v>3227</v>
      </c>
      <c r="S852" s="3070" t="s">
        <v>10158</v>
      </c>
      <c r="T852" s="3070" t="s">
        <v>3258</v>
      </c>
      <c r="U852" s="3070" t="s">
        <v>3259</v>
      </c>
      <c r="V852" s="3070" t="s">
        <v>3230</v>
      </c>
      <c r="Y852" s="3070">
        <v>625595</v>
      </c>
      <c r="Z852" s="3070">
        <v>625595</v>
      </c>
      <c r="AA852" s="3070">
        <v>625595</v>
      </c>
      <c r="AB852" s="3070">
        <v>0</v>
      </c>
      <c r="AC852" s="3070">
        <v>550000</v>
      </c>
      <c r="AD852" s="3070">
        <v>550000</v>
      </c>
      <c r="AE852" s="3070">
        <v>0</v>
      </c>
      <c r="AI852" s="3070" t="s">
        <v>3227</v>
      </c>
      <c r="AJ852" s="3070">
        <v>0</v>
      </c>
      <c r="AK852" s="3070">
        <v>0</v>
      </c>
      <c r="AL852" s="3070">
        <v>0</v>
      </c>
      <c r="AM852" s="3070">
        <v>12465.22</v>
      </c>
      <c r="AN852" s="3070">
        <v>1175595</v>
      </c>
      <c r="AP852" s="3070">
        <v>1175595</v>
      </c>
      <c r="AQ852" s="3072">
        <v>45138</v>
      </c>
      <c r="AT852" s="3073">
        <v>45678</v>
      </c>
      <c r="AV852" s="3070" t="s">
        <v>10159</v>
      </c>
      <c r="AW852" s="3070" t="s">
        <v>10160</v>
      </c>
      <c r="AX852" s="3070" t="s">
        <v>10161</v>
      </c>
      <c r="AY852" s="3070" t="s">
        <v>3429</v>
      </c>
      <c r="BC852" s="3070" t="s">
        <v>3263</v>
      </c>
      <c r="BD852" s="3070" t="s">
        <v>3077</v>
      </c>
      <c r="BI852" s="3070" t="s">
        <v>3235</v>
      </c>
      <c r="BJ852" s="3070" t="s">
        <v>3296</v>
      </c>
      <c r="BL852" s="3070" t="s">
        <v>10162</v>
      </c>
      <c r="BM852" s="3075">
        <v>44446</v>
      </c>
      <c r="BN852" s="3070">
        <v>1</v>
      </c>
      <c r="BO852" s="3070" t="s">
        <v>3253</v>
      </c>
      <c r="BP852" s="3070" t="s">
        <v>3253</v>
      </c>
      <c r="BR852" s="3070">
        <v>51</v>
      </c>
      <c r="BS852" s="3070" t="s">
        <v>3238</v>
      </c>
      <c r="BT852" s="3070" t="s">
        <v>9714</v>
      </c>
      <c r="BZ852" s="3073">
        <v>44142.622916666667</v>
      </c>
      <c r="CA852" s="3070">
        <v>9</v>
      </c>
      <c r="CB852" s="3070" t="s">
        <v>9714</v>
      </c>
      <c r="CD852" s="3070" t="s">
        <v>3239</v>
      </c>
      <c r="CF852" s="3070" t="s">
        <v>3091</v>
      </c>
      <c r="CH852" s="3070" t="s">
        <v>3240</v>
      </c>
      <c r="CI852" s="3070">
        <v>0</v>
      </c>
      <c r="CJ852" s="3070" t="s">
        <v>3259</v>
      </c>
      <c r="CK852" s="3070" t="s">
        <v>3429</v>
      </c>
      <c r="CL852" s="3070" t="s">
        <v>3429</v>
      </c>
      <c r="CM852" s="3070">
        <v>1078527.52</v>
      </c>
      <c r="CV852" s="3070" t="s">
        <v>3258</v>
      </c>
      <c r="CW852" s="3070" t="s">
        <v>10163</v>
      </c>
      <c r="CX852" s="3070" t="s">
        <v>3510</v>
      </c>
      <c r="CZ852" s="3070">
        <v>213894.57</v>
      </c>
      <c r="DA852" s="3070">
        <v>159426.93</v>
      </c>
      <c r="DB852" s="3070">
        <v>0</v>
      </c>
      <c r="DC852" s="3070">
        <v>0</v>
      </c>
      <c r="DD852" s="3070">
        <v>3290547602</v>
      </c>
      <c r="DE852" s="3070">
        <v>2764253109</v>
      </c>
      <c r="DF852" s="3070">
        <v>1464966739</v>
      </c>
      <c r="DG852" s="3070">
        <v>14938370</v>
      </c>
      <c r="DH852" s="3070">
        <v>1284348000</v>
      </c>
      <c r="DI852" s="3070">
        <v>1278128000</v>
      </c>
      <c r="DJ852" s="3070">
        <v>6220000</v>
      </c>
      <c r="DK852" s="3070">
        <v>0</v>
      </c>
      <c r="DL852" s="3070">
        <v>0</v>
      </c>
      <c r="DM852" s="3070">
        <v>25491817.620000001</v>
      </c>
      <c r="DN852" s="3070">
        <v>2764253109</v>
      </c>
      <c r="DP852" s="3070">
        <v>2764253109</v>
      </c>
    </row>
    <row r="853" spans="1:120">
      <c r="A853" s="3070">
        <v>852</v>
      </c>
      <c r="B853" s="3070" t="s">
        <v>3224</v>
      </c>
      <c r="C853" s="3070">
        <v>9</v>
      </c>
      <c r="E853" s="3070">
        <v>702</v>
      </c>
      <c r="F853" s="3070" t="s">
        <v>10164</v>
      </c>
      <c r="G853" s="3070" t="s">
        <v>10165</v>
      </c>
      <c r="H853" s="3070">
        <v>1171113</v>
      </c>
      <c r="I853" s="3070">
        <v>1171113</v>
      </c>
      <c r="J853" s="3070">
        <v>94.31</v>
      </c>
      <c r="K853" s="3070">
        <v>66.5</v>
      </c>
      <c r="L853" s="3070">
        <v>0</v>
      </c>
      <c r="M853" s="3070">
        <v>0</v>
      </c>
      <c r="N853" s="3070">
        <v>15344.44</v>
      </c>
      <c r="O853" s="3070">
        <v>1447134</v>
      </c>
      <c r="P853" s="3070">
        <v>12417.7</v>
      </c>
      <c r="Q853" s="3070">
        <v>1171113</v>
      </c>
      <c r="R853" s="3070" t="s">
        <v>3227</v>
      </c>
      <c r="S853" s="3070" t="s">
        <v>10166</v>
      </c>
      <c r="T853" s="3070" t="s">
        <v>3258</v>
      </c>
      <c r="U853" s="3070" t="s">
        <v>3259</v>
      </c>
      <c r="V853" s="3070" t="s">
        <v>3230</v>
      </c>
      <c r="Y853" s="3070">
        <v>361113</v>
      </c>
      <c r="Z853" s="3070">
        <v>361113</v>
      </c>
      <c r="AA853" s="3070">
        <v>361113</v>
      </c>
      <c r="AB853" s="3070">
        <v>0</v>
      </c>
      <c r="AC853" s="3070">
        <v>810000</v>
      </c>
      <c r="AD853" s="3070">
        <v>810000</v>
      </c>
      <c r="AE853" s="3070">
        <v>0</v>
      </c>
      <c r="AI853" s="3070" t="s">
        <v>3227</v>
      </c>
      <c r="AJ853" s="3070">
        <v>0</v>
      </c>
      <c r="AK853" s="3070">
        <v>0</v>
      </c>
      <c r="AL853" s="3070">
        <v>0</v>
      </c>
      <c r="AM853" s="3070">
        <v>12417.7</v>
      </c>
      <c r="AN853" s="3070">
        <v>1171113</v>
      </c>
      <c r="AP853" s="3070">
        <v>1171113</v>
      </c>
      <c r="AQ853" s="3072">
        <v>45138</v>
      </c>
      <c r="AT853" s="3073">
        <v>45678</v>
      </c>
      <c r="AV853" s="3070" t="s">
        <v>10167</v>
      </c>
      <c r="AW853" s="3070" t="s">
        <v>10168</v>
      </c>
      <c r="AX853" s="3070" t="s">
        <v>10169</v>
      </c>
      <c r="AY853" s="3070" t="s">
        <v>3954</v>
      </c>
      <c r="BC853" s="3070" t="s">
        <v>3263</v>
      </c>
      <c r="BD853" s="3070" t="s">
        <v>3077</v>
      </c>
      <c r="BI853" s="3070" t="s">
        <v>3235</v>
      </c>
      <c r="BJ853" s="3070" t="s">
        <v>3338</v>
      </c>
      <c r="BL853" s="3070" t="s">
        <v>10170</v>
      </c>
      <c r="BM853" s="3075">
        <v>44446</v>
      </c>
      <c r="BN853" s="3070">
        <v>2</v>
      </c>
      <c r="BO853" s="3070" t="s">
        <v>3253</v>
      </c>
      <c r="BP853" s="3070" t="s">
        <v>3253</v>
      </c>
      <c r="BR853" s="3070">
        <v>392</v>
      </c>
      <c r="BS853" s="3070" t="s">
        <v>3238</v>
      </c>
      <c r="BT853" s="3070" t="s">
        <v>9714</v>
      </c>
      <c r="BZ853" s="3073">
        <v>44142.625694444447</v>
      </c>
      <c r="CA853" s="3070">
        <v>9</v>
      </c>
      <c r="CB853" s="3070" t="s">
        <v>9714</v>
      </c>
      <c r="CD853" s="3070" t="s">
        <v>3239</v>
      </c>
      <c r="CF853" s="3070" t="s">
        <v>3091</v>
      </c>
      <c r="CH853" s="3070" t="s">
        <v>3240</v>
      </c>
      <c r="CI853" s="3070">
        <v>0</v>
      </c>
      <c r="CJ853" s="3070" t="s">
        <v>3259</v>
      </c>
      <c r="CK853" s="3070" t="s">
        <v>3957</v>
      </c>
      <c r="CL853" s="3070" t="s">
        <v>3954</v>
      </c>
      <c r="CM853" s="3070">
        <v>1074415.6000000001</v>
      </c>
      <c r="CV853" s="3070" t="s">
        <v>3258</v>
      </c>
      <c r="CW853" s="3070" t="s">
        <v>10171</v>
      </c>
      <c r="CZ853" s="3070">
        <v>213894.57</v>
      </c>
      <c r="DA853" s="3070">
        <v>159426.93</v>
      </c>
      <c r="DB853" s="3070">
        <v>0</v>
      </c>
      <c r="DC853" s="3070">
        <v>0</v>
      </c>
      <c r="DD853" s="3070">
        <v>3290547602</v>
      </c>
      <c r="DE853" s="3070">
        <v>2764253109</v>
      </c>
      <c r="DF853" s="3070">
        <v>1464966739</v>
      </c>
      <c r="DG853" s="3070">
        <v>14938370</v>
      </c>
      <c r="DH853" s="3070">
        <v>1284348000</v>
      </c>
      <c r="DI853" s="3070">
        <v>1278128000</v>
      </c>
      <c r="DJ853" s="3070">
        <v>6220000</v>
      </c>
      <c r="DK853" s="3070">
        <v>0</v>
      </c>
      <c r="DL853" s="3070">
        <v>0</v>
      </c>
      <c r="DM853" s="3070">
        <v>25491817.620000001</v>
      </c>
      <c r="DN853" s="3070">
        <v>2764253109</v>
      </c>
      <c r="DP853" s="3070">
        <v>2764253109</v>
      </c>
    </row>
    <row r="854" spans="1:120">
      <c r="A854" s="3070">
        <v>853</v>
      </c>
      <c r="B854" s="3070" t="s">
        <v>3224</v>
      </c>
      <c r="C854" s="3070">
        <v>9</v>
      </c>
      <c r="E854" s="3070">
        <v>703</v>
      </c>
      <c r="F854" s="3070" t="s">
        <v>10172</v>
      </c>
      <c r="G854" s="3070" t="s">
        <v>10173</v>
      </c>
      <c r="H854" s="3070">
        <v>1171113</v>
      </c>
      <c r="I854" s="3070">
        <v>1171113</v>
      </c>
      <c r="J854" s="3070">
        <v>94.31</v>
      </c>
      <c r="K854" s="3070">
        <v>66.5</v>
      </c>
      <c r="L854" s="3070">
        <v>0</v>
      </c>
      <c r="M854" s="3070">
        <v>0</v>
      </c>
      <c r="N854" s="3070">
        <v>15344.44</v>
      </c>
      <c r="O854" s="3070">
        <v>1447134</v>
      </c>
      <c r="P854" s="3070">
        <v>12417.7</v>
      </c>
      <c r="Q854" s="3070">
        <v>1171113</v>
      </c>
      <c r="R854" s="3070" t="s">
        <v>3227</v>
      </c>
      <c r="S854" s="3070" t="s">
        <v>10174</v>
      </c>
      <c r="T854" s="3070" t="s">
        <v>3258</v>
      </c>
      <c r="U854" s="3070" t="s">
        <v>3259</v>
      </c>
      <c r="V854" s="3070" t="s">
        <v>3230</v>
      </c>
      <c r="Y854" s="3070">
        <v>361113</v>
      </c>
      <c r="Z854" s="3070">
        <v>361113</v>
      </c>
      <c r="AA854" s="3070">
        <v>361113</v>
      </c>
      <c r="AB854" s="3070">
        <v>0</v>
      </c>
      <c r="AC854" s="3070">
        <v>810000</v>
      </c>
      <c r="AD854" s="3070">
        <v>810000</v>
      </c>
      <c r="AE854" s="3070">
        <v>0</v>
      </c>
      <c r="AI854" s="3070" t="s">
        <v>3227</v>
      </c>
      <c r="AJ854" s="3070">
        <v>0</v>
      </c>
      <c r="AK854" s="3070">
        <v>0</v>
      </c>
      <c r="AL854" s="3070">
        <v>0</v>
      </c>
      <c r="AM854" s="3070">
        <v>12417.7</v>
      </c>
      <c r="AN854" s="3070">
        <v>1171113</v>
      </c>
      <c r="AP854" s="3070">
        <v>1171113</v>
      </c>
      <c r="AQ854" s="3072">
        <v>45138</v>
      </c>
      <c r="AT854" s="3073">
        <v>45678</v>
      </c>
      <c r="AV854" s="3070" t="s">
        <v>10175</v>
      </c>
      <c r="AW854" s="3070" t="s">
        <v>10176</v>
      </c>
      <c r="AX854" s="3070" t="s">
        <v>10177</v>
      </c>
      <c r="AY854" s="3070" t="s">
        <v>3306</v>
      </c>
      <c r="BC854" s="3070" t="s">
        <v>3263</v>
      </c>
      <c r="BD854" s="3070" t="s">
        <v>3077</v>
      </c>
      <c r="BI854" s="3070" t="s">
        <v>3235</v>
      </c>
      <c r="BJ854" s="3070" t="s">
        <v>3338</v>
      </c>
      <c r="BL854" s="3070" t="s">
        <v>10178</v>
      </c>
      <c r="BM854" s="3075">
        <v>44446</v>
      </c>
      <c r="BN854" s="3070">
        <v>3</v>
      </c>
      <c r="BO854" s="3070" t="s">
        <v>3253</v>
      </c>
      <c r="BP854" s="3070" t="s">
        <v>3253</v>
      </c>
      <c r="BR854" s="3070">
        <v>60</v>
      </c>
      <c r="BS854" s="3070" t="s">
        <v>3238</v>
      </c>
      <c r="BT854" s="3070" t="s">
        <v>9714</v>
      </c>
      <c r="BZ854" s="3073">
        <v>44142.844444444447</v>
      </c>
      <c r="CA854" s="3070">
        <v>9</v>
      </c>
      <c r="CB854" s="3070" t="s">
        <v>9714</v>
      </c>
      <c r="CD854" s="3070" t="s">
        <v>3239</v>
      </c>
      <c r="CF854" s="3070" t="s">
        <v>3091</v>
      </c>
      <c r="CH854" s="3070" t="s">
        <v>3240</v>
      </c>
      <c r="CI854" s="3070">
        <v>0</v>
      </c>
      <c r="CJ854" s="3070" t="s">
        <v>3259</v>
      </c>
      <c r="CK854" s="3070" t="s">
        <v>3306</v>
      </c>
      <c r="CL854" s="3070" t="s">
        <v>3306</v>
      </c>
      <c r="CM854" s="3070">
        <v>1074415.6000000001</v>
      </c>
      <c r="CV854" s="3070" t="s">
        <v>3258</v>
      </c>
      <c r="CW854" s="3070" t="s">
        <v>10179</v>
      </c>
      <c r="CZ854" s="3070">
        <v>213894.57</v>
      </c>
      <c r="DA854" s="3070">
        <v>159426.93</v>
      </c>
      <c r="DB854" s="3070">
        <v>0</v>
      </c>
      <c r="DC854" s="3070">
        <v>0</v>
      </c>
      <c r="DD854" s="3070">
        <v>3290547602</v>
      </c>
      <c r="DE854" s="3070">
        <v>2764253109</v>
      </c>
      <c r="DF854" s="3070">
        <v>1464966739</v>
      </c>
      <c r="DG854" s="3070">
        <v>14938370</v>
      </c>
      <c r="DH854" s="3070">
        <v>1284348000</v>
      </c>
      <c r="DI854" s="3070">
        <v>1278128000</v>
      </c>
      <c r="DJ854" s="3070">
        <v>6220000</v>
      </c>
      <c r="DK854" s="3070">
        <v>0</v>
      </c>
      <c r="DL854" s="3070">
        <v>0</v>
      </c>
      <c r="DM854" s="3070">
        <v>25491817.620000001</v>
      </c>
      <c r="DN854" s="3070">
        <v>2764253109</v>
      </c>
      <c r="DP854" s="3070">
        <v>2764253109</v>
      </c>
    </row>
    <row r="855" spans="1:120">
      <c r="A855" s="3070">
        <v>854</v>
      </c>
      <c r="B855" s="3070" t="s">
        <v>3224</v>
      </c>
      <c r="C855" s="3070">
        <v>9</v>
      </c>
      <c r="E855" s="3070">
        <v>704</v>
      </c>
      <c r="F855" s="3070" t="s">
        <v>10180</v>
      </c>
      <c r="G855" s="3070" t="s">
        <v>10181</v>
      </c>
      <c r="H855" s="3070">
        <v>1166630</v>
      </c>
      <c r="I855" s="3070">
        <v>1166630</v>
      </c>
      <c r="J855" s="3070">
        <v>94.31</v>
      </c>
      <c r="K855" s="3070">
        <v>66.5</v>
      </c>
      <c r="L855" s="3070">
        <v>0</v>
      </c>
      <c r="M855" s="3070">
        <v>0</v>
      </c>
      <c r="N855" s="3070">
        <v>15294.44</v>
      </c>
      <c r="O855" s="3070">
        <v>1442419</v>
      </c>
      <c r="P855" s="3070">
        <v>12370.16</v>
      </c>
      <c r="Q855" s="3070">
        <v>1166630</v>
      </c>
      <c r="R855" s="3070" t="s">
        <v>3227</v>
      </c>
      <c r="S855" s="3070" t="s">
        <v>10182</v>
      </c>
      <c r="T855" s="3070" t="s">
        <v>3258</v>
      </c>
      <c r="U855" s="3070" t="s">
        <v>3259</v>
      </c>
      <c r="V855" s="3070" t="s">
        <v>3230</v>
      </c>
      <c r="Y855" s="3070">
        <v>546630</v>
      </c>
      <c r="Z855" s="3070">
        <v>546630</v>
      </c>
      <c r="AA855" s="3070">
        <v>546630</v>
      </c>
      <c r="AB855" s="3070">
        <v>0</v>
      </c>
      <c r="AC855" s="3070">
        <v>620000</v>
      </c>
      <c r="AD855" s="3070">
        <v>620000</v>
      </c>
      <c r="AE855" s="3070">
        <v>0</v>
      </c>
      <c r="AI855" s="3070" t="s">
        <v>3227</v>
      </c>
      <c r="AJ855" s="3070">
        <v>0</v>
      </c>
      <c r="AK855" s="3070">
        <v>0</v>
      </c>
      <c r="AL855" s="3070">
        <v>0</v>
      </c>
      <c r="AM855" s="3070">
        <v>12370.16</v>
      </c>
      <c r="AN855" s="3070">
        <v>1166630</v>
      </c>
      <c r="AP855" s="3070">
        <v>1166630</v>
      </c>
      <c r="AQ855" s="3072">
        <v>45138</v>
      </c>
      <c r="AT855" s="3073">
        <v>45678</v>
      </c>
      <c r="AV855" s="3070" t="s">
        <v>10183</v>
      </c>
      <c r="AW855" s="3070" t="s">
        <v>10184</v>
      </c>
      <c r="AX855" s="3070" t="s">
        <v>10185</v>
      </c>
      <c r="AY855" s="3070" t="s">
        <v>3411</v>
      </c>
      <c r="BC855" s="3070" t="s">
        <v>3263</v>
      </c>
      <c r="BD855" s="3070" t="s">
        <v>3077</v>
      </c>
      <c r="BI855" s="3070" t="s">
        <v>3235</v>
      </c>
      <c r="BJ855" s="3070" t="s">
        <v>3296</v>
      </c>
      <c r="BL855" s="3070" t="s">
        <v>10186</v>
      </c>
      <c r="BM855" s="3075">
        <v>44446</v>
      </c>
      <c r="BN855" s="3070">
        <v>4</v>
      </c>
      <c r="BO855" s="3070" t="s">
        <v>3253</v>
      </c>
      <c r="BP855" s="3070" t="s">
        <v>3253</v>
      </c>
      <c r="BR855" s="3070">
        <v>412</v>
      </c>
      <c r="BS855" s="3070" t="s">
        <v>3238</v>
      </c>
      <c r="BT855" s="3070" t="s">
        <v>9714</v>
      </c>
      <c r="BZ855" s="3073">
        <v>44142.85</v>
      </c>
      <c r="CA855" s="3070">
        <v>9</v>
      </c>
      <c r="CB855" s="3070" t="s">
        <v>9714</v>
      </c>
      <c r="CD855" s="3070" t="s">
        <v>3239</v>
      </c>
      <c r="CF855" s="3070" t="s">
        <v>3091</v>
      </c>
      <c r="CH855" s="3070" t="s">
        <v>3240</v>
      </c>
      <c r="CI855" s="3070">
        <v>0</v>
      </c>
      <c r="CJ855" s="3070" t="s">
        <v>3259</v>
      </c>
      <c r="CK855" s="3070" t="s">
        <v>3411</v>
      </c>
      <c r="CL855" s="3070" t="s">
        <v>3411</v>
      </c>
      <c r="CM855" s="3070">
        <v>1070302.75</v>
      </c>
      <c r="CV855" s="3070" t="s">
        <v>3258</v>
      </c>
      <c r="CW855" s="3070" t="s">
        <v>10187</v>
      </c>
      <c r="CZ855" s="3070">
        <v>213894.57</v>
      </c>
      <c r="DA855" s="3070">
        <v>159426.93</v>
      </c>
      <c r="DB855" s="3070">
        <v>0</v>
      </c>
      <c r="DC855" s="3070">
        <v>0</v>
      </c>
      <c r="DD855" s="3070">
        <v>3290547602</v>
      </c>
      <c r="DE855" s="3070">
        <v>2764253109</v>
      </c>
      <c r="DF855" s="3070">
        <v>1464966739</v>
      </c>
      <c r="DG855" s="3070">
        <v>14938370</v>
      </c>
      <c r="DH855" s="3070">
        <v>1284348000</v>
      </c>
      <c r="DI855" s="3070">
        <v>1278128000</v>
      </c>
      <c r="DJ855" s="3070">
        <v>6220000</v>
      </c>
      <c r="DK855" s="3070">
        <v>0</v>
      </c>
      <c r="DL855" s="3070">
        <v>0</v>
      </c>
      <c r="DM855" s="3070">
        <v>25491817.620000001</v>
      </c>
      <c r="DN855" s="3070">
        <v>2764253109</v>
      </c>
      <c r="DP855" s="3070">
        <v>2764253109</v>
      </c>
    </row>
    <row r="856" spans="1:120">
      <c r="A856" s="3070">
        <v>855</v>
      </c>
      <c r="B856" s="3070" t="s">
        <v>3224</v>
      </c>
      <c r="C856" s="3070">
        <v>9</v>
      </c>
      <c r="E856" s="3070">
        <v>801</v>
      </c>
      <c r="F856" s="3070" t="s">
        <v>10188</v>
      </c>
      <c r="G856" s="3070" t="s">
        <v>10189</v>
      </c>
      <c r="H856" s="3070">
        <v>1180078</v>
      </c>
      <c r="I856" s="3070">
        <v>1180078</v>
      </c>
      <c r="J856" s="3070">
        <v>94.31</v>
      </c>
      <c r="K856" s="3070">
        <v>66.5</v>
      </c>
      <c r="L856" s="3070">
        <v>0</v>
      </c>
      <c r="M856" s="3070">
        <v>0</v>
      </c>
      <c r="N856" s="3070">
        <v>15444.44</v>
      </c>
      <c r="O856" s="3070">
        <v>1456565</v>
      </c>
      <c r="P856" s="3070">
        <v>12512.76</v>
      </c>
      <c r="Q856" s="3070">
        <v>1180078</v>
      </c>
      <c r="R856" s="3070" t="s">
        <v>3227</v>
      </c>
      <c r="S856" s="3070" t="s">
        <v>10190</v>
      </c>
      <c r="T856" s="3070" t="s">
        <v>3246</v>
      </c>
      <c r="U856" s="3070" t="s">
        <v>3381</v>
      </c>
      <c r="V856" s="3070" t="s">
        <v>3230</v>
      </c>
      <c r="Y856" s="3070">
        <v>475078</v>
      </c>
      <c r="Z856" s="3070">
        <v>475078</v>
      </c>
      <c r="AA856" s="3070">
        <v>475078</v>
      </c>
      <c r="AB856" s="3070">
        <v>0</v>
      </c>
      <c r="AC856" s="3070">
        <v>705000</v>
      </c>
      <c r="AD856" s="3070">
        <v>705000</v>
      </c>
      <c r="AE856" s="3070">
        <v>0</v>
      </c>
      <c r="AI856" s="3070" t="s">
        <v>3227</v>
      </c>
      <c r="AJ856" s="3070">
        <v>0</v>
      </c>
      <c r="AK856" s="3070">
        <v>0</v>
      </c>
      <c r="AL856" s="3070">
        <v>0</v>
      </c>
      <c r="AM856" s="3070">
        <v>12512.76</v>
      </c>
      <c r="AN856" s="3070">
        <v>1180078</v>
      </c>
      <c r="AP856" s="3070">
        <v>1180078</v>
      </c>
      <c r="AQ856" s="3072">
        <v>45138</v>
      </c>
      <c r="AT856" s="3073">
        <v>45678</v>
      </c>
      <c r="AV856" s="3070" t="s">
        <v>10191</v>
      </c>
      <c r="AW856" s="3070" t="s">
        <v>10192</v>
      </c>
      <c r="AX856" s="3070" t="s">
        <v>10193</v>
      </c>
      <c r="AY856" s="3070" t="s">
        <v>3393</v>
      </c>
      <c r="BC856" s="3070" t="s">
        <v>3284</v>
      </c>
      <c r="BD856" s="3070" t="s">
        <v>3077</v>
      </c>
      <c r="BI856" s="3070" t="s">
        <v>3235</v>
      </c>
      <c r="BJ856" s="3070" t="s">
        <v>3296</v>
      </c>
      <c r="BL856" s="3070" t="s">
        <v>10194</v>
      </c>
      <c r="BM856" s="3075">
        <v>44447</v>
      </c>
      <c r="BN856" s="3070">
        <v>1</v>
      </c>
      <c r="BO856" s="3070" t="s">
        <v>3253</v>
      </c>
      <c r="BR856" s="3070">
        <v>371</v>
      </c>
      <c r="BS856" s="3070" t="s">
        <v>3238</v>
      </c>
      <c r="BT856" s="3070" t="s">
        <v>9714</v>
      </c>
      <c r="BZ856" s="3073">
        <v>44142.615972222222</v>
      </c>
      <c r="CA856" s="3070">
        <v>9</v>
      </c>
      <c r="CB856" s="3070" t="s">
        <v>9714</v>
      </c>
      <c r="CD856" s="3070" t="s">
        <v>3239</v>
      </c>
      <c r="CF856" s="3070" t="s">
        <v>3091</v>
      </c>
      <c r="CH856" s="3070" t="s">
        <v>3240</v>
      </c>
      <c r="CI856" s="3070">
        <v>0</v>
      </c>
      <c r="CK856" s="3070" t="s">
        <v>3393</v>
      </c>
      <c r="CL856" s="3070" t="s">
        <v>3393</v>
      </c>
      <c r="CM856" s="3070">
        <v>1082640.3600000001</v>
      </c>
      <c r="CV856" s="3070" t="s">
        <v>3246</v>
      </c>
      <c r="CW856" s="3070" t="s">
        <v>10195</v>
      </c>
      <c r="CZ856" s="3070">
        <v>213894.57</v>
      </c>
      <c r="DA856" s="3070">
        <v>159426.93</v>
      </c>
      <c r="DB856" s="3070">
        <v>0</v>
      </c>
      <c r="DC856" s="3070">
        <v>0</v>
      </c>
      <c r="DD856" s="3070">
        <v>3290547602</v>
      </c>
      <c r="DE856" s="3070">
        <v>2764253109</v>
      </c>
      <c r="DF856" s="3070">
        <v>1464966739</v>
      </c>
      <c r="DG856" s="3070">
        <v>14938370</v>
      </c>
      <c r="DH856" s="3070">
        <v>1284348000</v>
      </c>
      <c r="DI856" s="3070">
        <v>1278128000</v>
      </c>
      <c r="DJ856" s="3070">
        <v>6220000</v>
      </c>
      <c r="DK856" s="3070">
        <v>0</v>
      </c>
      <c r="DL856" s="3070">
        <v>0</v>
      </c>
      <c r="DM856" s="3070">
        <v>25491817.620000001</v>
      </c>
      <c r="DN856" s="3070">
        <v>2764253109</v>
      </c>
      <c r="DP856" s="3070">
        <v>2764253109</v>
      </c>
    </row>
    <row r="857" spans="1:120">
      <c r="A857" s="3070">
        <v>856</v>
      </c>
      <c r="B857" s="3070" t="s">
        <v>3224</v>
      </c>
      <c r="C857" s="3070">
        <v>9</v>
      </c>
      <c r="E857" s="3070">
        <v>802</v>
      </c>
      <c r="F857" s="3070" t="s">
        <v>10196</v>
      </c>
      <c r="G857" s="3070" t="s">
        <v>10197</v>
      </c>
      <c r="H857" s="3070">
        <v>1175595</v>
      </c>
      <c r="I857" s="3070">
        <v>1175595</v>
      </c>
      <c r="J857" s="3070">
        <v>94.31</v>
      </c>
      <c r="K857" s="3070">
        <v>66.5</v>
      </c>
      <c r="L857" s="3070">
        <v>0</v>
      </c>
      <c r="M857" s="3070">
        <v>0</v>
      </c>
      <c r="N857" s="3070">
        <v>15394.44</v>
      </c>
      <c r="O857" s="3070">
        <v>1451850</v>
      </c>
      <c r="P857" s="3070">
        <v>12465.22</v>
      </c>
      <c r="Q857" s="3070">
        <v>1175595</v>
      </c>
      <c r="R857" s="3070" t="s">
        <v>3227</v>
      </c>
      <c r="S857" s="3070" t="s">
        <v>10198</v>
      </c>
      <c r="T857" s="3070" t="s">
        <v>3246</v>
      </c>
      <c r="U857" s="3070" t="s">
        <v>3467</v>
      </c>
      <c r="V857" s="3070" t="s">
        <v>3230</v>
      </c>
      <c r="Y857" s="3070">
        <v>355595</v>
      </c>
      <c r="Z857" s="3070">
        <v>355595</v>
      </c>
      <c r="AA857" s="3070">
        <v>355595</v>
      </c>
      <c r="AB857" s="3070">
        <v>0</v>
      </c>
      <c r="AC857" s="3070">
        <v>820000</v>
      </c>
      <c r="AD857" s="3070">
        <v>820000</v>
      </c>
      <c r="AE857" s="3070">
        <v>0</v>
      </c>
      <c r="AI857" s="3070" t="s">
        <v>3227</v>
      </c>
      <c r="AJ857" s="3070">
        <v>0</v>
      </c>
      <c r="AK857" s="3070">
        <v>0</v>
      </c>
      <c r="AL857" s="3070">
        <v>0</v>
      </c>
      <c r="AM857" s="3070">
        <v>12465.22</v>
      </c>
      <c r="AN857" s="3070">
        <v>1175595</v>
      </c>
      <c r="AP857" s="3070">
        <v>1175595</v>
      </c>
      <c r="AQ857" s="3072">
        <v>45138</v>
      </c>
      <c r="AT857" s="3073">
        <v>45678</v>
      </c>
      <c r="AV857" s="3074">
        <v>3.21E+17</v>
      </c>
      <c r="AW857" s="3070" t="s">
        <v>10199</v>
      </c>
      <c r="AX857" s="3070" t="s">
        <v>10200</v>
      </c>
      <c r="AY857" s="3070" t="s">
        <v>3364</v>
      </c>
      <c r="BC857" s="3070" t="s">
        <v>3284</v>
      </c>
      <c r="BD857" s="3070" t="s">
        <v>3077</v>
      </c>
      <c r="BI857" s="3070" t="s">
        <v>3235</v>
      </c>
      <c r="BJ857" s="3070" t="s">
        <v>3285</v>
      </c>
      <c r="BL857" s="3070" t="s">
        <v>10201</v>
      </c>
      <c r="BM857" s="3075">
        <v>44447</v>
      </c>
      <c r="BN857" s="3070">
        <v>2</v>
      </c>
      <c r="BO857" s="3070" t="s">
        <v>3253</v>
      </c>
      <c r="BR857" s="3070">
        <v>7</v>
      </c>
      <c r="BS857" s="3070" t="s">
        <v>3238</v>
      </c>
      <c r="BT857" s="3070" t="s">
        <v>9714</v>
      </c>
      <c r="BZ857" s="3073">
        <v>44142.606944444444</v>
      </c>
      <c r="CA857" s="3070">
        <v>9</v>
      </c>
      <c r="CB857" s="3070" t="s">
        <v>9714</v>
      </c>
      <c r="CD857" s="3070" t="s">
        <v>3239</v>
      </c>
      <c r="CF857" s="3070" t="s">
        <v>3091</v>
      </c>
      <c r="CH857" s="3070" t="s">
        <v>3240</v>
      </c>
      <c r="CI857" s="3070">
        <v>0</v>
      </c>
      <c r="CK857" s="3070" t="s">
        <v>3364</v>
      </c>
      <c r="CL857" s="3070" t="s">
        <v>3364</v>
      </c>
      <c r="CM857" s="3070">
        <v>1078527.52</v>
      </c>
      <c r="CV857" s="3070" t="s">
        <v>3246</v>
      </c>
      <c r="CW857" s="3070" t="s">
        <v>10202</v>
      </c>
      <c r="CX857" s="3070" t="s">
        <v>3267</v>
      </c>
      <c r="CZ857" s="3070">
        <v>213894.57</v>
      </c>
      <c r="DA857" s="3070">
        <v>159426.93</v>
      </c>
      <c r="DB857" s="3070">
        <v>0</v>
      </c>
      <c r="DC857" s="3070">
        <v>0</v>
      </c>
      <c r="DD857" s="3070">
        <v>3290547602</v>
      </c>
      <c r="DE857" s="3070">
        <v>2764253109</v>
      </c>
      <c r="DF857" s="3070">
        <v>1464966739</v>
      </c>
      <c r="DG857" s="3070">
        <v>14938370</v>
      </c>
      <c r="DH857" s="3070">
        <v>1284348000</v>
      </c>
      <c r="DI857" s="3070">
        <v>1278128000</v>
      </c>
      <c r="DJ857" s="3070">
        <v>6220000</v>
      </c>
      <c r="DK857" s="3070">
        <v>0</v>
      </c>
      <c r="DL857" s="3070">
        <v>0</v>
      </c>
      <c r="DM857" s="3070">
        <v>25491817.620000001</v>
      </c>
      <c r="DN857" s="3070">
        <v>2764253109</v>
      </c>
      <c r="DP857" s="3070">
        <v>2764253109</v>
      </c>
    </row>
    <row r="858" spans="1:120">
      <c r="A858" s="3070">
        <v>857</v>
      </c>
      <c r="B858" s="3070" t="s">
        <v>3224</v>
      </c>
      <c r="C858" s="3070">
        <v>9</v>
      </c>
      <c r="E858" s="3070">
        <v>803</v>
      </c>
      <c r="F858" s="3070" t="s">
        <v>10203</v>
      </c>
      <c r="G858" s="3070" t="s">
        <v>10204</v>
      </c>
      <c r="H858" s="3070">
        <v>1183627</v>
      </c>
      <c r="I858" s="3070">
        <v>1183627</v>
      </c>
      <c r="J858" s="3070">
        <v>94.31</v>
      </c>
      <c r="K858" s="3070">
        <v>66.5</v>
      </c>
      <c r="L858" s="3070">
        <v>0</v>
      </c>
      <c r="M858" s="3070">
        <v>0</v>
      </c>
      <c r="N858" s="3070">
        <v>15394.44</v>
      </c>
      <c r="O858" s="3070">
        <v>1451850</v>
      </c>
      <c r="P858" s="3070">
        <v>12550.39</v>
      </c>
      <c r="Q858" s="3070">
        <v>1183627</v>
      </c>
      <c r="R858" s="3070" t="s">
        <v>3227</v>
      </c>
      <c r="S858" s="3070" t="s">
        <v>10205</v>
      </c>
      <c r="T858" s="3070" t="s">
        <v>3494</v>
      </c>
      <c r="V858" s="3070" t="s">
        <v>3230</v>
      </c>
      <c r="Y858" s="3070">
        <v>118363</v>
      </c>
      <c r="Z858" s="3070">
        <v>118363</v>
      </c>
      <c r="AA858" s="3070">
        <v>1183627</v>
      </c>
      <c r="AB858" s="3070">
        <v>0</v>
      </c>
      <c r="AC858" s="3070">
        <v>0</v>
      </c>
      <c r="AD858" s="3070">
        <v>0</v>
      </c>
      <c r="AE858" s="3070">
        <v>0</v>
      </c>
      <c r="AI858" s="3070" t="s">
        <v>3227</v>
      </c>
      <c r="AJ858" s="3070">
        <v>0</v>
      </c>
      <c r="AK858" s="3070">
        <v>0</v>
      </c>
      <c r="AL858" s="3070">
        <v>0</v>
      </c>
      <c r="AM858" s="3070">
        <v>12550.39</v>
      </c>
      <c r="AN858" s="3070">
        <v>1183627</v>
      </c>
      <c r="AP858" s="3070">
        <v>1183627</v>
      </c>
      <c r="AQ858" s="3072">
        <v>45138</v>
      </c>
      <c r="AT858" s="3073">
        <v>45678</v>
      </c>
      <c r="AV858" s="3074">
        <v>3.21E+17</v>
      </c>
      <c r="AW858" s="3070" t="s">
        <v>10206</v>
      </c>
      <c r="AX858" s="3070" t="s">
        <v>10207</v>
      </c>
      <c r="AY858" s="3070" t="s">
        <v>3892</v>
      </c>
      <c r="BC858" s="3070" t="s">
        <v>10208</v>
      </c>
      <c r="BD858" s="3070" t="s">
        <v>3077</v>
      </c>
      <c r="BI858" s="3070" t="s">
        <v>3295</v>
      </c>
      <c r="BL858" s="3070" t="s">
        <v>10209</v>
      </c>
      <c r="BM858" s="3075">
        <v>44447</v>
      </c>
      <c r="BN858" s="3070">
        <v>3</v>
      </c>
      <c r="BR858" s="3070">
        <v>20</v>
      </c>
      <c r="BS858" s="3070" t="s">
        <v>3238</v>
      </c>
      <c r="BT858" s="3070" t="s">
        <v>9714</v>
      </c>
      <c r="BV858" s="3070" t="s">
        <v>10210</v>
      </c>
      <c r="BZ858" s="3073">
        <v>44196.631944444445</v>
      </c>
      <c r="CA858" s="3070">
        <v>9</v>
      </c>
      <c r="CB858" s="3070" t="s">
        <v>9714</v>
      </c>
      <c r="CD858" s="3070" t="s">
        <v>3239</v>
      </c>
      <c r="CF858" s="3070" t="s">
        <v>3091</v>
      </c>
      <c r="CH858" s="3070" t="s">
        <v>3240</v>
      </c>
      <c r="CI858" s="3070">
        <v>0</v>
      </c>
      <c r="CK858" s="3070" t="s">
        <v>3892</v>
      </c>
      <c r="CL858" s="3070" t="s">
        <v>4056</v>
      </c>
      <c r="CM858" s="3070">
        <v>1085896.33</v>
      </c>
      <c r="CV858" s="3070" t="s">
        <v>3494</v>
      </c>
      <c r="CW858" s="3070" t="s">
        <v>10211</v>
      </c>
      <c r="CZ858" s="3070">
        <v>213894.57</v>
      </c>
      <c r="DA858" s="3070">
        <v>159426.93</v>
      </c>
      <c r="DB858" s="3070">
        <v>0</v>
      </c>
      <c r="DC858" s="3070">
        <v>0</v>
      </c>
      <c r="DD858" s="3070">
        <v>3290547602</v>
      </c>
      <c r="DE858" s="3070">
        <v>2764253109</v>
      </c>
      <c r="DF858" s="3070">
        <v>1464966739</v>
      </c>
      <c r="DG858" s="3070">
        <v>14938370</v>
      </c>
      <c r="DH858" s="3070">
        <v>1284348000</v>
      </c>
      <c r="DI858" s="3070">
        <v>1278128000</v>
      </c>
      <c r="DJ858" s="3070">
        <v>6220000</v>
      </c>
      <c r="DK858" s="3070">
        <v>0</v>
      </c>
      <c r="DL858" s="3070">
        <v>0</v>
      </c>
      <c r="DM858" s="3070">
        <v>25491817.620000001</v>
      </c>
      <c r="DN858" s="3070">
        <v>2764253109</v>
      </c>
      <c r="DP858" s="3070">
        <v>2764253109</v>
      </c>
    </row>
    <row r="859" spans="1:120">
      <c r="A859" s="3070">
        <v>858</v>
      </c>
      <c r="B859" s="3070" t="s">
        <v>3224</v>
      </c>
      <c r="C859" s="3070">
        <v>9</v>
      </c>
      <c r="E859" s="3070">
        <v>804</v>
      </c>
      <c r="F859" s="3070" t="s">
        <v>10212</v>
      </c>
      <c r="G859" s="3070" t="s">
        <v>10213</v>
      </c>
      <c r="H859" s="3070">
        <v>1171113</v>
      </c>
      <c r="I859" s="3070">
        <v>1171113</v>
      </c>
      <c r="J859" s="3070">
        <v>94.31</v>
      </c>
      <c r="K859" s="3070">
        <v>66.5</v>
      </c>
      <c r="L859" s="3070">
        <v>0</v>
      </c>
      <c r="M859" s="3070">
        <v>0</v>
      </c>
      <c r="N859" s="3070">
        <v>15344.44</v>
      </c>
      <c r="O859" s="3070">
        <v>1447134</v>
      </c>
      <c r="P859" s="3070">
        <v>12417.7</v>
      </c>
      <c r="Q859" s="3070">
        <v>1171113</v>
      </c>
      <c r="R859" s="3070" t="s">
        <v>3227</v>
      </c>
      <c r="S859" s="3070" t="s">
        <v>10214</v>
      </c>
      <c r="T859" s="3070" t="s">
        <v>3246</v>
      </c>
      <c r="U859" s="3070" t="s">
        <v>3467</v>
      </c>
      <c r="V859" s="3070" t="s">
        <v>3230</v>
      </c>
      <c r="Y859" s="3070">
        <v>451113</v>
      </c>
      <c r="Z859" s="3070">
        <v>451113</v>
      </c>
      <c r="AA859" s="3070">
        <v>451113</v>
      </c>
      <c r="AB859" s="3070">
        <v>0</v>
      </c>
      <c r="AC859" s="3070">
        <v>720000</v>
      </c>
      <c r="AD859" s="3070">
        <v>720000</v>
      </c>
      <c r="AE859" s="3070">
        <v>0</v>
      </c>
      <c r="AI859" s="3070" t="s">
        <v>3227</v>
      </c>
      <c r="AJ859" s="3070">
        <v>0</v>
      </c>
      <c r="AK859" s="3070">
        <v>0</v>
      </c>
      <c r="AL859" s="3070">
        <v>0</v>
      </c>
      <c r="AM859" s="3070">
        <v>12417.7</v>
      </c>
      <c r="AN859" s="3070">
        <v>1171113</v>
      </c>
      <c r="AP859" s="3070">
        <v>1171113</v>
      </c>
      <c r="AQ859" s="3072">
        <v>45138</v>
      </c>
      <c r="AT859" s="3073">
        <v>45678</v>
      </c>
      <c r="AV859" s="3074">
        <v>3.21E+17</v>
      </c>
      <c r="AW859" s="3070" t="s">
        <v>10215</v>
      </c>
      <c r="AX859" s="3070" t="s">
        <v>10216</v>
      </c>
      <c r="AY859" s="3070" t="s">
        <v>3429</v>
      </c>
      <c r="BC859" s="3070" t="s">
        <v>3284</v>
      </c>
      <c r="BD859" s="3070" t="s">
        <v>3077</v>
      </c>
      <c r="BI859" s="3070" t="s">
        <v>3235</v>
      </c>
      <c r="BJ859" s="3070" t="s">
        <v>3296</v>
      </c>
      <c r="BL859" s="3070" t="s">
        <v>10217</v>
      </c>
      <c r="BM859" s="3075">
        <v>44447</v>
      </c>
      <c r="BN859" s="3070">
        <v>4</v>
      </c>
      <c r="BO859" s="3070" t="s">
        <v>3253</v>
      </c>
      <c r="BR859" s="3070">
        <v>267</v>
      </c>
      <c r="BS859" s="3070" t="s">
        <v>3238</v>
      </c>
      <c r="BT859" s="3070" t="s">
        <v>9714</v>
      </c>
      <c r="BZ859" s="3073">
        <v>44142.63958333333</v>
      </c>
      <c r="CA859" s="3070">
        <v>9</v>
      </c>
      <c r="CB859" s="3070" t="s">
        <v>9714</v>
      </c>
      <c r="CD859" s="3070" t="s">
        <v>3239</v>
      </c>
      <c r="CF859" s="3070" t="s">
        <v>3091</v>
      </c>
      <c r="CH859" s="3070" t="s">
        <v>3240</v>
      </c>
      <c r="CI859" s="3070">
        <v>0</v>
      </c>
      <c r="CK859" s="3070" t="s">
        <v>3429</v>
      </c>
      <c r="CL859" s="3070" t="s">
        <v>3429</v>
      </c>
      <c r="CM859" s="3070">
        <v>1074415.6000000001</v>
      </c>
      <c r="CV859" s="3070" t="s">
        <v>3246</v>
      </c>
      <c r="CW859" s="3070" t="s">
        <v>10218</v>
      </c>
      <c r="CX859" s="3070" t="s">
        <v>3267</v>
      </c>
      <c r="CZ859" s="3070">
        <v>213894.57</v>
      </c>
      <c r="DA859" s="3070">
        <v>159426.93</v>
      </c>
      <c r="DB859" s="3070">
        <v>0</v>
      </c>
      <c r="DC859" s="3070">
        <v>0</v>
      </c>
      <c r="DD859" s="3070">
        <v>3290547602</v>
      </c>
      <c r="DE859" s="3070">
        <v>2764253109</v>
      </c>
      <c r="DF859" s="3070">
        <v>1464966739</v>
      </c>
      <c r="DG859" s="3070">
        <v>14938370</v>
      </c>
      <c r="DH859" s="3070">
        <v>1284348000</v>
      </c>
      <c r="DI859" s="3070">
        <v>1278128000</v>
      </c>
      <c r="DJ859" s="3070">
        <v>6220000</v>
      </c>
      <c r="DK859" s="3070">
        <v>0</v>
      </c>
      <c r="DL859" s="3070">
        <v>0</v>
      </c>
      <c r="DM859" s="3070">
        <v>25491817.620000001</v>
      </c>
      <c r="DN859" s="3070">
        <v>2764253109</v>
      </c>
      <c r="DP859" s="3070">
        <v>2764253109</v>
      </c>
    </row>
    <row r="860" spans="1:120">
      <c r="A860" s="3070">
        <v>859</v>
      </c>
      <c r="B860" s="3070" t="s">
        <v>3224</v>
      </c>
      <c r="C860" s="3070">
        <v>9</v>
      </c>
      <c r="E860" s="3070">
        <v>901</v>
      </c>
      <c r="F860" s="3070" t="s">
        <v>10219</v>
      </c>
      <c r="G860" s="3070" t="s">
        <v>10220</v>
      </c>
      <c r="H860" s="3070">
        <v>1184560</v>
      </c>
      <c r="I860" s="3070">
        <v>1184560</v>
      </c>
      <c r="J860" s="3070">
        <v>94.31</v>
      </c>
      <c r="K860" s="3070">
        <v>66.5</v>
      </c>
      <c r="L860" s="3070">
        <v>0</v>
      </c>
      <c r="M860" s="3070">
        <v>0</v>
      </c>
      <c r="N860" s="3070">
        <v>15494.44</v>
      </c>
      <c r="O860" s="3070">
        <v>1461281</v>
      </c>
      <c r="P860" s="3070">
        <v>12560.28</v>
      </c>
      <c r="Q860" s="3070">
        <v>1184560</v>
      </c>
      <c r="R860" s="3070" t="s">
        <v>3227</v>
      </c>
      <c r="S860" s="3070" t="s">
        <v>10221</v>
      </c>
      <c r="T860" s="3070" t="s">
        <v>3258</v>
      </c>
      <c r="U860" s="3070" t="s">
        <v>3259</v>
      </c>
      <c r="V860" s="3070" t="s">
        <v>3230</v>
      </c>
      <c r="Y860" s="3070">
        <v>554560</v>
      </c>
      <c r="Z860" s="3070">
        <v>364560</v>
      </c>
      <c r="AA860" s="3070">
        <v>554560</v>
      </c>
      <c r="AB860" s="3070">
        <v>0</v>
      </c>
      <c r="AC860" s="3070">
        <v>630000</v>
      </c>
      <c r="AD860" s="3070">
        <v>630000</v>
      </c>
      <c r="AE860" s="3070">
        <v>0</v>
      </c>
      <c r="AI860" s="3070" t="s">
        <v>3227</v>
      </c>
      <c r="AJ860" s="3070">
        <v>0</v>
      </c>
      <c r="AK860" s="3070">
        <v>0</v>
      </c>
      <c r="AL860" s="3070">
        <v>0</v>
      </c>
      <c r="AM860" s="3070">
        <v>12560.28</v>
      </c>
      <c r="AN860" s="3070">
        <v>1184560</v>
      </c>
      <c r="AP860" s="3070">
        <v>1184560</v>
      </c>
      <c r="AQ860" s="3072">
        <v>45138</v>
      </c>
      <c r="AT860" s="3073">
        <v>45678</v>
      </c>
      <c r="AV860" s="3070" t="s">
        <v>10222</v>
      </c>
      <c r="AW860" s="3070" t="s">
        <v>10223</v>
      </c>
      <c r="AX860" s="3070" t="s">
        <v>10224</v>
      </c>
      <c r="AY860" s="3070" t="s">
        <v>3429</v>
      </c>
      <c r="BC860" s="3070" t="s">
        <v>3263</v>
      </c>
      <c r="BD860" s="3070" t="s">
        <v>3077</v>
      </c>
      <c r="BI860" s="3070" t="s">
        <v>3295</v>
      </c>
      <c r="BJ860" s="3070" t="s">
        <v>3338</v>
      </c>
      <c r="BL860" s="3070" t="s">
        <v>10225</v>
      </c>
      <c r="BM860" s="3075">
        <v>44448</v>
      </c>
      <c r="BN860" s="3070">
        <v>1</v>
      </c>
      <c r="BO860" s="3070" t="s">
        <v>3253</v>
      </c>
      <c r="BP860" s="3070" t="s">
        <v>3253</v>
      </c>
      <c r="BR860" s="3070">
        <v>281</v>
      </c>
      <c r="BS860" s="3070" t="s">
        <v>3238</v>
      </c>
      <c r="BT860" s="3070" t="s">
        <v>9714</v>
      </c>
      <c r="BZ860" s="3073">
        <v>44142.620833333334</v>
      </c>
      <c r="CA860" s="3070">
        <v>9</v>
      </c>
      <c r="CB860" s="3070" t="s">
        <v>9714</v>
      </c>
      <c r="CD860" s="3070" t="s">
        <v>3239</v>
      </c>
      <c r="CF860" s="3070" t="s">
        <v>3091</v>
      </c>
      <c r="CH860" s="3070" t="s">
        <v>3240</v>
      </c>
      <c r="CI860" s="3070">
        <v>0</v>
      </c>
      <c r="CJ860" s="3070" t="s">
        <v>3259</v>
      </c>
      <c r="CK860" s="3070" t="s">
        <v>3429</v>
      </c>
      <c r="CL860" s="3070" t="s">
        <v>3429</v>
      </c>
      <c r="CM860" s="3070">
        <v>1086752.29</v>
      </c>
      <c r="CV860" s="3070" t="s">
        <v>3258</v>
      </c>
      <c r="CW860" s="3070" t="s">
        <v>10226</v>
      </c>
      <c r="CZ860" s="3070">
        <v>213894.57</v>
      </c>
      <c r="DA860" s="3070">
        <v>159426.93</v>
      </c>
      <c r="DB860" s="3070">
        <v>0</v>
      </c>
      <c r="DC860" s="3070">
        <v>0</v>
      </c>
      <c r="DD860" s="3070">
        <v>3290547602</v>
      </c>
      <c r="DE860" s="3070">
        <v>2764253109</v>
      </c>
      <c r="DF860" s="3070">
        <v>1464966739</v>
      </c>
      <c r="DG860" s="3070">
        <v>14938370</v>
      </c>
      <c r="DH860" s="3070">
        <v>1284348000</v>
      </c>
      <c r="DI860" s="3070">
        <v>1278128000</v>
      </c>
      <c r="DJ860" s="3070">
        <v>6220000</v>
      </c>
      <c r="DK860" s="3070">
        <v>0</v>
      </c>
      <c r="DL860" s="3070">
        <v>0</v>
      </c>
      <c r="DM860" s="3070">
        <v>25491817.620000001</v>
      </c>
      <c r="DN860" s="3070">
        <v>2764253109</v>
      </c>
      <c r="DP860" s="3070">
        <v>2764253109</v>
      </c>
    </row>
    <row r="861" spans="1:120">
      <c r="A861" s="3070">
        <v>860</v>
      </c>
      <c r="B861" s="3070" t="s">
        <v>3224</v>
      </c>
      <c r="C861" s="3070">
        <v>9</v>
      </c>
      <c r="E861" s="3070">
        <v>902</v>
      </c>
      <c r="F861" s="3070" t="s">
        <v>10227</v>
      </c>
      <c r="G861" s="3070" t="s">
        <v>10228</v>
      </c>
      <c r="H861" s="3070">
        <v>1168277</v>
      </c>
      <c r="I861" s="3070">
        <v>1168277</v>
      </c>
      <c r="J861" s="3070">
        <v>94.31</v>
      </c>
      <c r="K861" s="3070">
        <v>66.5</v>
      </c>
      <c r="L861" s="3070">
        <v>0</v>
      </c>
      <c r="M861" s="3070">
        <v>0</v>
      </c>
      <c r="N861" s="3070">
        <v>15444.44</v>
      </c>
      <c r="O861" s="3070">
        <v>1456565</v>
      </c>
      <c r="P861" s="3070">
        <v>12387.63</v>
      </c>
      <c r="Q861" s="3070">
        <v>1168277</v>
      </c>
      <c r="R861" s="3070" t="s">
        <v>3227</v>
      </c>
      <c r="S861" s="3070" t="s">
        <v>10229</v>
      </c>
      <c r="T861" s="3070" t="s">
        <v>3229</v>
      </c>
      <c r="V861" s="3070" t="s">
        <v>3230</v>
      </c>
      <c r="Y861" s="3070">
        <v>350483</v>
      </c>
      <c r="Z861" s="3070">
        <v>350483</v>
      </c>
      <c r="AA861" s="3070">
        <v>1168277</v>
      </c>
      <c r="AB861" s="3070">
        <v>0</v>
      </c>
      <c r="AC861" s="3070">
        <v>0</v>
      </c>
      <c r="AD861" s="3070">
        <v>0</v>
      </c>
      <c r="AE861" s="3070">
        <v>0</v>
      </c>
      <c r="AI861" s="3070" t="s">
        <v>3227</v>
      </c>
      <c r="AJ861" s="3070">
        <v>0</v>
      </c>
      <c r="AK861" s="3070">
        <v>0</v>
      </c>
      <c r="AL861" s="3070">
        <v>0</v>
      </c>
      <c r="AM861" s="3070">
        <v>12387.63</v>
      </c>
      <c r="AN861" s="3070">
        <v>1168277</v>
      </c>
      <c r="AP861" s="3070">
        <v>1168277</v>
      </c>
      <c r="AQ861" s="3072">
        <v>45138</v>
      </c>
      <c r="AT861" s="3073">
        <v>45678</v>
      </c>
      <c r="AV861" s="3074">
        <v>3.21E+17</v>
      </c>
      <c r="AW861" s="3070" t="s">
        <v>10230</v>
      </c>
      <c r="AX861" s="3070" t="s">
        <v>10231</v>
      </c>
      <c r="AY861" s="3070" t="s">
        <v>3262</v>
      </c>
      <c r="BC861" s="3070" t="s">
        <v>3347</v>
      </c>
      <c r="BD861" s="3070" t="s">
        <v>3077</v>
      </c>
      <c r="BI861" s="3070" t="s">
        <v>3235</v>
      </c>
      <c r="BJ861" s="3070" t="s">
        <v>3296</v>
      </c>
      <c r="BL861" s="3070" t="s">
        <v>10232</v>
      </c>
      <c r="BM861" s="3075">
        <v>44448</v>
      </c>
      <c r="BN861" s="3070">
        <v>2</v>
      </c>
      <c r="BR861" s="3070">
        <v>869</v>
      </c>
      <c r="BS861" s="3070" t="s">
        <v>3238</v>
      </c>
      <c r="BT861" s="3070" t="s">
        <v>9714</v>
      </c>
      <c r="BZ861" s="3073">
        <v>44147.700694444444</v>
      </c>
      <c r="CA861" s="3070">
        <v>9</v>
      </c>
      <c r="CB861" s="3070" t="s">
        <v>9714</v>
      </c>
      <c r="CD861" s="3070" t="s">
        <v>3239</v>
      </c>
      <c r="CF861" s="3070" t="s">
        <v>3091</v>
      </c>
      <c r="CH861" s="3070" t="s">
        <v>3240</v>
      </c>
      <c r="CI861" s="3070">
        <v>0</v>
      </c>
      <c r="CK861" s="3070" t="s">
        <v>3262</v>
      </c>
      <c r="CL861" s="3070" t="s">
        <v>3262</v>
      </c>
      <c r="CM861" s="3070">
        <v>1071813.76</v>
      </c>
      <c r="CV861" s="3070" t="s">
        <v>3229</v>
      </c>
      <c r="CW861" s="3070" t="s">
        <v>10233</v>
      </c>
      <c r="CX861" s="3070" t="s">
        <v>3510</v>
      </c>
      <c r="CZ861" s="3070">
        <v>213894.57</v>
      </c>
      <c r="DA861" s="3070">
        <v>159426.93</v>
      </c>
      <c r="DB861" s="3070">
        <v>0</v>
      </c>
      <c r="DC861" s="3070">
        <v>0</v>
      </c>
      <c r="DD861" s="3070">
        <v>3290547602</v>
      </c>
      <c r="DE861" s="3070">
        <v>2764253109</v>
      </c>
      <c r="DF861" s="3070">
        <v>1464966739</v>
      </c>
      <c r="DG861" s="3070">
        <v>14938370</v>
      </c>
      <c r="DH861" s="3070">
        <v>1284348000</v>
      </c>
      <c r="DI861" s="3070">
        <v>1278128000</v>
      </c>
      <c r="DJ861" s="3070">
        <v>6220000</v>
      </c>
      <c r="DK861" s="3070">
        <v>0</v>
      </c>
      <c r="DL861" s="3070">
        <v>0</v>
      </c>
      <c r="DM861" s="3070">
        <v>25491817.620000001</v>
      </c>
      <c r="DN861" s="3070">
        <v>2764253109</v>
      </c>
      <c r="DP861" s="3070">
        <v>2764253109</v>
      </c>
    </row>
    <row r="862" spans="1:120">
      <c r="A862" s="3070">
        <v>861</v>
      </c>
      <c r="B862" s="3070" t="s">
        <v>3224</v>
      </c>
      <c r="C862" s="3070">
        <v>9</v>
      </c>
      <c r="E862" s="3070">
        <v>903</v>
      </c>
      <c r="F862" s="3070" t="s">
        <v>10234</v>
      </c>
      <c r="G862" s="3070" t="s">
        <v>10235</v>
      </c>
      <c r="H862" s="3070">
        <v>1144911</v>
      </c>
      <c r="I862" s="3070">
        <v>1144911</v>
      </c>
      <c r="J862" s="3070">
        <v>94.31</v>
      </c>
      <c r="K862" s="3070">
        <v>66.5</v>
      </c>
      <c r="L862" s="3070">
        <v>0</v>
      </c>
      <c r="M862" s="3070">
        <v>0</v>
      </c>
      <c r="N862" s="3070">
        <v>15444.44</v>
      </c>
      <c r="O862" s="3070">
        <v>1456565</v>
      </c>
      <c r="P862" s="3070">
        <v>12139.87</v>
      </c>
      <c r="Q862" s="3070">
        <v>1144911</v>
      </c>
      <c r="R862" s="3070" t="s">
        <v>3227</v>
      </c>
      <c r="S862" s="3070" t="s">
        <v>10236</v>
      </c>
      <c r="T862" s="3070" t="s">
        <v>3229</v>
      </c>
      <c r="V862" s="3070" t="s">
        <v>3230</v>
      </c>
      <c r="Y862" s="3070">
        <v>343473</v>
      </c>
      <c r="Z862" s="3070">
        <v>343473</v>
      </c>
      <c r="AA862" s="3070">
        <v>1144911</v>
      </c>
      <c r="AB862" s="3070">
        <v>0</v>
      </c>
      <c r="AC862" s="3070">
        <v>0</v>
      </c>
      <c r="AD862" s="3070">
        <v>0</v>
      </c>
      <c r="AE862" s="3070">
        <v>0</v>
      </c>
      <c r="AI862" s="3070" t="s">
        <v>3227</v>
      </c>
      <c r="AJ862" s="3070">
        <v>0</v>
      </c>
      <c r="AK862" s="3070">
        <v>0</v>
      </c>
      <c r="AL862" s="3070">
        <v>0</v>
      </c>
      <c r="AM862" s="3070">
        <v>12139.87</v>
      </c>
      <c r="AN862" s="3070">
        <v>1144911</v>
      </c>
      <c r="AP862" s="3070">
        <v>1144911</v>
      </c>
      <c r="AQ862" s="3072">
        <v>45138</v>
      </c>
      <c r="AT862" s="3073">
        <v>45678</v>
      </c>
      <c r="AV862" s="3070" t="s">
        <v>10237</v>
      </c>
      <c r="AW862" s="3070" t="s">
        <v>10238</v>
      </c>
      <c r="AX862" s="3070" t="s">
        <v>10239</v>
      </c>
      <c r="AY862" s="3070" t="s">
        <v>3306</v>
      </c>
      <c r="BC862" s="3070" t="s">
        <v>10240</v>
      </c>
      <c r="BD862" s="3070" t="s">
        <v>3077</v>
      </c>
      <c r="BI862" s="3070" t="s">
        <v>3235</v>
      </c>
      <c r="BJ862" s="3070" t="s">
        <v>3285</v>
      </c>
      <c r="BL862" s="3070" t="s">
        <v>10241</v>
      </c>
      <c r="BM862" s="3075">
        <v>44448</v>
      </c>
      <c r="BN862" s="3070">
        <v>3</v>
      </c>
      <c r="BR862" s="3070">
        <v>532</v>
      </c>
      <c r="BS862" s="3070" t="s">
        <v>3238</v>
      </c>
      <c r="BT862" s="3070" t="s">
        <v>9714</v>
      </c>
      <c r="BZ862" s="3073">
        <v>44142.63958333333</v>
      </c>
      <c r="CA862" s="3070">
        <v>9</v>
      </c>
      <c r="CB862" s="3070" t="s">
        <v>9714</v>
      </c>
      <c r="CD862" s="3070" t="s">
        <v>3239</v>
      </c>
      <c r="CF862" s="3070" t="s">
        <v>3091</v>
      </c>
      <c r="CH862" s="3070" t="s">
        <v>3240</v>
      </c>
      <c r="CI862" s="3070">
        <v>0</v>
      </c>
      <c r="CK862" s="3070" t="s">
        <v>3306</v>
      </c>
      <c r="CL862" s="3070" t="s">
        <v>3306</v>
      </c>
      <c r="CM862" s="3070">
        <v>1050377.06</v>
      </c>
      <c r="CV862" s="3070" t="s">
        <v>3229</v>
      </c>
      <c r="CW862" s="3070" t="s">
        <v>10242</v>
      </c>
      <c r="CX862" s="3070" t="s">
        <v>3267</v>
      </c>
      <c r="CZ862" s="3070">
        <v>213894.57</v>
      </c>
      <c r="DA862" s="3070">
        <v>159426.93</v>
      </c>
      <c r="DB862" s="3070">
        <v>0</v>
      </c>
      <c r="DC862" s="3070">
        <v>0</v>
      </c>
      <c r="DD862" s="3070">
        <v>3290547602</v>
      </c>
      <c r="DE862" s="3070">
        <v>2764253109</v>
      </c>
      <c r="DF862" s="3070">
        <v>1464966739</v>
      </c>
      <c r="DG862" s="3070">
        <v>14938370</v>
      </c>
      <c r="DH862" s="3070">
        <v>1284348000</v>
      </c>
      <c r="DI862" s="3070">
        <v>1278128000</v>
      </c>
      <c r="DJ862" s="3070">
        <v>6220000</v>
      </c>
      <c r="DK862" s="3070">
        <v>0</v>
      </c>
      <c r="DL862" s="3070">
        <v>0</v>
      </c>
      <c r="DM862" s="3070">
        <v>25491817.620000001</v>
      </c>
      <c r="DN862" s="3070">
        <v>2764253109</v>
      </c>
      <c r="DP862" s="3070">
        <v>2764253109</v>
      </c>
    </row>
    <row r="863" spans="1:120">
      <c r="A863" s="3070">
        <v>862</v>
      </c>
      <c r="B863" s="3070" t="s">
        <v>3224</v>
      </c>
      <c r="C863" s="3070">
        <v>9</v>
      </c>
      <c r="E863" s="3070">
        <v>904</v>
      </c>
      <c r="F863" s="3070" t="s">
        <v>10243</v>
      </c>
      <c r="G863" s="3070" t="s">
        <v>10244</v>
      </c>
      <c r="H863" s="3070">
        <v>1175595</v>
      </c>
      <c r="I863" s="3070">
        <v>1175595</v>
      </c>
      <c r="J863" s="3070">
        <v>94.31</v>
      </c>
      <c r="K863" s="3070">
        <v>66.5</v>
      </c>
      <c r="L863" s="3070">
        <v>0</v>
      </c>
      <c r="M863" s="3070">
        <v>0</v>
      </c>
      <c r="N863" s="3070">
        <v>15394.44</v>
      </c>
      <c r="O863" s="3070">
        <v>1451850</v>
      </c>
      <c r="P863" s="3070">
        <v>12465.22</v>
      </c>
      <c r="Q863" s="3070">
        <v>1175595</v>
      </c>
      <c r="R863" s="3070" t="s">
        <v>3227</v>
      </c>
      <c r="S863" s="3070" t="s">
        <v>10245</v>
      </c>
      <c r="T863" s="3070" t="s">
        <v>3246</v>
      </c>
      <c r="U863" s="3070" t="s">
        <v>3247</v>
      </c>
      <c r="V863" s="3070" t="s">
        <v>3230</v>
      </c>
      <c r="Y863" s="3070">
        <v>495595</v>
      </c>
      <c r="Z863" s="3070">
        <v>495595</v>
      </c>
      <c r="AA863" s="3070">
        <v>495595</v>
      </c>
      <c r="AB863" s="3070">
        <v>0</v>
      </c>
      <c r="AC863" s="3070">
        <v>680000</v>
      </c>
      <c r="AD863" s="3070">
        <v>680000</v>
      </c>
      <c r="AE863" s="3070">
        <v>0</v>
      </c>
      <c r="AI863" s="3070" t="s">
        <v>3227</v>
      </c>
      <c r="AJ863" s="3070">
        <v>0</v>
      </c>
      <c r="AK863" s="3070">
        <v>0</v>
      </c>
      <c r="AL863" s="3070">
        <v>0</v>
      </c>
      <c r="AM863" s="3070">
        <v>12465.22</v>
      </c>
      <c r="AN863" s="3070">
        <v>1175595</v>
      </c>
      <c r="AP863" s="3070">
        <v>1175595</v>
      </c>
      <c r="AQ863" s="3072">
        <v>45138</v>
      </c>
      <c r="AT863" s="3073">
        <v>45678</v>
      </c>
      <c r="AV863" s="3070" t="s">
        <v>10246</v>
      </c>
      <c r="AW863" s="3070" t="s">
        <v>10247</v>
      </c>
      <c r="AX863" s="3070" t="s">
        <v>10248</v>
      </c>
      <c r="AY863" s="3070" t="s">
        <v>3346</v>
      </c>
      <c r="BC863" s="3070" t="s">
        <v>3284</v>
      </c>
      <c r="BD863" s="3070" t="s">
        <v>3077</v>
      </c>
      <c r="BI863" s="3070" t="s">
        <v>3235</v>
      </c>
      <c r="BJ863" s="3070" t="s">
        <v>3296</v>
      </c>
      <c r="BL863" s="3070" t="s">
        <v>10249</v>
      </c>
      <c r="BM863" s="3075">
        <v>44448</v>
      </c>
      <c r="BN863" s="3070">
        <v>4</v>
      </c>
      <c r="BO863" s="3070" t="s">
        <v>3253</v>
      </c>
      <c r="BR863" s="3070">
        <v>527</v>
      </c>
      <c r="BS863" s="3070" t="s">
        <v>3238</v>
      </c>
      <c r="BT863" s="3070" t="s">
        <v>9714</v>
      </c>
      <c r="BZ863" s="3073">
        <v>44142.642361111109</v>
      </c>
      <c r="CA863" s="3070">
        <v>9</v>
      </c>
      <c r="CB863" s="3070" t="s">
        <v>9714</v>
      </c>
      <c r="CD863" s="3070" t="s">
        <v>3239</v>
      </c>
      <c r="CF863" s="3070" t="s">
        <v>3091</v>
      </c>
      <c r="CH863" s="3070" t="s">
        <v>3240</v>
      </c>
      <c r="CI863" s="3070">
        <v>0</v>
      </c>
      <c r="CK863" s="3070" t="s">
        <v>3346</v>
      </c>
      <c r="CL863" s="3070" t="s">
        <v>3346</v>
      </c>
      <c r="CM863" s="3070">
        <v>1078527.52</v>
      </c>
      <c r="CV863" s="3070" t="s">
        <v>3246</v>
      </c>
      <c r="CW863" s="3070" t="s">
        <v>10250</v>
      </c>
      <c r="CX863" s="3070" t="s">
        <v>3350</v>
      </c>
      <c r="CZ863" s="3070">
        <v>213894.57</v>
      </c>
      <c r="DA863" s="3070">
        <v>159426.93</v>
      </c>
      <c r="DB863" s="3070">
        <v>0</v>
      </c>
      <c r="DC863" s="3070">
        <v>0</v>
      </c>
      <c r="DD863" s="3070">
        <v>3290547602</v>
      </c>
      <c r="DE863" s="3070">
        <v>2764253109</v>
      </c>
      <c r="DF863" s="3070">
        <v>1464966739</v>
      </c>
      <c r="DG863" s="3070">
        <v>14938370</v>
      </c>
      <c r="DH863" s="3070">
        <v>1284348000</v>
      </c>
      <c r="DI863" s="3070">
        <v>1278128000</v>
      </c>
      <c r="DJ863" s="3070">
        <v>6220000</v>
      </c>
      <c r="DK863" s="3070">
        <v>0</v>
      </c>
      <c r="DL863" s="3070">
        <v>0</v>
      </c>
      <c r="DM863" s="3070">
        <v>25491817.620000001</v>
      </c>
      <c r="DN863" s="3070">
        <v>2764253109</v>
      </c>
      <c r="DP863" s="3070">
        <v>2764253109</v>
      </c>
    </row>
    <row r="864" spans="1:120">
      <c r="G864" s="3070" t="s">
        <v>37</v>
      </c>
      <c r="H864" s="3070">
        <f t="shared" ref="H864:AE864" si="0">SUM(H2:H863)</f>
        <v>1136364908</v>
      </c>
      <c r="I864" s="3070">
        <f t="shared" si="0"/>
        <v>1149351739</v>
      </c>
      <c r="J864" s="3070">
        <f t="shared" si="0"/>
        <v>91926.919999999591</v>
      </c>
      <c r="K864" s="3070">
        <f t="shared" si="0"/>
        <v>67556.549999999683</v>
      </c>
      <c r="L864" s="3070">
        <f t="shared" si="0"/>
        <v>0</v>
      </c>
      <c r="M864" s="3070">
        <f t="shared" si="0"/>
        <v>0</v>
      </c>
      <c r="N864" s="3070">
        <f t="shared" si="0"/>
        <v>13320951.61999993</v>
      </c>
      <c r="O864" s="3070">
        <f t="shared" si="0"/>
        <v>1419691210</v>
      </c>
      <c r="P864" s="3070">
        <f t="shared" si="0"/>
        <v>10792868.859999996</v>
      </c>
      <c r="Q864" s="3070">
        <f t="shared" si="0"/>
        <v>1149351739</v>
      </c>
      <c r="R864" s="3070">
        <f t="shared" si="0"/>
        <v>0</v>
      </c>
      <c r="S864" s="3070">
        <f t="shared" si="0"/>
        <v>0</v>
      </c>
      <c r="T864" s="3070">
        <f t="shared" si="0"/>
        <v>0</v>
      </c>
      <c r="U864" s="3070">
        <f t="shared" si="0"/>
        <v>0</v>
      </c>
      <c r="V864" s="3070">
        <f t="shared" si="0"/>
        <v>0</v>
      </c>
      <c r="W864" s="3070">
        <f t="shared" si="0"/>
        <v>0</v>
      </c>
      <c r="X864" s="3070">
        <f t="shared" si="0"/>
        <v>0</v>
      </c>
      <c r="Y864" s="3070">
        <f t="shared" si="0"/>
        <v>395400139</v>
      </c>
      <c r="Z864" s="3070">
        <f t="shared" si="0"/>
        <v>359260878</v>
      </c>
      <c r="AA864" s="3076">
        <f t="shared" si="0"/>
        <v>655196908</v>
      </c>
      <c r="AB864" s="3076">
        <f t="shared" si="0"/>
        <v>12986831</v>
      </c>
      <c r="AC864" s="3070">
        <f t="shared" si="0"/>
        <v>481168000</v>
      </c>
      <c r="AD864" s="3076">
        <f t="shared" si="0"/>
        <v>481168000</v>
      </c>
      <c r="AE864" s="3070">
        <f t="shared" si="0"/>
        <v>0</v>
      </c>
    </row>
    <row r="865" spans="8:27">
      <c r="Y865" s="3070">
        <f>Y864-Z864</f>
        <v>36139261</v>
      </c>
    </row>
    <row r="866" spans="8:27">
      <c r="AA866" s="3070">
        <f>AA864+AD864+AB864</f>
        <v>1149351739</v>
      </c>
    </row>
    <row r="867" spans="8:27">
      <c r="H867" s="3070">
        <f>I864-H864</f>
        <v>12986831</v>
      </c>
      <c r="I867" s="3070" t="s">
        <v>10251</v>
      </c>
      <c r="Q867" s="3070">
        <f>Q864/J864</f>
        <v>12502.885324560044</v>
      </c>
    </row>
  </sheetData>
  <phoneticPr fontId="140" type="noConversion"/>
  <pageMargins left="0.75" right="0.75" top="1" bottom="1" header="0.51180555555555551" footer="0.51180555555555551"/>
  <pageSetup paperSize="9" orientation="portrait" horizontalDpi="0" verticalDpi="0"/>
  <headerFooter scaleWithDoc="0"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M37" sqref="M37"/>
    </sheetView>
  </sheetViews>
  <sheetFormatPr defaultRowHeight="13.5"/>
  <sheetData/>
  <phoneticPr fontId="140"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08" t="str">
        <f>IF(项目基本情况!B9="房地产市场价值","估价结果一览表","结果表-2")</f>
        <v>估价结果一览表</v>
      </c>
      <c r="B1" s="3108"/>
      <c r="C1" s="3108"/>
      <c r="D1" s="3108"/>
      <c r="E1" s="3108"/>
      <c r="F1" s="3108"/>
      <c r="G1" s="3108"/>
      <c r="H1" s="3108"/>
      <c r="I1" s="3108"/>
    </row>
    <row r="2" spans="1:9" ht="30" customHeight="1" thickTop="1">
      <c r="A2" s="3109" t="s">
        <v>1605</v>
      </c>
      <c r="B2" s="3109" t="s">
        <v>1606</v>
      </c>
      <c r="C2" s="3109" t="s">
        <v>1607</v>
      </c>
      <c r="D2" s="3109" t="str">
        <f>结果表!D116</f>
        <v>出让国有建设用地使用权价值</v>
      </c>
      <c r="E2" s="3109"/>
      <c r="F2" s="3109" t="str">
        <f>结果表!F116</f>
        <v>在建建筑物价值</v>
      </c>
      <c r="G2" s="3109"/>
      <c r="H2" s="3109" t="str">
        <f>IF(项目基本情况!B9="房地产市场价值","房地产市场价值","房地产价值")</f>
        <v>房地产市场价值</v>
      </c>
      <c r="I2" s="3109"/>
    </row>
    <row r="3" spans="1:9" ht="15">
      <c r="A3" s="3103"/>
      <c r="B3" s="3103"/>
      <c r="C3" s="3103"/>
      <c r="D3" s="963" t="s">
        <v>1602</v>
      </c>
      <c r="E3" s="963" t="s">
        <v>1608</v>
      </c>
      <c r="F3" s="963" t="s">
        <v>1602</v>
      </c>
      <c r="G3" s="963" t="s">
        <v>1603</v>
      </c>
      <c r="H3" s="963" t="s">
        <v>1602</v>
      </c>
      <c r="I3" s="963" t="s">
        <v>1603</v>
      </c>
    </row>
    <row r="4" spans="1:9" ht="75">
      <c r="A4" s="1690" t="str">
        <f>项目基本情况!S2</f>
        <v>江苏省扬州市广陵区沙湾南路东侧、许庄路西侧（不动产单元号：321002006003GB00058W00000000）5套住宅用房房地产</v>
      </c>
      <c r="B4" s="963">
        <f>项目基本情况!C17</f>
        <v>519.96</v>
      </c>
      <c r="C4" s="963">
        <f>项目基本情况!C18</f>
        <v>202.06</v>
      </c>
      <c r="D4" s="963">
        <f ca="1">结果表!D118</f>
        <v>-552</v>
      </c>
      <c r="E4" s="963">
        <f ca="1">结果表!E118</f>
        <v>-10617</v>
      </c>
      <c r="F4" s="963">
        <f ca="1">结果表!F118</f>
        <v>1204</v>
      </c>
      <c r="G4" s="963">
        <f ca="1">结果表!G118</f>
        <v>23156</v>
      </c>
      <c r="H4" s="963">
        <f ca="1">结果表!H118</f>
        <v>652</v>
      </c>
      <c r="I4" s="963">
        <f ca="1">结果表!I118</f>
        <v>12539</v>
      </c>
    </row>
    <row r="5" spans="1:9" ht="30" customHeight="1">
      <c r="A5" s="3103" t="s">
        <v>1604</v>
      </c>
      <c r="B5" s="3103"/>
      <c r="C5" s="3103"/>
      <c r="D5" s="3104" t="e">
        <f ca="1">结果表!D119</f>
        <v>#NUM!</v>
      </c>
      <c r="E5" s="3104"/>
      <c r="F5" s="3104" t="str">
        <f ca="1">结果表!F119</f>
        <v>壹仟贰佰零肆万元整</v>
      </c>
      <c r="G5" s="3104"/>
      <c r="H5" s="3104" t="str">
        <f ca="1">结果表!H119</f>
        <v>陆佰伍拾贰万元整</v>
      </c>
      <c r="I5" s="3104"/>
    </row>
    <row r="6" spans="1:9" ht="15.75">
      <c r="A6" s="3102" t="str">
        <f>结果表!A120</f>
        <v/>
      </c>
      <c r="B6" s="3102"/>
      <c r="C6" s="3102"/>
      <c r="D6" s="3102">
        <f>结果表!D120</f>
        <v>0</v>
      </c>
      <c r="E6" s="3102"/>
      <c r="F6" s="3102"/>
      <c r="G6" s="3102"/>
      <c r="H6" s="3102"/>
      <c r="I6" s="3102"/>
    </row>
    <row r="7" spans="1:9" ht="15">
      <c r="A7" s="3103" t="s">
        <v>1604</v>
      </c>
      <c r="B7" s="3103"/>
      <c r="C7" s="3103"/>
      <c r="D7" s="3105" t="str">
        <f>结果表!D121</f>
        <v>零元整</v>
      </c>
      <c r="E7" s="3106"/>
      <c r="F7" s="3106"/>
      <c r="G7" s="3106"/>
      <c r="H7" s="3106"/>
      <c r="I7" s="3107"/>
    </row>
    <row r="8" spans="1:9" ht="15.75">
      <c r="A8" s="3102" t="str">
        <f>结果表!A122</f>
        <v/>
      </c>
      <c r="B8" s="3102"/>
      <c r="C8" s="3102"/>
      <c r="D8" s="3102">
        <f ca="1">结果表!D122</f>
        <v>652</v>
      </c>
      <c r="E8" s="3102"/>
      <c r="F8" s="3102"/>
      <c r="G8" s="3102"/>
      <c r="H8" s="3102"/>
      <c r="I8" s="3102"/>
    </row>
    <row r="9" spans="1:9" ht="15">
      <c r="A9" s="3103" t="s">
        <v>1604</v>
      </c>
      <c r="B9" s="3103"/>
      <c r="C9" s="3103"/>
      <c r="D9" s="3104" t="str">
        <f ca="1">结果表!D123</f>
        <v>陆佰伍拾贰万元整</v>
      </c>
      <c r="E9" s="3104"/>
      <c r="F9" s="3104"/>
      <c r="G9" s="3104"/>
      <c r="H9" s="3104"/>
      <c r="I9" s="3104"/>
    </row>
    <row r="10" spans="1:9" ht="15.75">
      <c r="A10" s="3102" t="str">
        <f>结果表!A124</f>
        <v/>
      </c>
      <c r="B10" s="3102"/>
      <c r="C10" s="3102"/>
      <c r="D10" s="3102" t="str">
        <f>结果表!D124</f>
        <v>——</v>
      </c>
      <c r="E10" s="3102"/>
      <c r="F10" s="3102"/>
      <c r="G10" s="3102"/>
      <c r="H10" s="3102"/>
      <c r="I10" s="3102"/>
    </row>
    <row r="11" spans="1:9" ht="15">
      <c r="A11" s="3103" t="s">
        <v>1604</v>
      </c>
      <c r="B11" s="3103"/>
      <c r="C11" s="3103"/>
      <c r="D11" s="3104" t="e">
        <f>结果表!D125</f>
        <v>#VALUE!</v>
      </c>
      <c r="E11" s="3104"/>
      <c r="F11" s="3104"/>
      <c r="G11" s="3104"/>
      <c r="H11" s="3104"/>
      <c r="I11" s="3104"/>
    </row>
    <row r="12" spans="1:9" ht="15.75">
      <c r="A12" s="3102" t="str">
        <f>结果表!A126</f>
        <v/>
      </c>
      <c r="B12" s="3102"/>
      <c r="C12" s="3102"/>
      <c r="D12" s="3102" t="str">
        <f>结果表!D126</f>
        <v>——</v>
      </c>
      <c r="E12" s="3102"/>
      <c r="F12" s="3102"/>
      <c r="G12" s="3102"/>
      <c r="H12" s="3102"/>
      <c r="I12" s="3102"/>
    </row>
    <row r="13" spans="1:9" ht="15.75" thickBot="1">
      <c r="A13" s="3099" t="s">
        <v>1604</v>
      </c>
      <c r="B13" s="3099"/>
      <c r="C13" s="3099"/>
      <c r="D13" s="3100" t="e">
        <f>结果表!D127</f>
        <v>#VALUE!</v>
      </c>
      <c r="E13" s="3100"/>
      <c r="F13" s="3100"/>
      <c r="G13" s="3100"/>
      <c r="H13" s="3100"/>
      <c r="I13" s="3100"/>
    </row>
    <row r="14" spans="1:9" ht="15" thickTop="1">
      <c r="A14" s="3101" t="s">
        <v>1609</v>
      </c>
      <c r="B14" s="3101"/>
      <c r="C14" s="3101"/>
      <c r="D14" s="3101"/>
      <c r="E14" s="3101"/>
      <c r="F14" s="3101"/>
      <c r="G14" s="3101"/>
      <c r="H14" s="3101"/>
      <c r="I14" s="3101"/>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16" t="s">
        <v>1626</v>
      </c>
      <c r="B1" s="3116"/>
      <c r="C1" s="3116"/>
      <c r="D1" s="3116"/>
    </row>
    <row r="2" spans="1:4" ht="18">
      <c r="A2" s="3117" t="s">
        <v>1610</v>
      </c>
      <c r="B2" s="3117"/>
      <c r="C2" s="3117"/>
      <c r="D2" s="3117"/>
    </row>
    <row r="3" spans="1:4" ht="18.75">
      <c r="A3" s="1694" t="s">
        <v>1611</v>
      </c>
      <c r="B3" s="1694" t="s">
        <v>1612</v>
      </c>
      <c r="C3" s="1694" t="s">
        <v>1613</v>
      </c>
      <c r="D3" s="1694" t="s">
        <v>1614</v>
      </c>
    </row>
    <row r="4" spans="1:4" ht="56.25" customHeight="1">
      <c r="A4" s="1695" t="str">
        <f>项目基本情况!B4</f>
        <v>王鹏</v>
      </c>
      <c r="B4" s="1696">
        <f ca="1">项目基本情况!C4</f>
        <v>0</v>
      </c>
      <c r="C4" s="1697"/>
      <c r="D4" s="1698" t="s">
        <v>1615</v>
      </c>
    </row>
    <row r="5" spans="1:4" ht="56.25" customHeight="1">
      <c r="A5" s="1695" t="str">
        <f>项目基本情况!D4</f>
        <v>郑燚</v>
      </c>
      <c r="B5" s="1696">
        <f ca="1">项目基本情况!E4</f>
        <v>1120070131</v>
      </c>
      <c r="C5" s="1699"/>
      <c r="D5" s="1698" t="s">
        <v>1615</v>
      </c>
    </row>
    <row r="6" spans="1:4" ht="18">
      <c r="A6" s="3117" t="s">
        <v>1616</v>
      </c>
      <c r="B6" s="3117"/>
      <c r="C6" s="3117"/>
      <c r="D6" s="3117"/>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118" t="s">
        <v>1619</v>
      </c>
      <c r="B11" s="3110"/>
      <c r="C11" s="3110"/>
      <c r="D11" s="3110"/>
    </row>
    <row r="12" spans="1:4" ht="15.75">
      <c r="A12" s="31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5"/>
      <c r="C12" s="3115"/>
      <c r="D12" s="3115"/>
    </row>
    <row r="13" spans="1:4" ht="30" customHeight="1">
      <c r="A13" s="31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5"/>
      <c r="C13" s="3115"/>
      <c r="D13" s="3115"/>
    </row>
    <row r="14" spans="1:4" ht="15.75" customHeight="1">
      <c r="A14" s="3110" t="str">
        <f>IF(项目基本情况!B8="抵押","4.本次评估估价师所知悉的法定优先受偿款情况说明如下：","——")</f>
        <v>4.本次评估估价师所知悉的法定优先受偿款情况说明如下：</v>
      </c>
      <c r="B14" s="3115"/>
      <c r="C14" s="3115"/>
      <c r="D14" s="3115"/>
    </row>
    <row r="15" spans="1:4" ht="42" customHeight="1">
      <c r="A15" s="3110" t="str">
        <f>IF(项目基本情况!B8="抵押","（1）"&amp;CONCATENATE(项目基本情况!L20,项目基本情况!L21,项目基本情况!L22),"——")</f>
        <v>（1）根据估价对象《房屋所有权证》原件、《国有土地使用权》复印件，截至价值时点，估价对象抵押权未见登记。</v>
      </c>
      <c r="B15" s="3110"/>
      <c r="C15" s="3110"/>
      <c r="D15" s="3110"/>
    </row>
    <row r="16" spans="1:4" ht="30" customHeight="1">
      <c r="A16" s="3112" t="s">
        <v>1620</v>
      </c>
      <c r="B16" s="3112"/>
      <c r="C16" s="3112"/>
      <c r="D16" s="3112"/>
    </row>
    <row r="17" spans="1:4" ht="144" customHeight="1">
      <c r="A17" s="3112" t="s">
        <v>1621</v>
      </c>
      <c r="B17" s="3112"/>
      <c r="C17" s="3112"/>
      <c r="D17" s="3112"/>
    </row>
    <row r="18" spans="1:4" ht="15.75" customHeight="1">
      <c r="A18" s="3110" t="str">
        <f>IF(项目基本情况!B8="抵押",结果表!K120,"——")</f>
        <v>故，本次评估不存在</v>
      </c>
      <c r="B18" s="3110"/>
      <c r="C18" s="3110"/>
      <c r="D18" s="3110"/>
    </row>
    <row r="19" spans="1:4" ht="46.5" customHeight="1">
      <c r="A19" s="31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0"/>
      <c r="C19" s="3110"/>
      <c r="D19" s="3110"/>
    </row>
    <row r="20" spans="1:4" ht="57.75" customHeight="1">
      <c r="A20" s="31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0"/>
      <c r="C20" s="3110"/>
      <c r="D20" s="3110"/>
    </row>
    <row r="21" spans="1:4" ht="57.75" customHeight="1">
      <c r="A21" s="31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3"/>
      <c r="C21" s="3113"/>
      <c r="D21" s="3113"/>
    </row>
    <row r="22" spans="1:4" ht="18.75" customHeight="1">
      <c r="A22" s="3114" t="s">
        <v>1622</v>
      </c>
      <c r="B22" s="3114"/>
      <c r="C22" s="3114"/>
      <c r="D22" s="3114"/>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111">
        <v>42551</v>
      </c>
      <c r="D31" s="31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124" t="s">
        <v>1633</v>
      </c>
      <c r="B15" s="3119" t="s">
        <v>136</v>
      </c>
      <c r="C15" s="3120"/>
    </row>
    <row r="16" spans="1:7" ht="13.5">
      <c r="A16" s="3125"/>
      <c r="B16" s="3119" t="s">
        <v>69</v>
      </c>
      <c r="C16" s="3120"/>
    </row>
    <row r="17" spans="1:3" ht="13.5">
      <c r="A17" s="3125"/>
      <c r="B17" s="3122" t="s">
        <v>1634</v>
      </c>
      <c r="C17" s="1717" t="s">
        <v>1633</v>
      </c>
    </row>
    <row r="18" spans="1:3" ht="13.5">
      <c r="A18" s="3125"/>
      <c r="B18" s="3122"/>
      <c r="C18" s="1717" t="s">
        <v>1635</v>
      </c>
    </row>
    <row r="19" spans="1:3" ht="13.5">
      <c r="A19" s="3125"/>
      <c r="B19" s="3122"/>
      <c r="C19" s="1717" t="s">
        <v>1636</v>
      </c>
    </row>
    <row r="20" spans="1:3" ht="13.5">
      <c r="A20" s="3126"/>
      <c r="B20" s="3121" t="s">
        <v>1637</v>
      </c>
      <c r="C20" s="3120"/>
    </row>
    <row r="21" spans="1:3" ht="13.5">
      <c r="A21" s="1718" t="s">
        <v>1638</v>
      </c>
      <c r="B21" s="1719"/>
      <c r="C21" s="1720"/>
    </row>
    <row r="22" spans="1:3" ht="13.5">
      <c r="A22" s="3123" t="s">
        <v>1639</v>
      </c>
      <c r="B22" s="3121" t="s">
        <v>1640</v>
      </c>
      <c r="C22" s="3120"/>
    </row>
    <row r="23" spans="1:3" ht="13.5">
      <c r="A23" s="3123"/>
      <c r="B23" s="3121" t="s">
        <v>1641</v>
      </c>
      <c r="C23" s="3120"/>
    </row>
    <row r="24" spans="1:3" ht="13.5">
      <c r="A24" s="3123"/>
      <c r="B24" s="3121" t="s">
        <v>1642</v>
      </c>
      <c r="C24" s="3120"/>
    </row>
    <row r="25" spans="1:3" ht="13.5">
      <c r="A25" s="3123"/>
      <c r="B25" s="3122" t="s">
        <v>1643</v>
      </c>
      <c r="C25" s="1717" t="s">
        <v>1644</v>
      </c>
    </row>
    <row r="26" spans="1:3" ht="13.5">
      <c r="A26" s="3123"/>
      <c r="B26" s="3122"/>
      <c r="C26" s="1717" t="s">
        <v>1645</v>
      </c>
    </row>
    <row r="27" spans="1:3" ht="13.5">
      <c r="A27" s="3123"/>
      <c r="B27" s="3122"/>
      <c r="C27" s="1717" t="s">
        <v>1646</v>
      </c>
    </row>
    <row r="28" spans="1:3" ht="13.5">
      <c r="A28" s="3123"/>
      <c r="B28" s="3122"/>
      <c r="C28" s="1717" t="s">
        <v>1647</v>
      </c>
    </row>
    <row r="29" spans="1:3" ht="13.5">
      <c r="A29" s="3123"/>
      <c r="B29" s="3122"/>
      <c r="C29" s="1717" t="s">
        <v>1648</v>
      </c>
    </row>
    <row r="30" spans="1:3" ht="13.5">
      <c r="A30" s="3123"/>
      <c r="B30" s="3122"/>
      <c r="C30" s="1717" t="s">
        <v>1649</v>
      </c>
    </row>
    <row r="31" spans="1:3" ht="13.5">
      <c r="A31" s="3123"/>
      <c r="B31" s="3122"/>
      <c r="C31" s="1717" t="s">
        <v>1650</v>
      </c>
    </row>
    <row r="32" spans="1:3" ht="13.5">
      <c r="A32" s="3123"/>
      <c r="B32" s="3122"/>
      <c r="C32" s="1717" t="s">
        <v>1651</v>
      </c>
    </row>
    <row r="33" spans="1:3" ht="13.5">
      <c r="A33" s="3123"/>
      <c r="B33" s="3122"/>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2881</v>
      </c>
      <c r="B2" s="2561">
        <f ca="1">TODAY()</f>
        <v>44524</v>
      </c>
      <c r="C2" s="2562" t="s">
        <v>2882</v>
      </c>
      <c r="D2" s="2562"/>
      <c r="E2" s="2562"/>
      <c r="F2" s="2558"/>
      <c r="G2" s="2558"/>
      <c r="H2" s="2558"/>
    </row>
    <row r="3" spans="1:8" ht="24" customHeight="1">
      <c r="A3" s="2563" t="s">
        <v>2883</v>
      </c>
      <c r="B3" s="2564" t="s">
        <v>2884</v>
      </c>
      <c r="C3" s="2564" t="s">
        <v>2885</v>
      </c>
      <c r="D3" s="2565" t="s">
        <v>2886</v>
      </c>
      <c r="E3" s="2566" t="s">
        <v>2887</v>
      </c>
      <c r="F3" s="1472" t="s">
        <v>2888</v>
      </c>
      <c r="G3" s="2564" t="s">
        <v>2885</v>
      </c>
      <c r="H3" s="2565" t="s">
        <v>2889</v>
      </c>
    </row>
    <row r="4" spans="1:8" ht="24" customHeight="1">
      <c r="A4" s="1472" t="s">
        <v>2890</v>
      </c>
      <c r="B4" s="1472">
        <f ca="1">IF(C4&lt;B2,"已过期",1119970066)</f>
        <v>1119970066</v>
      </c>
      <c r="C4" s="2567">
        <v>44876</v>
      </c>
      <c r="D4" s="2568" t="str">
        <f ca="1">A4&amp;"（注册号："&amp;B4&amp;"）"</f>
        <v>梁津（注册号：1119970066）</v>
      </c>
      <c r="E4" s="2569" t="s">
        <v>2890</v>
      </c>
      <c r="F4" s="1472">
        <f ca="1">IF(G4&lt;B2,"已过期",96010014)</f>
        <v>96010014</v>
      </c>
      <c r="G4" s="2570">
        <v>47118</v>
      </c>
      <c r="H4" s="2571" t="str">
        <f ca="1">E4&amp;"（注册号："&amp;F4&amp;"）"</f>
        <v>梁津（注册号：96010014）</v>
      </c>
    </row>
    <row r="5" spans="1:8" ht="24" customHeight="1">
      <c r="A5" s="1472" t="s">
        <v>2891</v>
      </c>
      <c r="B5" s="1472">
        <f ca="1">IF(C5&lt;B2,"已过期",1119970111)</f>
        <v>1119970111</v>
      </c>
      <c r="C5" s="2567">
        <v>44876</v>
      </c>
      <c r="D5" s="2568" t="str">
        <f t="shared" ref="D5:D15" ca="1" si="0">A5&amp;"（注册号："&amp;B5&amp;"）"</f>
        <v>叶凌（注册号：1119970111）</v>
      </c>
      <c r="E5" s="2569" t="s">
        <v>2891</v>
      </c>
      <c r="F5" s="1472">
        <f ca="1">IF(G5&lt;B2,"已过期",94010078)</f>
        <v>94010078</v>
      </c>
      <c r="G5" s="2570">
        <v>46387</v>
      </c>
      <c r="H5" s="2571" t="str">
        <f t="shared" ref="H5:H16" ca="1" si="1">E5&amp;"（注册号："&amp;F5&amp;"）"</f>
        <v>叶凌（注册号：94010078）</v>
      </c>
    </row>
    <row r="6" spans="1:8" ht="24" customHeight="1">
      <c r="A6" s="1472" t="s">
        <v>2892</v>
      </c>
      <c r="B6" s="1472" t="str">
        <f ca="1">IF(C6&lt;B2,"已过期",1120050019)</f>
        <v>已过期</v>
      </c>
      <c r="C6" s="2567">
        <v>44395</v>
      </c>
      <c r="D6" s="2568" t="str">
        <f t="shared" ca="1" si="0"/>
        <v>王鹏（注册号：已过期）</v>
      </c>
      <c r="E6" s="2569" t="s">
        <v>2892</v>
      </c>
      <c r="F6" s="1472">
        <f ca="1">IF(G6&lt;B2,"已过期",2002110030)</f>
        <v>2002110030</v>
      </c>
      <c r="G6" s="2570">
        <v>46387</v>
      </c>
      <c r="H6" s="2571" t="str">
        <f t="shared" ca="1" si="1"/>
        <v>王鹏（注册号：2002110030）</v>
      </c>
    </row>
    <row r="7" spans="1:8" ht="24" customHeight="1">
      <c r="A7" s="1472" t="s">
        <v>2893</v>
      </c>
      <c r="B7" s="1472">
        <f ca="1">IF(C7&lt;B2,"已过期",1120000080)</f>
        <v>1120000080</v>
      </c>
      <c r="C7" s="2567">
        <v>44876</v>
      </c>
      <c r="D7" s="2568" t="str">
        <f t="shared" ca="1" si="0"/>
        <v>欧红伟（注册号：1120000080）</v>
      </c>
      <c r="E7" s="2569" t="s">
        <v>2893</v>
      </c>
      <c r="F7" s="1472">
        <f ca="1">IF(G7&lt;B2,"已过期",2000110082)</f>
        <v>2000110082</v>
      </c>
      <c r="G7" s="2570">
        <v>46387</v>
      </c>
      <c r="H7" s="2571" t="str">
        <f t="shared" ca="1" si="1"/>
        <v>欧红伟（注册号：2000110082）</v>
      </c>
    </row>
    <row r="8" spans="1:8" ht="24" customHeight="1">
      <c r="A8" s="1472" t="s">
        <v>2894</v>
      </c>
      <c r="B8" s="1472">
        <f ca="1">IF(C8&lt;B2,"已过期",1419970001)</f>
        <v>1419970001</v>
      </c>
      <c r="C8" s="2567">
        <v>44899</v>
      </c>
      <c r="D8" s="2568" t="str">
        <f t="shared" ca="1" si="0"/>
        <v>吴薇（注册号：1419970001）</v>
      </c>
      <c r="E8" s="2569" t="s">
        <v>2894</v>
      </c>
      <c r="F8" s="1472">
        <f ca="1">IF(G8&lt;B2,"已过期",2002110125)</f>
        <v>2002110125</v>
      </c>
      <c r="G8" s="2570">
        <v>47118</v>
      </c>
      <c r="H8" s="2571" t="str">
        <f t="shared" ca="1" si="1"/>
        <v>吴薇（注册号：2002110125）</v>
      </c>
    </row>
    <row r="9" spans="1:8" ht="24" customHeight="1">
      <c r="A9" s="1472" t="s">
        <v>2895</v>
      </c>
      <c r="B9" s="1472">
        <f ca="1">IF(C9&lt;B2,"已过期",1120060040)</f>
        <v>1120060040</v>
      </c>
      <c r="C9" s="2572">
        <v>44554</v>
      </c>
      <c r="D9" s="2568" t="str">
        <f t="shared" ca="1" si="0"/>
        <v>陈颖（注册号：1120060040）</v>
      </c>
      <c r="E9" s="2569" t="s">
        <v>2895</v>
      </c>
      <c r="F9" s="1472">
        <f ca="1">IF(G9&lt;B2,"已过期",2004110096)</f>
        <v>2004110096</v>
      </c>
      <c r="G9" s="2570">
        <v>47118</v>
      </c>
      <c r="H9" s="2571" t="str">
        <f t="shared" ca="1" si="1"/>
        <v>陈颖（注册号：2004110096）</v>
      </c>
    </row>
    <row r="10" spans="1:8" ht="24" customHeight="1">
      <c r="A10" s="1472" t="s">
        <v>2896</v>
      </c>
      <c r="B10" s="1472">
        <f ca="1">IF(C10&lt;B2,"已过期",1120100036)</f>
        <v>1120100036</v>
      </c>
      <c r="C10" s="2572">
        <v>44675</v>
      </c>
      <c r="D10" s="2568" t="str">
        <f t="shared" ca="1" si="0"/>
        <v>崔锴（注册号：1120100036）</v>
      </c>
      <c r="E10" s="2569" t="s">
        <v>2896</v>
      </c>
      <c r="F10" s="1472">
        <f ca="1">IF(G10&lt;B2,"已过期",2010110070)</f>
        <v>2010110070</v>
      </c>
      <c r="G10" s="2570">
        <v>47907</v>
      </c>
      <c r="H10" s="2571" t="str">
        <f t="shared" ca="1" si="1"/>
        <v>崔锴（注册号：2010110070）</v>
      </c>
    </row>
    <row r="11" spans="1:8" ht="24" customHeight="1">
      <c r="A11" s="1472" t="s">
        <v>2897</v>
      </c>
      <c r="B11" s="1472">
        <f ca="1">IF(C11&lt;B2,"已过期",1120070131)</f>
        <v>1120070131</v>
      </c>
      <c r="C11" s="2567">
        <v>44849</v>
      </c>
      <c r="D11" s="2568" t="str">
        <f t="shared" ca="1" si="0"/>
        <v>郑燚（注册号：1120070131）</v>
      </c>
      <c r="E11" s="2569" t="s">
        <v>2897</v>
      </c>
      <c r="F11" s="1472">
        <f ca="1">IF(G11&lt;B2,"已过期",2014110011)</f>
        <v>2014110011</v>
      </c>
      <c r="G11" s="2570">
        <v>49302</v>
      </c>
      <c r="H11" s="2571" t="str">
        <f t="shared" ca="1" si="1"/>
        <v>郑燚（注册号：2014110011）</v>
      </c>
    </row>
    <row r="12" spans="1:8" ht="24" customHeight="1">
      <c r="A12" s="1472" t="s">
        <v>2898</v>
      </c>
      <c r="B12" s="1472">
        <f ca="1">IF(C12&lt;B2,"已过期",1120040230)</f>
        <v>1120040230</v>
      </c>
      <c r="C12" s="2572">
        <v>44864</v>
      </c>
      <c r="D12" s="2568" t="str">
        <f t="shared" ca="1" si="0"/>
        <v>苏海（注册号：1120040230）</v>
      </c>
      <c r="E12" s="2569" t="s">
        <v>2898</v>
      </c>
      <c r="F12" s="1472">
        <f ca="1">IF(G12&lt;B2,"已过期",98030020)</f>
        <v>98030020</v>
      </c>
      <c r="G12" s="2570">
        <v>47118</v>
      </c>
      <c r="H12" s="2571" t="str">
        <f t="shared" ca="1" si="1"/>
        <v>苏海（注册号：98030020）</v>
      </c>
    </row>
    <row r="13" spans="1:8" ht="24" customHeight="1">
      <c r="A13" s="1472" t="s">
        <v>2899</v>
      </c>
      <c r="B13" s="1472" t="str">
        <f ca="1">IF(C13&lt;B2,"已过期",1120020033)</f>
        <v>已过期</v>
      </c>
      <c r="C13" s="2567">
        <v>44339</v>
      </c>
      <c r="D13" s="2568" t="str">
        <f t="shared" ca="1" si="0"/>
        <v>刘敬东（注册号：已过期）</v>
      </c>
      <c r="E13" s="2569" t="s">
        <v>2899</v>
      </c>
      <c r="F13" s="1472">
        <f ca="1">IF(G13&lt;B2,"已过期",2000110137)</f>
        <v>2000110137</v>
      </c>
      <c r="G13" s="2570">
        <v>46387</v>
      </c>
      <c r="H13" s="2571" t="str">
        <f t="shared" ca="1" si="1"/>
        <v>刘敬东（注册号：2000110137）</v>
      </c>
    </row>
    <row r="14" spans="1:8" ht="24" customHeight="1">
      <c r="A14" s="1472" t="s">
        <v>2900</v>
      </c>
      <c r="B14" s="1472">
        <f ca="1">IF(C14&lt;B2,"已过期",1119980106)</f>
        <v>1119980106</v>
      </c>
      <c r="C14" s="2572">
        <v>44969</v>
      </c>
      <c r="D14" s="2568" t="str">
        <f t="shared" ca="1" si="0"/>
        <v>刘俊财（注册号：1119980106）</v>
      </c>
      <c r="E14" s="2569" t="s">
        <v>2900</v>
      </c>
      <c r="F14" s="1472">
        <f ca="1">IF(G14&lt;B2,"已过期",96010063)</f>
        <v>96010063</v>
      </c>
      <c r="G14" s="2570">
        <v>47483</v>
      </c>
      <c r="H14" s="2571" t="str">
        <f t="shared" ca="1" si="1"/>
        <v>刘俊财（注册号：96010063）</v>
      </c>
    </row>
    <row r="15" spans="1:8" ht="24" customHeight="1">
      <c r="A15" s="1472"/>
      <c r="B15" s="1472"/>
      <c r="C15" s="2572"/>
      <c r="D15" s="2568" t="str">
        <f t="shared" si="0"/>
        <v>（注册号：）</v>
      </c>
      <c r="E15" s="2569" t="s">
        <v>2901</v>
      </c>
      <c r="F15" s="1472">
        <f ca="1">IF(G15&lt;B2,"已过期",2011110090)</f>
        <v>2011110090</v>
      </c>
      <c r="G15" s="2570">
        <v>48302</v>
      </c>
      <c r="H15" s="2571" t="str">
        <f t="shared" ca="1" si="1"/>
        <v>赵雯（注册号：2011110090）</v>
      </c>
    </row>
    <row r="16" spans="1:8" s="2574" customFormat="1" ht="24" customHeight="1">
      <c r="A16" s="1472"/>
      <c r="B16" s="1472"/>
      <c r="C16" s="1472"/>
      <c r="D16" s="2568" t="str">
        <f>A16&amp;"（注册号："&amp;B16&amp;"）"</f>
        <v>（注册号：）</v>
      </c>
      <c r="E16" s="2569"/>
      <c r="F16" s="1472"/>
      <c r="G16" s="1472"/>
      <c r="H16" s="2573" t="str">
        <f t="shared" si="1"/>
        <v>（注册号：）</v>
      </c>
    </row>
    <row r="17" spans="1:8" ht="24" customHeight="1">
      <c r="A17" s="3127" t="s">
        <v>2902</v>
      </c>
      <c r="B17" s="3127"/>
      <c r="C17" s="3127"/>
      <c r="D17" s="3127"/>
      <c r="E17" s="3127"/>
      <c r="F17" s="3127"/>
      <c r="G17" s="3127"/>
      <c r="H17" s="3127"/>
    </row>
    <row r="18" spans="1:8" ht="24" customHeight="1">
      <c r="A18" s="3128" t="s">
        <v>2903</v>
      </c>
      <c r="B18" s="3128"/>
      <c r="C18" s="3128"/>
      <c r="D18" s="2565"/>
      <c r="E18" s="3129" t="s">
        <v>2904</v>
      </c>
      <c r="F18" s="3128"/>
      <c r="G18" s="3128"/>
    </row>
    <row r="19" spans="1:8" s="2576" customFormat="1" ht="24" customHeight="1">
      <c r="A19" s="2575" t="s">
        <v>2905</v>
      </c>
      <c r="B19" s="2564" t="s">
        <v>2906</v>
      </c>
      <c r="C19" s="2564" t="s">
        <v>2885</v>
      </c>
      <c r="D19" s="2565"/>
      <c r="E19" s="2569" t="s">
        <v>2905</v>
      </c>
      <c r="F19" s="2564" t="s">
        <v>2906</v>
      </c>
      <c r="G19" s="2564" t="s">
        <v>2885</v>
      </c>
    </row>
    <row r="20" spans="1:8" s="2576" customFormat="1" ht="24" customHeight="1">
      <c r="A20" s="2577" t="s">
        <v>2907</v>
      </c>
      <c r="B20" s="2577" t="s">
        <v>2908</v>
      </c>
      <c r="C20" s="2570">
        <v>44820</v>
      </c>
      <c r="D20" s="2578"/>
      <c r="E20" s="2579" t="s">
        <v>2909</v>
      </c>
      <c r="F20" s="2577" t="s">
        <v>2910</v>
      </c>
      <c r="G20" s="2580">
        <v>44377</v>
      </c>
    </row>
    <row r="21" spans="1:8" s="2576" customFormat="1" ht="24" customHeight="1">
      <c r="A21" s="2577"/>
      <c r="B21" s="2577"/>
      <c r="C21" s="2581"/>
      <c r="D21" s="2582"/>
      <c r="E21" s="2579" t="s">
        <v>2911</v>
      </c>
      <c r="F21" s="2583" t="s">
        <v>2912</v>
      </c>
      <c r="G21" s="2584">
        <v>44012</v>
      </c>
    </row>
    <row r="22" spans="1:8" ht="24" customHeight="1">
      <c r="C22" s="2585"/>
      <c r="D22" s="2585"/>
      <c r="E22" s="2586"/>
      <c r="F22" s="2587"/>
      <c r="G22" s="2588"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未售明细</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成交明细</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2021-11-24T02:18:50Z</dcterms:modified>
</cp:coreProperties>
</file>