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5870" windowHeight="1411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3" i="40" l="1"/>
  <c r="C36" i="40"/>
  <c r="C14" i="66"/>
  <c r="B14" i="66"/>
  <c r="I9" i="40" l="1"/>
  <c r="G9" i="40"/>
  <c r="E9" i="40"/>
  <c r="I7" i="40"/>
  <c r="G7" i="40"/>
  <c r="E7" i="40"/>
  <c r="I36" i="40"/>
  <c r="G36" i="40"/>
  <c r="E36" i="40"/>
  <c r="E67" i="40"/>
  <c r="F67" i="40" s="1"/>
  <c r="G67" i="40" s="1"/>
  <c r="H67" i="40" s="1"/>
  <c r="I67" i="40" s="1"/>
  <c r="J67" i="40" s="1"/>
  <c r="K67" i="40" s="1"/>
  <c r="D67" i="40"/>
  <c r="T1" i="72"/>
  <c r="T40" i="72" s="1"/>
  <c r="T5" i="72" l="1"/>
  <c r="T9" i="72"/>
  <c r="T13" i="72"/>
  <c r="T17" i="72"/>
  <c r="T21" i="72"/>
  <c r="T25" i="72"/>
  <c r="T29" i="72"/>
  <c r="T33" i="72"/>
  <c r="T37" i="72"/>
  <c r="T41" i="72"/>
  <c r="T2" i="72"/>
  <c r="E43" i="40" s="1"/>
  <c r="T6" i="72"/>
  <c r="T10" i="72"/>
  <c r="I43" i="40" s="1"/>
  <c r="T14" i="72"/>
  <c r="T18" i="72"/>
  <c r="T22" i="72"/>
  <c r="T26" i="72"/>
  <c r="T30" i="72"/>
  <c r="T34" i="72"/>
  <c r="T38" i="72"/>
  <c r="T42" i="72"/>
  <c r="T3" i="72"/>
  <c r="G43" i="40" s="1"/>
  <c r="T7" i="72"/>
  <c r="T11" i="72"/>
  <c r="T15" i="72"/>
  <c r="T19" i="72"/>
  <c r="T23" i="72"/>
  <c r="T27" i="72"/>
  <c r="T31" i="72"/>
  <c r="T35" i="72"/>
  <c r="T39" i="72"/>
  <c r="T43" i="72"/>
  <c r="T4" i="72"/>
  <c r="T8" i="72"/>
  <c r="T12" i="72"/>
  <c r="T16" i="72"/>
  <c r="T20" i="72"/>
  <c r="T24" i="72"/>
  <c r="T28" i="72"/>
  <c r="T32" i="72"/>
  <c r="T36" i="72"/>
  <c r="T22" i="1"/>
  <c r="V21" i="1"/>
  <c r="U22" i="1" s="1"/>
  <c r="V20" i="1"/>
  <c r="T21" i="1"/>
  <c r="T20" i="1"/>
  <c r="D33" i="46" l="1"/>
  <c r="G19" i="6"/>
  <c r="F19" i="6"/>
  <c r="I14" i="3"/>
  <c r="I13" i="3"/>
  <c r="D3" i="4"/>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F95" i="40" s="1"/>
  <c r="G95" i="40" s="1"/>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H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AA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W30" i="40" s="1"/>
  <c r="F38" i="40"/>
  <c r="S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AB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AB14" i="40"/>
  <c r="W40" i="40"/>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U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J37" i="40"/>
  <c r="AC37" i="40" s="1"/>
  <c r="H37" i="40"/>
  <c r="G112" i="40"/>
  <c r="H112" i="40"/>
  <c r="I112" i="40" s="1"/>
  <c r="J112" i="40" s="1"/>
  <c r="K112" i="40" s="1"/>
  <c r="L112" i="40" s="1"/>
  <c r="M112" i="40" s="1"/>
  <c r="F39" i="40"/>
  <c r="H39" i="40"/>
  <c r="J39" i="40"/>
  <c r="W38" i="40"/>
  <c r="F29" i="40"/>
  <c r="S29" i="40" s="1"/>
  <c r="H29" i="40"/>
  <c r="AB29" i="40" s="1"/>
  <c r="J29" i="40"/>
  <c r="AC29" i="40" s="1"/>
  <c r="F97" i="40"/>
  <c r="G97" i="40" s="1"/>
  <c r="H97" i="40" s="1"/>
  <c r="I97" i="40" s="1"/>
  <c r="J97" i="40" s="1"/>
  <c r="K97" i="40" s="1"/>
  <c r="L97" i="40" s="1"/>
  <c r="M97" i="40" s="1"/>
  <c r="F19" i="40"/>
  <c r="AA19" i="40" s="1"/>
  <c r="H19" i="40"/>
  <c r="AB19" i="40" s="1"/>
  <c r="J19" i="40"/>
  <c r="W19" i="40" s="1"/>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G1" i="44"/>
  <c r="I4" i="6"/>
  <c r="G3" i="46" s="1"/>
  <c r="Z7" i="46" s="1"/>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7"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B20" i="31"/>
  <c r="R22" i="31"/>
  <c r="B21" i="31"/>
  <c r="AT6" i="3"/>
  <c r="AZ16" i="3"/>
  <c r="E4" i="4"/>
  <c r="C4" i="4"/>
  <c r="G66" i="36"/>
  <c r="J18" i="36"/>
  <c r="W18" i="36"/>
  <c r="AC18" i="36"/>
  <c r="L20" i="6"/>
  <c r="B21" i="55"/>
  <c r="B72" i="63" s="1"/>
  <c r="B20" i="55"/>
  <c r="B70" i="63" s="1"/>
  <c r="C45" i="9"/>
  <c r="B7" i="66" s="1"/>
  <c r="N76" i="9"/>
  <c r="C46" i="9"/>
  <c r="K33" i="9"/>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9" i="44"/>
  <c r="B11" i="67"/>
  <c r="F12" i="67"/>
  <c r="B9" i="67"/>
  <c r="F15" i="44"/>
  <c r="F11" i="44"/>
  <c r="M8" i="44"/>
  <c r="F14" i="67"/>
  <c r="I5" i="65"/>
  <c r="N7" i="65"/>
  <c r="J4" i="65"/>
  <c r="F45" i="44"/>
  <c r="L48" i="44"/>
  <c r="F38" i="44"/>
  <c r="J3" i="65"/>
  <c r="E13" i="67"/>
  <c r="M31" i="44"/>
  <c r="F8" i="44"/>
  <c r="E10" i="67"/>
  <c r="N3" i="65"/>
  <c r="M28" i="44"/>
  <c r="M30" i="44"/>
  <c r="M26" i="44"/>
  <c r="F28" i="44"/>
  <c r="B12" i="67"/>
  <c r="E9" i="67"/>
  <c r="I7" i="65"/>
  <c r="I3" i="65"/>
  <c r="F43" i="44"/>
  <c r="M24" i="44"/>
  <c r="F39" i="44"/>
  <c r="E8" i="67"/>
  <c r="F10" i="44"/>
  <c r="N6" i="65"/>
  <c r="L49" i="44"/>
  <c r="E12" i="67"/>
  <c r="I6" i="65"/>
  <c r="J6" i="65"/>
  <c r="I4" i="65"/>
  <c r="B8" i="67"/>
  <c r="J5" i="65"/>
  <c r="B14" i="67"/>
  <c r="F10" i="67"/>
  <c r="F9" i="67"/>
  <c r="E11" i="67"/>
  <c r="J17" i="44"/>
  <c r="F13" i="67"/>
  <c r="F18" i="44"/>
  <c r="M10" i="44"/>
  <c r="N4" i="65"/>
  <c r="M25" i="44"/>
  <c r="E14" i="67"/>
  <c r="N5" i="65"/>
  <c r="F40" i="44"/>
  <c r="B13" i="67"/>
  <c r="F8" i="67"/>
  <c r="J7" i="65"/>
  <c r="M11" i="44"/>
  <c r="F11" i="67"/>
  <c r="B10" i="67"/>
  <c r="W21" i="40" l="1"/>
  <c r="S21" i="40"/>
  <c r="U29" i="40"/>
  <c r="AA29" i="40"/>
  <c r="W29" i="40"/>
  <c r="W27" i="40"/>
  <c r="AB25" i="40"/>
  <c r="S25" i="40"/>
  <c r="W25" i="40"/>
  <c r="U23" i="40"/>
  <c r="AA23" i="40"/>
  <c r="W23" i="40"/>
  <c r="U19" i="40"/>
  <c r="AC19" i="40"/>
  <c r="S19" i="40"/>
  <c r="AC17" i="40"/>
  <c r="U13" i="40"/>
  <c r="AB13" i="40"/>
  <c r="J13" i="40"/>
  <c r="W13" i="40" s="1"/>
  <c r="F13" i="40"/>
  <c r="AA38" i="40"/>
  <c r="S30" i="40"/>
  <c r="U30" i="40"/>
  <c r="AC30" i="40"/>
  <c r="M43" i="9"/>
  <c r="D18" i="9"/>
  <c r="M44" i="9" s="1"/>
  <c r="A30" i="51"/>
  <c r="B22" i="63" s="1"/>
  <c r="A30" i="64"/>
  <c r="M20" i="44"/>
  <c r="M18" i="15"/>
  <c r="K1" i="12"/>
  <c r="G1" i="15"/>
  <c r="K6" i="1"/>
  <c r="M6" i="1" s="1"/>
  <c r="O6" i="1" s="1"/>
  <c r="P6" i="1" s="1"/>
  <c r="B6" i="1"/>
  <c r="E6" i="1" s="1"/>
  <c r="K1" i="43"/>
  <c r="F28" i="6"/>
  <c r="F29" i="6"/>
  <c r="G29" i="6"/>
  <c r="A18" i="64"/>
  <c r="B74" i="63" s="1"/>
  <c r="T41" i="4"/>
  <c r="A17" i="64" s="1"/>
  <c r="L5" i="54"/>
  <c r="B39" i="63" s="1"/>
  <c r="C53" i="10"/>
  <c r="A25" i="64" s="1"/>
  <c r="A18" i="51"/>
  <c r="B14" i="63" s="1"/>
  <c r="K5" i="54"/>
  <c r="B38" i="63" s="1"/>
  <c r="A11" i="55"/>
  <c r="B62" i="63" s="1"/>
  <c r="G12" i="1"/>
  <c r="K34" i="9"/>
  <c r="O40" i="9"/>
  <c r="K31" i="9" s="1"/>
  <c r="K32" i="9" s="1"/>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G10" i="1"/>
  <c r="G13" i="1"/>
  <c r="F12" i="59"/>
  <c r="V13" i="59"/>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29" i="44"/>
  <c r="C8" i="44"/>
  <c r="J1" i="65"/>
  <c r="M9" i="44"/>
  <c r="J8" i="44" s="1"/>
  <c r="L60" i="44"/>
  <c r="L59" i="44"/>
  <c r="I55" i="44"/>
  <c r="J54" i="44"/>
  <c r="L57" i="44"/>
  <c r="J58" i="44"/>
  <c r="J56" i="44" s="1"/>
  <c r="J59" i="44" s="1"/>
  <c r="Q52" i="44" s="1"/>
  <c r="C4" i="65"/>
  <c r="B39" i="1" s="1"/>
  <c r="F16" i="15"/>
  <c r="F13" i="15"/>
  <c r="F38" i="15"/>
  <c r="L48" i="15"/>
  <c r="J15" i="15"/>
  <c r="F8" i="15"/>
  <c r="L47" i="15"/>
  <c r="F37" i="15"/>
  <c r="M9" i="15"/>
  <c r="F43" i="15"/>
  <c r="M29" i="15"/>
  <c r="D21" i="12"/>
  <c r="M6" i="15"/>
  <c r="M24" i="15"/>
  <c r="F6" i="15"/>
  <c r="M26" i="15"/>
  <c r="J36" i="15"/>
  <c r="M22" i="15"/>
  <c r="F40" i="15"/>
  <c r="C18" i="44"/>
  <c r="F26" i="15"/>
  <c r="M28" i="15"/>
  <c r="M23" i="15"/>
  <c r="F42" i="15"/>
  <c r="E2" i="65"/>
  <c r="F9" i="15"/>
  <c r="M8" i="15"/>
  <c r="F36" i="15"/>
  <c r="F7" i="15"/>
  <c r="E3" i="65"/>
  <c r="S13" i="40" l="1"/>
  <c r="AA13" i="40"/>
  <c r="AC13" i="40"/>
  <c r="C21" i="12"/>
  <c r="I54" i="15"/>
  <c r="C34" i="44"/>
  <c r="Q16" i="1"/>
  <c r="F21" i="43" s="1"/>
  <c r="H16" i="1"/>
  <c r="F49" i="15"/>
  <c r="M7" i="15"/>
  <c r="M17" i="15" s="1"/>
  <c r="F63" i="15"/>
  <c r="F70" i="15"/>
  <c r="F64" i="15"/>
  <c r="L56" i="15"/>
  <c r="J53" i="15"/>
  <c r="Q53" i="15" s="1"/>
  <c r="J57" i="15"/>
  <c r="J55" i="15" s="1"/>
  <c r="J58" i="15" s="1"/>
  <c r="Q51" i="15" s="1"/>
  <c r="F50" i="15"/>
  <c r="F67" i="15"/>
  <c r="F65" i="15"/>
  <c r="Q72" i="15"/>
  <c r="C6" i="15"/>
  <c r="C32" i="15" s="1"/>
  <c r="C27" i="15"/>
  <c r="L59" i="15"/>
  <c r="Q75" i="15" s="1"/>
  <c r="L58" i="15"/>
  <c r="Q61" i="15" s="1"/>
  <c r="F48" i="15"/>
  <c r="AP16" i="1"/>
  <c r="F22" i="11" s="1"/>
  <c r="A3" i="55"/>
  <c r="B56" i="63" s="1"/>
  <c r="A25" i="51"/>
  <c r="B18" i="63" s="1"/>
  <c r="A17" i="51"/>
  <c r="B13" i="63" s="1"/>
  <c r="J7" i="33"/>
  <c r="J60" i="44"/>
  <c r="J61" i="44" s="1"/>
  <c r="Q50" i="44" s="1"/>
  <c r="E83" i="46"/>
  <c r="B81" i="46" s="1"/>
  <c r="D26" i="46"/>
  <c r="C25" i="46" s="1"/>
  <c r="BA5" i="3"/>
  <c r="E12" i="6"/>
  <c r="E63" i="39"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D15" i="59"/>
  <c r="C14" i="59"/>
  <c r="M19" i="44"/>
  <c r="F17" i="11"/>
  <c r="C17" i="11" s="1"/>
  <c r="C19" i="11" s="1"/>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5" i="12"/>
  <c r="C16" i="15"/>
  <c r="F46" i="44"/>
  <c r="F1" i="15" l="1"/>
  <c r="C48" i="15"/>
  <c r="C28" i="46"/>
  <c r="Q62" i="15"/>
  <c r="J6" i="15"/>
  <c r="J18" i="15" s="1"/>
  <c r="Q74" i="15"/>
  <c r="E58" i="40"/>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10" i="15"/>
  <c r="C5" i="15" s="1"/>
  <c r="C38" i="15" s="1"/>
  <c r="C20" i="11"/>
  <c r="C21" i="11" s="1"/>
  <c r="C22" i="11" s="1"/>
  <c r="C23" i="11" s="1"/>
  <c r="B2" i="11" s="1"/>
  <c r="F33" i="12"/>
  <c r="M29" i="44"/>
  <c r="D16" i="12"/>
  <c r="AE6" i="1"/>
  <c r="M27" i="15"/>
  <c r="F1" i="46" l="1"/>
  <c r="D19" i="12"/>
  <c r="C19" i="12" s="1"/>
  <c r="C34" i="12"/>
  <c r="D33" i="12" s="1"/>
  <c r="C47" i="15"/>
  <c r="C59" i="15" s="1"/>
  <c r="C33" i="46"/>
  <c r="C34" i="46" s="1"/>
  <c r="E34" i="46" s="1"/>
  <c r="J5" i="15"/>
  <c r="J24" i="15"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F7" i="67"/>
  <c r="D22" i="12"/>
  <c r="F41" i="15"/>
  <c r="J36" i="40" l="1"/>
  <c r="H36" i="40"/>
  <c r="F36" i="40"/>
  <c r="F68" i="15"/>
  <c r="E33" i="46"/>
  <c r="C22" i="12"/>
  <c r="C20" i="12" s="1"/>
  <c r="C65" i="15"/>
  <c r="E40" i="46"/>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D12" i="6"/>
  <c r="H21" i="6"/>
  <c r="H20" i="6"/>
  <c r="H26" i="6"/>
  <c r="D23" i="6"/>
  <c r="E46" i="9"/>
  <c r="F45" i="9"/>
  <c r="D28" i="6"/>
  <c r="D30" i="6" s="1"/>
  <c r="H25"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9" i="44"/>
  <c r="E7" i="67"/>
  <c r="B7" i="67"/>
  <c r="AA36" i="40" l="1"/>
  <c r="S36" i="40"/>
  <c r="AB36" i="40"/>
  <c r="U36" i="40"/>
  <c r="AC36" i="40"/>
  <c r="W36" i="40"/>
  <c r="H23" i="6"/>
  <c r="H24" i="6"/>
  <c r="R24" i="6" s="1"/>
  <c r="R11" i="1" s="1"/>
  <c r="C31" i="46"/>
  <c r="C30" i="46"/>
  <c r="B2" i="46" s="1"/>
  <c r="T11" i="1"/>
  <c r="T9" i="1"/>
  <c r="T10" i="1"/>
  <c r="T13" i="1"/>
  <c r="T6" i="1"/>
  <c r="T8" i="1"/>
  <c r="T12" i="1"/>
  <c r="T7" i="1"/>
  <c r="I27" i="6"/>
  <c r="S19" i="6"/>
  <c r="S27" i="6" s="1"/>
  <c r="H19" i="6"/>
  <c r="R19" i="6" s="1"/>
  <c r="R6"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C14" i="15"/>
  <c r="F37" i="44"/>
  <c r="C16" i="44"/>
  <c r="F35" i="15"/>
  <c r="M21" i="15"/>
  <c r="M23" i="44"/>
  <c r="D4" i="46" l="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5" i="39"/>
  <c r="B4" i="39"/>
  <c r="B3" i="39"/>
  <c r="D19" i="9"/>
  <c r="L44" i="9" l="1"/>
  <c r="B3" i="40"/>
  <c r="B4" i="40"/>
  <c r="B5" i="40"/>
  <c r="F20" i="43"/>
  <c r="D20" i="43" s="1"/>
  <c r="F26" i="12"/>
  <c r="F26" i="44"/>
  <c r="F24" i="15"/>
  <c r="D20" i="9"/>
  <c r="D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G38"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4" i="12"/>
  <c r="B3" i="12"/>
  <c r="C20" i="9" s="1"/>
  <c r="B5" i="12"/>
  <c r="C19" i="9"/>
  <c r="D22" i="9" l="1"/>
  <c r="G19" i="9"/>
  <c r="C32" i="9" s="1"/>
  <c r="L43" i="9"/>
  <c r="G20" i="9"/>
  <c r="C21" i="9"/>
  <c r="G21" i="9" l="1"/>
  <c r="N43" i="9"/>
  <c r="G22" i="9"/>
  <c r="C33" i="9"/>
  <c r="O43" i="9"/>
  <c r="C42" i="9"/>
  <c r="O38" i="9"/>
  <c r="D14" i="66" s="1"/>
  <c r="C34" i="9"/>
  <c r="C35" i="9"/>
  <c r="F42" i="9" s="1"/>
  <c r="G14" i="66" l="1"/>
  <c r="B5" i="66"/>
  <c r="E14" i="66"/>
  <c r="F14" i="66"/>
  <c r="E42" i="9"/>
  <c r="P5" i="54" s="1"/>
  <c r="B46" i="63" s="1"/>
  <c r="M38" i="9"/>
  <c r="K27" i="9" s="1"/>
  <c r="K26" i="9"/>
  <c r="K25" i="9"/>
  <c r="C44" i="9"/>
  <c r="R5" i="54"/>
  <c r="B48" i="63" s="1"/>
  <c r="D63" i="9"/>
  <c r="N68" i="9"/>
  <c r="D42" i="9"/>
  <c r="Q5" i="54" s="1"/>
  <c r="B47" i="63" s="1"/>
  <c r="N38" i="9"/>
  <c r="K28" i="9" s="1"/>
  <c r="B6" i="66" l="1"/>
  <c r="D5" i="66"/>
  <c r="C5" i="66"/>
  <c r="C82" i="9"/>
  <c r="C81" i="9" s="1"/>
  <c r="C85" i="9" s="1"/>
  <c r="C86" i="9" s="1"/>
  <c r="D72" i="9" s="1"/>
  <c r="D71" i="9"/>
  <c r="D66" i="9" s="1"/>
  <c r="N72" i="9" s="1"/>
  <c r="D73" i="9"/>
  <c r="N73" i="9" s="1"/>
  <c r="C103" i="9"/>
  <c r="C111" i="9"/>
  <c r="C104" i="9" s="1"/>
  <c r="D70" i="9"/>
  <c r="C96" i="9"/>
  <c r="C91" i="9" s="1"/>
  <c r="C90" i="9"/>
  <c r="N69" i="9"/>
  <c r="O39" i="9"/>
  <c r="D44" i="9"/>
  <c r="F44" i="9"/>
  <c r="E44" i="9"/>
  <c r="C6" i="66" l="1"/>
  <c r="D6" i="66"/>
  <c r="C97" i="9"/>
  <c r="C113" i="9"/>
  <c r="R6" i="54"/>
  <c r="B50" i="63" s="1"/>
  <c r="K29" i="9"/>
  <c r="K30" i="9" s="1"/>
  <c r="M86" i="9"/>
  <c r="N86" i="9" s="1"/>
  <c r="M88" i="9"/>
  <c r="N88" i="9" s="1"/>
  <c r="M85" i="9"/>
  <c r="N85" i="9" s="1"/>
  <c r="M83" i="9"/>
  <c r="N83" i="9" s="1"/>
  <c r="M87" i="9"/>
  <c r="N87" i="9" s="1"/>
  <c r="M84" i="9"/>
  <c r="N84" i="9" s="1"/>
  <c r="N89" i="9" l="1"/>
  <c r="O89" i="9" s="1"/>
  <c r="C114" i="9"/>
  <c r="E114" i="9" s="1"/>
  <c r="E115" i="9" s="1"/>
  <c r="C98" i="9"/>
  <c r="E98" i="9" s="1"/>
  <c r="E99"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<sst xmlns="http://schemas.openxmlformats.org/spreadsheetml/2006/main" count="7880" uniqueCount="3510">
  <si>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</si>
  <si>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</si>
  <si>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</si>
  <si>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</si>
  <si>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</si>
  <si>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</si>
  <si>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</si>
  <si>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</si>
  <si>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</si>
  <si>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</si>
  <si>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</si>
  <si>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</si>
  <si>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</si>
  <si>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</si>
  <si>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</si>
  <si>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</si>
  <si>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</si>
  <si>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</si>
  <si>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</si>
  <si>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</si>
  <si>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</si>
  <si>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</si>
  <si>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</si>
  <si>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</si>
  <si>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</si>
  <si>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</si>
  <si>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</si>
  <si>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</si>
  <si>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</si>
  <si>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</si>
  <si>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</si>
  <si>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</si>
  <si>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</si>
  <si>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</si>
  <si>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</si>
  <si>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</si>
  <si>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</si>
  <si>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</si>
  <si>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</si>
  <si>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</si>
  <si>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</si>
  <si>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</si>
  <si>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</si>
  <si>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</si>
  <si>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</si>
  <si>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</si>
  <si>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</si>
  <si>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</si>
  <si>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</si>
  <si>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</si>
  <si>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</si>
  <si>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</si>
  <si>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</si>
  <si>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</si>
  <si>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</si>
  <si>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</si>
  <si>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</si>
  <si>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</si>
  <si>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</si>
  <si>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</si>
  <si>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</si>
  <si>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</si>
  <si>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</si>
  <si>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</si>
  <si>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</si>
  <si>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</si>
  <si>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</si>
  <si>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</si>
  <si>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</si>
  <si>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</si>
  <si>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</si>
  <si>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</si>
  <si>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</si>
  <si>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</si>
  <si>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</si>
  <si>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</si>
  <si>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</si>
  <si>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</si>
  <si>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</si>
  <si>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</si>
  <si>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</si>
  <si>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</si>
  <si>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</si>
  <si>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</si>
  <si>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</si>
  <si>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</si>
  <si>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</si>
  <si>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</si>
  <si>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</si>
  <si>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</si>
  <si>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</si>
  <si>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</si>
  <si>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</si>
  <si>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</si>
  <si>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</si>
  <si>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</si>
  <si>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</si>
  <si>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</si>
  <si>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</si>
  <si>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</si>
  <si>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</si>
  <si>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</si>
  <si>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</si>
  <si>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</si>
  <si>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</si>
  <si>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</si>
  <si>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</si>
  <si>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</si>
  <si>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</si>
  <si>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</si>
  <si>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</si>
  <si>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</si>
  <si>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</si>
  <si>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</si>
  <si>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</si>
  <si>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</si>
  <si>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</si>
  <si>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</si>
  <si>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</si>
  <si>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</si>
  <si>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</si>
  <si>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</si>
  <si>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</si>
  <si>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</si>
  <si>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</si>
  <si>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</si>
  <si>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</si>
  <si>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</si>
  <si>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</si>
  <si>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</si>
  <si>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</si>
  <si>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</si>
  <si>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</si>
  <si>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</si>
  <si>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</si>
  <si>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</si>
  <si>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</si>
  <si>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</si>
  <si>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</si>
  <si>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</si>
  <si>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</si>
  <si>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</si>
  <si>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</si>
  <si>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</si>
  <si>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</si>
  <si>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</si>
  <si>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</si>
  <si>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</si>
  <si>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</si>
  <si>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</si>
  <si>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</si>
  <si>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</si>
  <si>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</si>
  <si>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</si>
  <si>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</si>
  <si>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</si>
  <si>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</si>
  <si>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</si>
  <si>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</si>
  <si>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</si>
  <si>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</si>
  <si>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</si>
  <si>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</si>
  <si>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</si>
  <si>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</si>
  <si>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</si>
  <si>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</si>
  <si>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</si>
  <si>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</si>
  <si>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</si>
  <si>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</si>
  <si>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</si>
  <si>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</si>
  <si>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</si>
  <si>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</si>
  <si>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</si>
  <si>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</si>
  <si>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</si>
  <si>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</si>
  <si>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</si>
  <si>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</si>
  <si>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</si>
  <si>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</si>
  <si>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</si>
  <si>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</si>
  <si>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</si>
  <si>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</si>
  <si>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</si>
  <si>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</si>
  <si>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</si>
  <si>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</si>
  <si>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</si>
  <si>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</si>
  <si>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</si>
  <si>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</si>
  <si>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</si>
  <si>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</si>
  <si>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</si>
  <si>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</si>
  <si>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</si>
  <si>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</si>
  <si>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</si>
  <si>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</si>
  <si>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</si>
  <si>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</si>
  <si>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</si>
  <si>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</si>
  <si>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</si>
  <si>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</si>
  <si>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</si>
  <si>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</si>
  <si>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</si>
  <si>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</si>
  <si>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</si>
  <si>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</si>
  <si>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</si>
  <si>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</si>
  <si>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</si>
  <si>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</si>
  <si>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</si>
  <si>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</si>
  <si>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</si>
  <si>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</si>
  <si>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</si>
  <si>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</si>
  <si>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</si>
  <si>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</si>
  <si>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</si>
  <si>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</si>
  <si>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</si>
  <si>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</si>
  <si>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</si>
  <si>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</si>
  <si>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</si>
  <si>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</si>
  <si>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</si>
  <si>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</si>
  <si>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</si>
  <si>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</si>
  <si>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</si>
  <si>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</si>
  <si>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</si>
  <si>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</si>
  <si>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</si>
  <si>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</si>
  <si>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</si>
  <si>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</si>
  <si>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</si>
  <si>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</si>
  <si>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</si>
  <si>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</si>
  <si>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</si>
  <si>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</si>
  <si>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</si>
  <si>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</si>
  <si>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</si>
  <si>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</si>
  <si>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</si>
  <si>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</si>
  <si>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</si>
  <si>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</si>
  <si>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</si>
  <si>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</si>
  <si>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</si>
  <si>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</si>
  <si>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</si>
  <si>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</si>
  <si>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</si>
  <si>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</si>
  <si>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</si>
  <si>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</si>
  <si>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</si>
  <si>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</si>
  <si>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</si>
  <si>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</si>
  <si>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</si>
  <si>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</si>
  <si>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</si>
  <si>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</si>
  <si>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</si>
  <si>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</si>
  <si>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</si>
  <si>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</si>
  <si>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</si>
  <si>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</si>
  <si>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</si>
  <si>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</si>
  <si>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</si>
  <si>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</si>
  <si>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</si>
  <si>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</si>
  <si>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</si>
  <si>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</si>
  <si>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</si>
  <si>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</si>
  <si>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</si>
  <si>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</si>
  <si>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</si>
  <si>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</si>
  <si>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</si>
  <si>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</si>
  <si>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</si>
  <si>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</si>
  <si>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</si>
  <si>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</si>
  <si>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</si>
  <si>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</si>
  <si>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</si>
  <si>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</si>
  <si>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</si>
  <si>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</si>
  <si>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</si>
  <si>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</si>
  <si>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</si>
  <si>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</si>
  <si>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</si>
  <si>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</si>
  <si>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</si>
  <si>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</si>
  <si>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</si>
  <si>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</si>
  <si>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</si>
  <si>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</si>
  <si>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</si>
  <si>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</si>
  <si>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</si>
  <si>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</si>
  <si>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</si>
  <si>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</si>
  <si>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</si>
  <si>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</si>
  <si>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</si>
  <si>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</si>
  <si>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</si>
  <si>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</si>
  <si>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</si>
  <si>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</si>
  <si>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</si>
  <si>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</si>
  <si>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</si>
  <si>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</si>
  <si>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</si>
  <si>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</si>
  <si>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</si>
  <si>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</si>
  <si>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</si>
  <si>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</si>
  <si>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</si>
  <si>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</si>
  <si>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</si>
  <si>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</si>
  <si>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</si>
  <si>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</si>
  <si>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</si>
  <si>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</si>
  <si>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</si>
  <si>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</si>
  <si>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</si>
  <si>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</si>
  <si>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</si>
  <si>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</si>
  <si>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</si>
  <si>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</si>
  <si>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</si>
  <si>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</si>
  <si>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</si>
  <si>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</si>
  <si>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</si>
  <si>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</si>
  <si>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</si>
  <si>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</si>
  <si>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</si>
  <si>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</si>
  <si>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</si>
  <si>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</si>
  <si>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</si>
  <si>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</si>
  <si>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</si>
  <si>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</si>
  <si>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</si>
  <si>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</si>
  <si>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</si>
  <si>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</si>
  <si>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</si>
  <si>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</si>
  <si>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</si>
  <si>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</si>
  <si>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</si>
  <si>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</si>
  <si>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</si>
  <si>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</si>
  <si>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</si>
  <si>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</si>
  <si>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</si>
  <si>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</si>
  <si>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</si>
  <si>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</si>
  <si>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</si>
  <si>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</si>
  <si>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</si>
  <si>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</si>
  <si>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</si>
  <si>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</si>
  <si>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</si>
  <si>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</si>
  <si>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</si>
  <si>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</si>
  <si>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</si>
  <si>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</si>
  <si>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</si>
  <si>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</si>
  <si>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</si>
  <si>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</si>
  <si>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</si>
  <si>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</si>
  <si>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</si>
  <si>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</si>
  <si>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</si>
  <si>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</si>
  <si>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</si>
  <si>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</si>
  <si>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</si>
  <si>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</si>
  <si>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</si>
  <si>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</si>
  <si>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</si>
  <si>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</si>
  <si>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</si>
  <si>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</si>
  <si>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</si>
  <si>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</si>
  <si>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</si>
  <si>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</si>
  <si>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</si>
  <si>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</si>
  <si>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</si>
  <si>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</si>
  <si>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</si>
  <si>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</si>
  <si>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</si>
  <si>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</si>
  <si>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</si>
  <si>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</si>
  <si>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</si>
  <si>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</si>
  <si>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</si>
  <si>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</si>
  <si>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</si>
  <si>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</si>
  <si>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</si>
  <si>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</si>
  <si>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</si>
  <si>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</si>
  <si>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</si>
  <si>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</si>
  <si>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</si>
  <si>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</si>
  <si>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</si>
  <si>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</si>
  <si>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</si>
  <si>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</si>
  <si>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</si>
  <si>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</si>
  <si>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</si>
  <si>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</si>
  <si>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</si>
  <si>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</si>
  <si>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</si>
  <si>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</si>
  <si>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</si>
  <si>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</si>
  <si>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</si>
  <si>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</si>
  <si>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</si>
  <si>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</si>
  <si>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</si>
  <si>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</si>
  <si>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</si>
  <si>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</si>
  <si>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</si>
  <si>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</si>
  <si>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</si>
  <si>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</si>
  <si>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</si>
  <si>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</si>
  <si>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</si>
  <si>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</si>
  <si>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</si>
  <si>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</si>
  <si>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</si>
  <si>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</si>
  <si>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</si>
  <si>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</si>
  <si>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</si>
  <si>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</si>
  <si>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</si>
  <si>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</si>
  <si>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</si>
  <si>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</si>
  <si>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</si>
  <si>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</si>
  <si>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</si>
  <si>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</si>
  <si>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</si>
  <si>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</si>
  <si>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</si>
  <si>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</si>
  <si>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</si>
  <si>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</si>
  <si>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</si>
  <si>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</si>
  <si>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</si>
  <si>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</si>
  <si>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</si>
  <si>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</si>
  <si>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</si>
  <si>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</si>
  <si>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</si>
  <si>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</si>
  <si>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</si>
  <si>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</si>
  <si>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</si>
  <si>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</si>
  <si>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</si>
  <si>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</si>
  <si>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</si>
  <si>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</si>
  <si>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</si>
  <si>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</si>
  <si>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</si>
  <si>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</si>
  <si>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</si>
  <si>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</si>
  <si>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</si>
  <si>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</si>
  <si>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</si>
  <si>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</si>
  <si>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</si>
  <si>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</si>
  <si>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</si>
  <si>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</si>
  <si>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</si>
  <si>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</si>
  <si>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</si>
  <si>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</si>
  <si>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</si>
  <si>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</si>
  <si>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</si>
  <si>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</si>
  <si>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</si>
  <si>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</si>
  <si>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</si>
  <si>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</si>
  <si>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</si>
  <si>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</si>
  <si>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</si>
  <si>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</si>
  <si>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</si>
  <si>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</si>
  <si>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</si>
  <si>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</si>
  <si>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</si>
  <si>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</si>
  <si>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</si>
  <si>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</si>
  <si>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</si>
  <si>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</si>
  <si>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</si>
  <si>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</si>
  <si>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</si>
  <si>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</si>
  <si>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</si>
  <si>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</si>
  <si>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</si>
  <si>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</si>
  <si>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</si>
  <si>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</si>
  <si>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</si>
  <si>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</si>
  <si>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</si>
  <si>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</si>
  <si>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</si>
  <si>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</si>
  <si>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</si>
  <si>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</si>
  <si>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</si>
  <si>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</si>
  <si>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</si>
  <si>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</si>
  <si>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</si>
  <si>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</si>
  <si>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</si>
  <si>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</si>
  <si>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</si>
  <si>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</si>
  <si>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</si>
  <si>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</si>
  <si>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</si>
  <si>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</si>
  <si>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</si>
  <si>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</si>
  <si>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</si>
  <si>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</si>
  <si>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</si>
  <si>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</si>
  <si>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</si>
  <si>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</si>
  <si>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</si>
  <si>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</si>
  <si>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</si>
  <si>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</si>
  <si>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</si>
  <si>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</si>
  <si>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</si>
  <si>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</si>
  <si>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</si>
  <si>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</si>
  <si>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</si>
  <si>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</si>
  <si>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</si>
  <si>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</si>
  <si>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</si>
  <si>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</si>
  <si>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</si>
  <si>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</si>
  <si>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</si>
  <si>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</si>
  <si>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</si>
  <si>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</si>
  <si>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</si>
  <si>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</si>
  <si>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</si>
  <si>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</si>
  <si>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</si>
  <si>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</si>
  <si>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</si>
  <si>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</si>
  <si>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</si>
  <si>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</si>
  <si>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</si>
  <si>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</si>
  <si>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</si>
  <si>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</si>
  <si>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</si>
  <si>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</si>
  <si>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</si>
  <si>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</si>
  <si>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</si>
  <si>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</si>
  <si>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</si>
  <si>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</si>
  <si>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</si>
  <si>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</si>
  <si>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</si>
  <si>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</si>
  <si>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</si>
  <si>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</si>
  <si>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</si>
  <si>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</si>
  <si>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</si>
  <si>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</si>
  <si>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</si>
  <si>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</si>
  <si>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</si>
  <si>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</si>
  <si>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</si>
  <si>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</si>
  <si>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</si>
  <si>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</si>
  <si>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</si>
  <si>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</si>
  <si>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</si>
  <si>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</si>
  <si>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</si>
  <si>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</si>
  <si>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</si>
  <si>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</si>
  <si>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</si>
  <si>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</si>
  <si>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</si>
  <si>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</si>
  <si>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</si>
  <si>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</si>
  <si>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</si>
  <si>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</si>
  <si>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</si>
  <si>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</si>
  <si>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</si>
  <si>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</si>
  <si>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</si>
  <si>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</si>
  <si>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</si>
  <si>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</si>
  <si>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</si>
  <si>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</si>
  <si>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</si>
  <si>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</si>
  <si>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</si>
  <si>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</si>
  <si>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</si>
  <si>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</si>
  <si>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</si>
  <si>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</si>
  <si>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</si>
  <si>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</si>
  <si>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</si>
  <si>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</si>
  <si>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</si>
  <si>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</si>
  <si>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</si>
  <si>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</si>
  <si>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</si>
  <si>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</si>
  <si>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</si>
  <si>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</si>
  <si>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</si>
  <si>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</si>
  <si>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</si>
  <si>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</si>
  <si>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</si>
  <si>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</si>
  <si>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</si>
  <si>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</si>
  <si>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</si>
  <si>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</si>
  <si>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</si>
  <si>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</si>
  <si>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</si>
  <si>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</si>
  <si>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</si>
  <si>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</si>
  <si>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</si>
  <si>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</si>
  <si>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</si>
  <si>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</si>
  <si>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</si>
  <si>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</si>
  <si>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</si>
  <si>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</si>
  <si>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</si>
  <si>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</si>
  <si>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</si>
  <si>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</si>
  <si>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</si>
  <si>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</si>
  <si>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</si>
  <si>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</si>
  <si>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</si>
  <si>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</si>
  <si>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</si>
  <si>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</si>
  <si>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</si>
  <si>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</si>
  <si>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</si>
  <si>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</si>
  <si>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</si>
  <si>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</si>
  <si>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</si>
  <si>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</si>
  <si>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</si>
  <si>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</si>
  <si>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</si>
  <si>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</si>
  <si>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</si>
  <si>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</si>
  <si>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</si>
  <si>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</si>
  <si>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</si>
  <si>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</si>
  <si>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</si>
  <si>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</si>
  <si>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</si>
  <si>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</si>
  <si>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</si>
  <si>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</si>
  <si>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</si>
  <si>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</si>
  <si>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</si>
  <si>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</si>
  <si>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</si>
  <si>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</si>
  <si>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</si>
  <si>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</si>
  <si>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</si>
  <si>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</si>
  <si>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</si>
  <si>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</si>
  <si>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</si>
  <si>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</si>
  <si>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</si>
  <si>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</si>
  <si>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</si>
  <si>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</si>
  <si>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</si>
  <si>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</si>
  <si>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</si>
  <si>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</si>
  <si>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</si>
  <si>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</si>
  <si>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</si>
  <si>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</si>
  <si>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</si>
  <si>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</si>
  <si>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</si>
  <si>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</si>
  <si>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</si>
  <si>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</si>
  <si>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</si>
  <si>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</si>
  <si>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</si>
  <si>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</si>
  <si>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</si>
  <si>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</si>
  <si>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</si>
  <si>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</si>
  <si>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</si>
  <si>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</si>
  <si>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</si>
  <si>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</si>
  <si>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</si>
  <si>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</si>
  <si>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</si>
  <si>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</si>
  <si>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</si>
  <si>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</si>
  <si>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</si>
  <si>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</si>
  <si>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</si>
  <si>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</si>
  <si>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</si>
  <si>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</si>
  <si>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</si>
  <si>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</si>
  <si>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</si>
  <si>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</si>
  <si>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</si>
  <si>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</si>
  <si>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</si>
  <si>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</si>
  <si>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</si>
  <si>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</si>
  <si>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</si>
  <si>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</si>
  <si>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</si>
  <si>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</si>
  <si>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</si>
  <si>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</si>
  <si>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</si>
  <si>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</si>
  <si>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</si>
  <si>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</si>
  <si>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</si>
  <si>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</si>
  <si>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</si>
  <si>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</si>
  <si>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</si>
  <si>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</si>
  <si>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</si>
  <si>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</si>
  <si>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</si>
  <si>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</si>
  <si>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</si>
  <si>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</si>
  <si>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</si>
  <si>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</si>
  <si>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</si>
  <si>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</si>
  <si>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</si>
  <si>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</si>
  <si>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</si>
  <si>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</si>
  <si>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</si>
  <si>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</si>
  <si>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</si>
  <si>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</si>
  <si>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</si>
  <si>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</si>
  <si>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</si>
  <si>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</si>
  <si>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</si>
  <si>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</si>
  <si>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</si>
  <si>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</si>
  <si>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</si>
  <si>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</si>
  <si>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</si>
  <si>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</si>
  <si>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</si>
  <si>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</si>
  <si>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</si>
  <si>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</si>
  <si>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</si>
  <si>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</si>
  <si>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</si>
  <si>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</si>
  <si>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</si>
  <si>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</si>
  <si>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</si>
  <si>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</si>
  <si>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</si>
  <si>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</si>
  <si>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</si>
  <si>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</si>
  <si>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</si>
  <si>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</si>
  <si>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</si>
  <si>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</si>
  <si>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</si>
  <si>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</si>
  <si>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</si>
  <si>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</si>
  <si>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</si>
  <si>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</si>
  <si>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</si>
  <si>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</si>
  <si>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</si>
  <si>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</si>
  <si>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</si>
  <si>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</si>
  <si>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</si>
  <si>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</si>
  <si>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</si>
  <si>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</si>
  <si>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</si>
  <si>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</si>
  <si>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</si>
  <si>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</si>
  <si>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</si>
  <si>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</si>
  <si>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</si>
  <si>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</si>
  <si>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</si>
  <si>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</si>
  <si>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</si>
  <si>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</si>
  <si>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</si>
  <si>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</si>
  <si>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</si>
  <si>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</si>
  <si>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</si>
  <si>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</si>
  <si>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</si>
  <si>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</si>
  <si>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</si>
  <si>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</si>
  <si>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</si>
  <si>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</si>
  <si>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</si>
  <si>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</si>
  <si>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</si>
  <si>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</si>
  <si>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</si>
  <si>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</si>
  <si>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</si>
  <si>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</si>
  <si>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</si>
  <si>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</si>
  <si>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</si>
  <si>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</si>
  <si>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</si>
  <si>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</si>
  <si>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</si>
  <si>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</si>
  <si>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</si>
  <si>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</si>
  <si>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</si>
  <si>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</si>
  <si>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</si>
  <si>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</si>
  <si>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</si>
  <si>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</si>
  <si>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</si>
  <si>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</si>
  <si>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</si>
  <si>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</si>
  <si>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</si>
  <si>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</si>
  <si>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</si>
  <si>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</si>
  <si>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</si>
  <si>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</si>
  <si>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</si>
  <si>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</si>
  <si>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</si>
  <si>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</si>
  <si>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</si>
  <si>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</si>
  <si>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</si>
  <si>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</si>
  <si>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</si>
  <si>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</si>
  <si>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</si>
  <si>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</si>
  <si>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</si>
  <si>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</si>
  <si>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</si>
  <si>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</si>
  <si>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</si>
  <si>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</si>
  <si>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</si>
  <si>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</si>
  <si>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</si>
  <si>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</si>
  <si>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</si>
  <si>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</si>
  <si>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</si>
  <si>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</si>
  <si>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</si>
  <si>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</si>
  <si>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</si>
  <si>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</si>
  <si>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</si>
  <si>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</si>
  <si>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</si>
  <si>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</si>
  <si>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</si>
  <si>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</si>
  <si>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</si>
  <si>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</si>
  <si>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</si>
  <si>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</si>
  <si>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</si>
  <si>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</si>
  <si>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</si>
  <si>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</si>
  <si>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</si>
  <si>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</si>
  <si>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</si>
  <si>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</si>
  <si>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</si>
  <si>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</si>
  <si>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</si>
  <si>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</si>
  <si>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</si>
  <si>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</si>
  <si>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</si>
  <si>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</si>
  <si>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</si>
  <si>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</si>
  <si>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</si>
  <si>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</si>
  <si>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</si>
  <si>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</si>
  <si>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</si>
  <si>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</si>
  <si>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</si>
  <si>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</si>
  <si>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</si>
  <si>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</si>
  <si>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</si>
  <si>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</si>
  <si>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</si>
  <si>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</si>
  <si>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</si>
  <si>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</si>
  <si>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</si>
  <si>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</si>
  <si>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</si>
  <si>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</si>
  <si>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</si>
  <si>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</si>
  <si>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</si>
  <si>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</si>
  <si>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</si>
  <si>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</si>
  <si>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</si>
  <si>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</si>
  <si>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</si>
  <si>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</si>
  <si>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</si>
  <si>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</si>
  <si>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</si>
  <si>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</si>
  <si>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</si>
  <si>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</si>
  <si>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</si>
  <si>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</si>
  <si>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</si>
  <si>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</si>
  <si>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</si>
  <si>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</si>
  <si>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</si>
  <si>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</si>
  <si>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</si>
  <si>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</si>
  <si>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</si>
  <si>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</si>
  <si>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</si>
  <si>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</si>
  <si>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</si>
  <si>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</si>
  <si>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</si>
  <si>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</si>
  <si>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</si>
  <si>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</si>
  <si>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</si>
  <si>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</si>
  <si>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</si>
  <si>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</si>
  <si>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</si>
  <si>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</si>
  <si>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</si>
  <si>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</si>
  <si>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</si>
  <si>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</si>
  <si>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</si>
  <si>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</si>
  <si>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</si>
  <si>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</si>
  <si>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</si>
  <si>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</si>
  <si>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</si>
  <si>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</si>
  <si>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</si>
  <si>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</si>
  <si>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</si>
  <si>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</si>
  <si>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</si>
  <si>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</si>
  <si>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</si>
  <si>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</si>
  <si>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</si>
  <si>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</si>
  <si>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</si>
  <si>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</si>
  <si>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</si>
  <si>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</si>
  <si>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</si>
  <si>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</si>
  <si>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</si>
  <si>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</si>
  <si>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</si>
  <si>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</si>
  <si>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</si>
  <si>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</si>
  <si>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</si>
  <si>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</si>
  <si>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</si>
  <si>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</si>
  <si>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</si>
  <si>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</si>
  <si>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</si>
  <si>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</si>
  <si>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</si>
  <si>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</si>
  <si>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</si>
  <si>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</si>
  <si>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</si>
  <si>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</si>
  <si>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</si>
  <si>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</si>
  <si>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</si>
  <si>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</si>
  <si>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</si>
  <si>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</si>
  <si>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</si>
  <si>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</si>
  <si>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</si>
  <si>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</si>
  <si>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</si>
  <si>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</si>
  <si>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</si>
  <si>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</si>
  <si>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</si>
  <si>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</si>
  <si>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</si>
  <si>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</si>
  <si>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</si>
  <si>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</si>
  <si>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</si>
  <si>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</si>
  <si>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</si>
  <si>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</si>
  <si>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</si>
  <si>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</si>
  <si>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</si>
  <si>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</si>
  <si>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</si>
  <si>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</si>
  <si>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</si>
  <si>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</si>
  <si>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</si>
  <si>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</si>
  <si>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</si>
  <si>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</si>
  <si>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</si>
  <si>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</si>
  <si>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</si>
  <si>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</si>
  <si>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</si>
  <si>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</si>
  <si>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</si>
  <si>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</si>
  <si>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</si>
  <si>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</si>
  <si>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</si>
  <si>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</si>
  <si>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</si>
  <si>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</si>
  <si>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</si>
  <si>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</si>
  <si>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</si>
  <si>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</si>
  <si>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</si>
  <si>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</si>
  <si>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</si>
  <si>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</si>
  <si>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</si>
  <si>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</si>
  <si>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</si>
  <si>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</si>
  <si>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</si>
  <si>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</si>
  <si>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</si>
  <si>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</si>
  <si>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</si>
  <si>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</si>
  <si>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</si>
  <si>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</si>
  <si>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</si>
  <si>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</si>
  <si>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</si>
  <si>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</si>
  <si>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</si>
  <si>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</si>
  <si>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</si>
  <si>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</si>
  <si>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</si>
  <si>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</si>
  <si>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</si>
  <si>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</si>
  <si>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</si>
  <si>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</si>
  <si>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</si>
  <si>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</si>
  <si>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</si>
  <si>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</si>
  <si>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</si>
  <si>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</si>
  <si>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</si>
  <si>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</si>
  <si>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</si>
  <si>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</si>
  <si>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</si>
  <si>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</si>
  <si>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</si>
  <si>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</si>
  <si>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</si>
  <si>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</si>
  <si>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</si>
  <si>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</si>
  <si>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</si>
  <si>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</si>
  <si>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</si>
  <si>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</si>
  <si>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</si>
  <si>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</si>
  <si>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</si>
  <si>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</si>
  <si>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</si>
  <si>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</si>
  <si>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</si>
  <si>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</si>
  <si>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</si>
  <si>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</si>
  <si>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</si>
  <si>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</si>
  <si>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</si>
  <si>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</si>
  <si>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</si>
  <si>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</si>
  <si>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</si>
  <si>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</si>
  <si>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</si>
  <si>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</si>
  <si>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</si>
  <si>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</si>
  <si>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</si>
  <si>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</si>
  <si>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</si>
  <si>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</si>
  <si>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</si>
  <si>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</si>
  <si>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</si>
  <si>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</si>
  <si>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</si>
  <si>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</si>
  <si>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</si>
  <si>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</si>
  <si>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</si>
  <si>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</si>
  <si>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</si>
  <si>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</si>
  <si>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</si>
  <si>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</si>
  <si>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</si>
  <si>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</si>
  <si>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</si>
  <si>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</si>
  <si>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</si>
  <si>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</si>
  <si>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</si>
  <si>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</si>
  <si>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</si>
  <si>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</si>
  <si>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</si>
  <si>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</si>
  <si>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</si>
  <si>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</si>
  <si>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</si>
  <si>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</si>
  <si>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</si>
  <si>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</si>
  <si>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</si>
  <si>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</si>
  <si>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</si>
  <si>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</si>
  <si>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</si>
  <si>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</si>
  <si>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</si>
  <si>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</si>
  <si>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</si>
  <si>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</si>
  <si>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</si>
  <si>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</si>
  <si>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</si>
  <si>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</si>
  <si>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</si>
  <si>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</si>
  <si>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</si>
  <si>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</si>
  <si>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</si>
  <si>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</si>
  <si>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</si>
  <si>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</si>
  <si>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</si>
  <si>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</si>
  <si>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</si>
  <si>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</si>
  <si>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</si>
  <si>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</si>
  <si>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</si>
  <si>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</si>
  <si>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</si>
  <si>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</si>
  <si>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</si>
  <si>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</si>
  <si>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</si>
  <si>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</si>
  <si>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</si>
  <si>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</si>
  <si>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</si>
  <si>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</si>
  <si>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</si>
  <si>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</si>
  <si>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</si>
  <si>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</si>
  <si>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</si>
  <si>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</si>
  <si>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</si>
  <si>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</si>
  <si>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</si>
  <si>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</si>
  <si>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</si>
  <si>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</si>
  <si>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</si>
  <si>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</si>
  <si>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</si>
  <si>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</si>
  <si>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</si>
  <si>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</si>
  <si>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</si>
  <si>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</si>
  <si>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</si>
  <si>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</si>
  <si>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</si>
  <si>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</si>
  <si>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</si>
  <si>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</si>
  <si>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</si>
  <si>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</si>
  <si>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</si>
  <si>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</si>
  <si>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</si>
  <si>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</si>
  <si>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</si>
  <si>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</si>
  <si>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</si>
  <si>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</si>
  <si>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</si>
  <si>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</si>
  <si>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</si>
  <si>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</si>
  <si>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</si>
  <si>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</si>
  <si>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</si>
  <si>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</si>
  <si>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</si>
  <si>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</si>
  <si>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</si>
  <si>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</si>
  <si>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</si>
  <si>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</si>
  <si>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</si>
  <si>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</si>
  <si>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</si>
  <si>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</si>
  <si>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</si>
  <si>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</si>
  <si>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</si>
  <si>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</si>
  <si>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</si>
  <si>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</si>
  <si>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</si>
  <si>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</si>
  <si>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</si>
  <si>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</si>
  <si>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</si>
  <si>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</si>
  <si>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</si>
  <si>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</si>
  <si>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</si>
  <si>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</si>
  <si>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</si>
  <si>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</si>
  <si>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</si>
  <si>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</si>
  <si>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</si>
  <si>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</si>
  <si>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</si>
  <si>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</si>
  <si>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</si>
  <si>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</si>
  <si>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</si>
  <si>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</si>
  <si>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</si>
  <si>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</si>
  <si>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</si>
  <si>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</si>
  <si>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</si>
  <si>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</si>
  <si>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</si>
  <si>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</si>
  <si>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</si>
  <si>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</si>
  <si>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</si>
  <si>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</si>
  <si>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</si>
  <si>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</si>
  <si>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</si>
  <si>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</si>
  <si>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</si>
  <si>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</si>
  <si>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</si>
  <si>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</si>
  <si>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</si>
  <si>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</si>
  <si>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</si>
  <si>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</si>
  <si>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</si>
  <si>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</si>
  <si>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</si>
  <si>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</si>
  <si>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</si>
  <si>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</si>
  <si>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</si>
  <si>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</si>
  <si>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</si>
  <si>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</si>
  <si>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</si>
  <si>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</si>
  <si>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</si>
  <si>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</si>
  <si>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</si>
  <si>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</si>
  <si>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</si>
  <si>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</si>
  <si>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</si>
  <si>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</si>
  <si>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</si>
  <si>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</si>
  <si>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</si>
  <si>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</si>
  <si>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</si>
  <si>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</si>
  <si>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</si>
  <si>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</si>
  <si>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</si>
  <si>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</si>
  <si>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</si>
  <si>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</si>
  <si>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</si>
  <si>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</si>
  <si>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</si>
  <si>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</si>
  <si>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</si>
  <si>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</si>
  <si>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</si>
  <si>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</si>
  <si>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</si>
  <si>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</si>
  <si>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</si>
  <si>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</si>
  <si>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</si>
  <si>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</si>
  <si>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</si>
  <si>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</si>
  <si>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</si>
  <si>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</si>
  <si>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</si>
  <si>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</si>
  <si>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</si>
  <si>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</si>
  <si>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</si>
  <si>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</si>
  <si>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</si>
  <si>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</si>
  <si>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</si>
  <si>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</si>
  <si>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</si>
  <si>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</si>
  <si>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</si>
  <si>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</si>
  <si>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</si>
  <si>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</si>
  <si>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</si>
  <si>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</si>
  <si>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</si>
  <si>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</si>
  <si>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</si>
  <si>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</si>
  <si>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</si>
  <si>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</si>
  <si>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</si>
  <si>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</si>
  <si>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</si>
  <si>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</si>
  <si>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</si>
  <si>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</si>
  <si>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</si>
  <si>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</si>
  <si>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</si>
  <si>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</si>
  <si>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</si>
  <si>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</si>
  <si>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</si>
  <si>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</si>
  <si>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</si>
  <si>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</si>
  <si>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</si>
  <si>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</si>
  <si>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</si>
  <si>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</si>
  <si>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</si>
  <si>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</si>
  <si>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</si>
  <si>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</si>
  <si>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</si>
  <si>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</si>
  <si>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</si>
  <si>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</si>
  <si>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</si>
  <si>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</si>
  <si>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</si>
  <si>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</si>
  <si>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</si>
  <si>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</si>
  <si>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</si>
  <si>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</si>
  <si>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</si>
  <si>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</si>
  <si>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</si>
  <si>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</si>
  <si>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</si>
  <si>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</si>
  <si>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</si>
  <si>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</si>
  <si>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</si>
  <si>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</si>
  <si>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</si>
  <si>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</si>
  <si>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</si>
  <si>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</si>
  <si>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</si>
  <si>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</si>
  <si>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</si>
  <si>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</si>
  <si>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</si>
  <si>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</si>
  <si>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</si>
  <si>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</si>
  <si>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</si>
  <si>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</si>
  <si>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</si>
  <si>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</si>
  <si>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</si>
  <si>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</si>
  <si>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</si>
  <si>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</si>
  <si>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</si>
  <si>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</si>
  <si>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</si>
  <si>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</si>
  <si>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</si>
  <si>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</si>
  <si>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</si>
  <si>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</si>
  <si>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</si>
  <si>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</si>
  <si>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</si>
  <si>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</si>
  <si>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</si>
  <si>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</si>
  <si>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</si>
  <si>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</si>
  <si>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</si>
  <si>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</si>
  <si>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</si>
  <si>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</si>
  <si>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</si>
  <si>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</si>
  <si>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</si>
  <si>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</si>
  <si>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</si>
  <si>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</si>
  <si>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</si>
  <si>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</si>
  <si>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</si>
  <si>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</si>
  <si>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</si>
  <si>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</si>
  <si>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</si>
  <si>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</si>
  <si>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</si>
  <si>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</si>
  <si>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</si>
  <si>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</si>
  <si>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</si>
  <si>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</si>
  <si>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</si>
  <si>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</si>
  <si>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</si>
  <si>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</si>
  <si>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</si>
  <si>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</si>
  <si>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</si>
  <si>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</si>
  <si>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</si>
  <si>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</si>
  <si>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</si>
  <si>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</si>
  <si>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</si>
  <si>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</si>
  <si>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</si>
  <si>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</si>
  <si>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</si>
  <si>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</si>
  <si>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</si>
  <si>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</si>
  <si>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</si>
  <si>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</si>
  <si>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</si>
  <si>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</si>
  <si>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</si>
  <si>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</si>
  <si>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</si>
  <si>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</si>
  <si>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</si>
  <si>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</si>
  <si>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</si>
  <si>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</si>
  <si>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</si>
  <si>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</si>
  <si>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</si>
  <si>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</si>
  <si>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</si>
  <si>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</si>
  <si>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</si>
  <si>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</si>
  <si>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</si>
  <si>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</si>
  <si>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</si>
  <si>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</si>
  <si>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</si>
  <si>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</si>
  <si>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</si>
  <si>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</si>
  <si>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</si>
  <si>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</si>
  <si>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</si>
  <si>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</si>
  <si>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</si>
  <si>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</si>
  <si>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</si>
  <si>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</si>
  <si>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</si>
  <si>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</si>
  <si>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</si>
  <si>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</si>
  <si>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</si>
  <si>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</si>
  <si>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</si>
  <si>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</si>
  <si>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</si>
  <si>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</si>
  <si>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</si>
  <si>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</si>
  <si>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</si>
  <si>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</si>
  <si>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</si>
  <si>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</si>
  <si>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</si>
  <si>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</si>
  <si>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</si>
  <si>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</si>
  <si>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</si>
  <si>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</si>
  <si>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</si>
  <si>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</si>
  <si>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</si>
  <si>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</si>
  <si>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</si>
  <si>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</si>
  <si>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</si>
  <si>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</si>
  <si>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</si>
  <si>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</si>
  <si>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</si>
  <si>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</si>
  <si>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</si>
  <si>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</si>
  <si>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</si>
  <si>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</si>
  <si>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</si>
  <si>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</si>
  <si>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</si>
  <si>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</si>
  <si>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</si>
  <si>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</si>
  <si>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</si>
  <si>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</si>
  <si>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</si>
  <si>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</si>
  <si>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</si>
  <si>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</si>
  <si>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</si>
  <si>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</si>
  <si>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</si>
  <si>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</si>
  <si>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</si>
  <si>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</si>
  <si>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</si>
  <si>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</si>
  <si>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</si>
  <si>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</si>
  <si>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</si>
  <si>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</si>
  <si>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</si>
  <si>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</si>
  <si>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</si>
  <si>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</si>
  <si>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</si>
  <si>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</si>
  <si>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</si>
  <si>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</si>
  <si>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</si>
  <si>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</si>
  <si>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</si>
  <si>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</si>
  <si>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</si>
  <si>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</si>
  <si>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</si>
  <si>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</si>
  <si>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</si>
  <si>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</si>
  <si>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</si>
  <si>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</si>
  <si>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</si>
  <si>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</si>
  <si>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</si>
  <si>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</si>
  <si>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</si>
  <si>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</si>
  <si>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</si>
  <si>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</si>
  <si>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</si>
  <si>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</si>
  <si>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</si>
  <si>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</si>
  <si>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</si>
  <si>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</si>
  <si>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</si>
  <si>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</si>
  <si>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</si>
  <si>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</si>
  <si>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</si>
  <si>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</si>
  <si>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</si>
  <si>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</si>
  <si>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</si>
  <si>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</si>
  <si>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</si>
  <si>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</si>
  <si>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</si>
  <si>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</si>
  <si>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</si>
  <si>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</si>
  <si>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</si>
  <si>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</si>
  <si>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</si>
  <si>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</si>
  <si>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</si>
  <si>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</si>
  <si>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</si>
  <si>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</si>
  <si>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</si>
  <si>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</si>
  <si>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</si>
  <si>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</si>
  <si>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</si>
  <si>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</si>
  <si>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</si>
  <si>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</si>
  <si>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</si>
  <si>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</si>
  <si>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</si>
  <si>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</si>
  <si>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</si>
  <si>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</si>
  <si>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</si>
  <si>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</si>
  <si>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</si>
  <si>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</si>
  <si>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</si>
  <si>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</si>
  <si>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</si>
  <si>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</si>
  <si>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</si>
  <si>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</si>
  <si>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</si>
  <si>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</si>
  <si>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</si>
  <si>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</si>
  <si>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</si>
  <si>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</si>
  <si>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</si>
  <si>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</si>
  <si>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</si>
  <si>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</si>
  <si>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</si>
  <si>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</si>
  <si>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</si>
  <si>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</si>
  <si>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</si>
  <si>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</si>
  <si>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</si>
  <si>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</si>
  <si>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</si>
  <si>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</si>
  <si>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</si>
  <si>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</si>
  <si>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</si>
  <si>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</si>
  <si>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</si>
  <si>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</si>
  <si>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</si>
  <si>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</si>
  <si>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</si>
  <si>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</si>
  <si>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</si>
  <si>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</si>
  <si>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</si>
  <si>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</si>
  <si>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</si>
  <si>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</si>
  <si>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</si>
  <si>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</si>
  <si>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</si>
  <si>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</si>
  <si>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</si>
  <si>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</si>
  <si>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</si>
  <si>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</si>
  <si>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</si>
  <si>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</si>
  <si>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</si>
  <si>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</si>
  <si>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</si>
  <si>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</si>
  <si>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</si>
  <si>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</si>
  <si>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</si>
  <si>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</si>
  <si>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</si>
  <si>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</si>
  <si>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</si>
  <si>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</si>
  <si>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</si>
  <si>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</si>
  <si>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</si>
  <si>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</si>
  <si>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</si>
  <si>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</si>
  <si>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</si>
  <si>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</si>
  <si>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</si>
  <si>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</si>
  <si>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</si>
  <si>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</si>
  <si>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</si>
  <si>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</si>
  <si>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</si>
  <si>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</si>
  <si>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</si>
  <si>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</si>
  <si>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</si>
  <si>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</si>
  <si>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</si>
  <si>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</si>
  <si>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</si>
  <si>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</si>
  <si>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</si>
  <si>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</si>
  <si>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</si>
  <si>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</si>
  <si>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</si>
  <si>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</si>
  <si>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</si>
  <si>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</si>
  <si>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</si>
  <si>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</si>
  <si>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</si>
  <si>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</si>
  <si>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</si>
  <si>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</si>
  <si>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</si>
  <si>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</si>
  <si>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</si>
  <si>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</si>
  <si>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</si>
  <si>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</si>
  <si>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</si>
  <si>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</si>
  <si>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</si>
  <si>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</si>
  <si>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</si>
  <si>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</si>
  <si>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</si>
  <si>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</si>
  <si>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</si>
  <si>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</si>
  <si>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</si>
  <si>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</si>
  <si>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</si>
  <si>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</si>
  <si>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</si>
  <si>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</si>
  <si>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</si>
  <si>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</si>
  <si>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</si>
  <si>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</si>
  <si>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</si>
  <si>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</si>
  <si>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</si>
  <si>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</si>
  <si>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</si>
  <si>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</si>
  <si>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</si>
  <si>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</si>
  <si>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</si>
  <si>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</si>
  <si>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</si>
  <si>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</si>
  <si>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</si>
  <si>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</si>
  <si>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</si>
  <si>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</si>
  <si>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</si>
  <si>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</si>
  <si>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</si>
  <si>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</si>
  <si>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</si>
  <si>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</si>
  <si>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</si>
  <si>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</si>
  <si>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</si>
  <si>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</si>
  <si>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</si>
  <si>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</si>
  <si>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</si>
  <si>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</si>
  <si>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</si>
  <si>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</si>
  <si>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</si>
  <si>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</si>
  <si>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</si>
  <si>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</si>
  <si>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</si>
  <si>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</si>
  <si>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</si>
  <si>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</si>
  <si>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</si>
  <si>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</si>
  <si>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</si>
  <si>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</si>
  <si>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</si>
  <si>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</si>
  <si>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</si>
  <si>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</si>
  <si>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</si>
  <si>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</si>
  <si>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</si>
  <si>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</si>
  <si>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</si>
  <si>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</si>
  <si>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</si>
  <si>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</si>
  <si>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</si>
  <si>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</si>
  <si>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</si>
  <si>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</si>
  <si>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</si>
  <si>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</si>
  <si>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</si>
  <si>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</si>
  <si>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</si>
  <si>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</si>
  <si>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</si>
  <si>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</si>
  <si>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</si>
  <si>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</si>
  <si>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</si>
  <si>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</si>
  <si>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</si>
  <si>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</si>
  <si>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</si>
  <si>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</si>
  <si>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</si>
  <si>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</si>
  <si>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</si>
  <si>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</si>
  <si>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</si>
  <si>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</si>
  <si>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</si>
  <si>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</si>
  <si>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</si>
  <si>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</si>
  <si>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</si>
  <si>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</si>
  <si>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</si>
  <si>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</si>
  <si>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</si>
  <si>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</si>
  <si>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</si>
  <si>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</si>
  <si>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</si>
  <si>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</si>
  <si>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</si>
  <si>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</si>
  <si>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</si>
  <si>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</si>
  <si>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</si>
  <si>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</si>
  <si>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</si>
  <si>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</si>
  <si>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</si>
  <si>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</si>
  <si>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</si>
  <si>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</si>
  <si>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</si>
  <si>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</si>
  <si>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</si>
  <si>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</si>
  <si>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</si>
  <si>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</si>
  <si>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</si>
  <si>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</si>
  <si>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</si>
  <si>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</si>
  <si>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</si>
  <si>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</si>
  <si>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</si>
  <si>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</si>
  <si>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</si>
  <si>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</si>
  <si>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</si>
  <si>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</si>
  <si>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</si>
  <si>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</si>
  <si>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</si>
  <si>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</si>
  <si>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</si>
  <si>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</si>
  <si>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</si>
  <si>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</si>
  <si>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</si>
  <si>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</si>
  <si>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</si>
  <si>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</si>
  <si>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</si>
  <si>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</si>
  <si>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</si>
  <si>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</si>
  <si>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</si>
  <si>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</si>
  <si>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</si>
  <si>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</si>
  <si>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</si>
  <si>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</si>
  <si>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</si>
  <si>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</si>
  <si>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</si>
  <si>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</si>
  <si>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</si>
  <si>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</si>
  <si>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</si>
  <si>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</si>
  <si>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</si>
  <si>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</si>
  <si>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</si>
  <si>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</si>
  <si>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</si>
  <si>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</si>
  <si>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</si>
  <si>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</si>
  <si>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</si>
  <si>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</si>
  <si>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</si>
  <si>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</si>
  <si>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</si>
  <si>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</si>
  <si>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</si>
  <si>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</si>
  <si>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</si>
  <si>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</si>
  <si>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</si>
  <si>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</si>
  <si>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</si>
  <si>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</si>
  <si>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</si>
  <si>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</si>
  <si>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</si>
  <si>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</si>
  <si>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</si>
  <si>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</si>
  <si>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</si>
  <si>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</si>
  <si>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</si>
  <si>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</si>
  <si>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</si>
  <si>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</si>
  <si>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</si>
  <si>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</si>
  <si>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</si>
  <si>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</si>
  <si>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</si>
  <si>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</si>
  <si>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</si>
  <si>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</si>
  <si>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</si>
  <si>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</si>
  <si>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</si>
  <si>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</si>
  <si>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</si>
  <si>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</si>
  <si>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</si>
  <si>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</si>
  <si>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</si>
  <si>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</si>
  <si>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</si>
  <si>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</si>
  <si>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</si>
  <si>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</si>
  <si>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</si>
  <si>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</si>
  <si>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</si>
  <si>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</si>
  <si>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</si>
  <si>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</si>
  <si>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</si>
  <si>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</si>
  <si>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</si>
  <si>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</si>
  <si>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</si>
  <si>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</si>
  <si>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</si>
  <si>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</si>
  <si>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</si>
  <si>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</si>
  <si>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</si>
  <si>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</si>
  <si>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</si>
  <si>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</si>
  <si>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</si>
  <si>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</si>
  <si>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</si>
  <si>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</si>
  <si>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</si>
  <si>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</si>
  <si>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</si>
  <si>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</si>
  <si>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</si>
  <si>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</si>
  <si>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</si>
  <si>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</si>
  <si>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</si>
  <si>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</si>
  <si>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</si>
  <si>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</si>
  <si>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</si>
  <si>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</si>
  <si>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</si>
  <si>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</si>
  <si>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</si>
  <si>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</si>
  <si>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</si>
  <si>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</si>
  <si>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</si>
  <si>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</si>
  <si>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</si>
  <si>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</si>
  <si>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</si>
  <si>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</si>
  <si>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</si>
  <si>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</si>
  <si>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</si>
  <si>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</si>
  <si>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</si>
  <si>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</si>
  <si>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</si>
  <si>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</si>
  <si>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</si>
  <si>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</si>
  <si>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</si>
  <si>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</si>
  <si>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</si>
  <si>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</si>
  <si>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</si>
  <si>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</si>
  <si>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</si>
  <si>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</si>
  <si>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</si>
  <si>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</si>
  <si>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</si>
  <si>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</si>
  <si>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</si>
  <si>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</si>
  <si>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</si>
  <si>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</si>
  <si>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</si>
  <si>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</si>
  <si>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</si>
  <si>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</si>
  <si>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</si>
  <si>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</si>
  <si>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</si>
  <si>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</si>
  <si>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</si>
  <si>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</si>
  <si>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</si>
  <si>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</si>
  <si>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</si>
  <si>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</si>
  <si>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</si>
  <si>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</si>
  <si>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</si>
  <si>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</si>
  <si>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</si>
  <si>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</si>
  <si>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</si>
  <si>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</si>
  <si>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</si>
  <si>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</si>
  <si>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</si>
  <si>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</si>
  <si>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</si>
  <si>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</si>
  <si>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</si>
  <si>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</si>
  <si>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</si>
  <si>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</si>
  <si>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</si>
  <si>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</si>
  <si>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</si>
  <si>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</si>
  <si>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</si>
  <si>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</si>
  <si>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</si>
  <si>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</si>
  <si>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</si>
  <si>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</si>
  <si>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</si>
  <si>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</si>
  <si>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</si>
  <si>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</si>
  <si>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</si>
  <si>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</si>
  <si>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</si>
  <si>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</si>
  <si>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</si>
  <si>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</si>
  <si>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</si>
  <si>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</si>
  <si>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</si>
  <si>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</si>
  <si>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</si>
  <si>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</si>
  <si>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</si>
  <si>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</si>
  <si>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</si>
  <si>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</si>
  <si>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</si>
  <si>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</si>
  <si>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</si>
  <si>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</si>
  <si>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</si>
  <si>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</si>
  <si>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</si>
  <si>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</si>
  <si>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</si>
  <si>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</si>
  <si>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</si>
  <si>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</si>
  <si>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</si>
  <si>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</si>
  <si>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</si>
  <si>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</si>
  <si>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</si>
  <si>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</si>
  <si>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</si>
  <si>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</si>
  <si>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</si>
  <si>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</si>
  <si>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</si>
  <si>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</si>
  <si>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</si>
  <si>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</si>
  <si>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</si>
  <si>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</si>
  <si>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</si>
  <si>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</si>
  <si>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</si>
  <si>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</si>
  <si>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</si>
  <si>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</si>
  <si>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</si>
  <si>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</si>
  <si>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</si>
  <si>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</si>
  <si>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</si>
  <si>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</si>
  <si>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</si>
  <si>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</si>
  <si>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</si>
  <si>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</si>
  <si>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</si>
  <si>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</si>
  <si>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</si>
  <si>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</si>
  <si>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</si>
  <si>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</si>
  <si>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</si>
  <si>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</si>
  <si>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</si>
  <si>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</si>
  <si>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</si>
  <si>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</si>
  <si>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</si>
  <si>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</si>
  <si>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</si>
  <si>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</si>
  <si>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</si>
  <si>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</si>
  <si>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</si>
  <si>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</si>
  <si>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</si>
  <si>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</si>
  <si>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</si>
  <si>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</si>
  <si>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</si>
  <si>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</si>
  <si>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</si>
  <si>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</si>
  <si>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</si>
  <si>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</si>
  <si>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</si>
  <si>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</si>
  <si>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</si>
  <si>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</si>
  <si>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</si>
  <si>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</si>
  <si>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</si>
  <si>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</si>
  <si>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</si>
  <si>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</si>
  <si>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</si>
  <si>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</si>
  <si>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</si>
  <si>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</si>
  <si>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</si>
  <si>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</si>
  <si>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</si>
  <si>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</si>
  <si>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</si>
  <si>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</si>
  <si>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</si>
  <si>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</si>
  <si>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</si>
  <si>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</si>
  <si>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</si>
  <si>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</si>
  <si>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</si>
  <si>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</si>
  <si>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</si>
  <si>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</si>
  <si>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</si>
  <si>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</si>
  <si>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</si>
  <si>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</si>
  <si>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</si>
  <si>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</si>
  <si>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</si>
  <si>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</si>
  <si>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</si>
  <si>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</si>
  <si>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</si>
  <si>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</si>
  <si>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</si>
  <si>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</si>
  <si>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</si>
  <si>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</si>
  <si>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</si>
  <si>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</si>
  <si>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</si>
  <si>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</si>
  <si>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</si>
  <si>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</si>
  <si>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</si>
  <si>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</si>
  <si>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</si>
  <si>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</si>
  <si>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</si>
  <si>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</si>
  <si>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</si>
  <si>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</si>
  <si>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</si>
  <si>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</si>
  <si>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</si>
  <si>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</si>
  <si>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</si>
  <si>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</si>
  <si>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</si>
  <si>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</si>
  <si>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</si>
  <si>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</si>
  <si>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</si>
  <si>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</si>
  <si>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</si>
  <si>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</si>
  <si>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</si>
  <si>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</si>
  <si>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</si>
  <si>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</si>
  <si>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</si>
  <si>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</si>
  <si>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</si>
  <si>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</si>
  <si>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</si>
  <si>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</si>
  <si>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</si>
  <si>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</si>
  <si>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</si>
  <si>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</si>
  <si>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</si>
  <si>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</si>
  <si>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</si>
  <si>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</si>
  <si>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</si>
  <si>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</si>
  <si>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</si>
  <si>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</si>
  <si>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</si>
  <si>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</si>
  <si>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</si>
  <si>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</si>
  <si>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</si>
  <si>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</si>
  <si>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</si>
  <si>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</si>
  <si>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</si>
  <si>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</si>
  <si>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</si>
  <si>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</si>
  <si>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</si>
  <si>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</si>
  <si>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</si>
  <si>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</si>
  <si>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</si>
  <si>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</si>
  <si>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</si>
  <si>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</si>
  <si>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</si>
  <si>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</si>
  <si>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</si>
  <si>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</si>
  <si>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</si>
  <si>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</si>
  <si>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</si>
  <si>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</si>
  <si>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</si>
  <si>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</si>
  <si>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</si>
  <si>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</si>
  <si>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</si>
  <si>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</si>
  <si>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</si>
  <si>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</si>
  <si>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</si>
  <si>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</si>
  <si>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</si>
  <si>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</si>
  <si>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</si>
  <si>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</si>
  <si>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</si>
  <si>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</si>
  <si>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</si>
  <si>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</si>
  <si>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</si>
  <si>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</si>
  <si>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</si>
  <si>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</si>
  <si>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</si>
  <si>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</si>
  <si>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</si>
  <si>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</si>
  <si>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</si>
  <si>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</si>
  <si>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</si>
  <si>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</si>
  <si>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</si>
  <si>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</si>
  <si>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</si>
  <si>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</si>
  <si>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</si>
  <si>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</si>
  <si>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</si>
  <si>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</si>
  <si>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</si>
  <si>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</si>
  <si>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</si>
  <si>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</si>
  <si>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</si>
  <si>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</si>
  <si>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</si>
  <si>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</si>
  <si>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</si>
  <si>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</si>
  <si>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</si>
  <si>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</si>
  <si>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</si>
  <si>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</si>
  <si>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</si>
  <si>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</si>
  <si>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</si>
  <si>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</si>
  <si>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</si>
  <si>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</si>
  <si>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</si>
  <si>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</si>
  <si>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</si>
  <si>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</si>
  <si>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</si>
  <si>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</si>
  <si>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</si>
  <si>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</si>
  <si>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</si>
  <si>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</si>
  <si>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</si>
  <si>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</si>
  <si>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</si>
  <si>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</si>
  <si>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</si>
  <si>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</si>
  <si>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</si>
  <si>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</si>
  <si>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</si>
  <si>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</si>
  <si>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</si>
  <si>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</si>
  <si>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</si>
  <si>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</si>
  <si>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</si>
  <si>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</si>
  <si>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</si>
  <si>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</si>
  <si>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</si>
  <si>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</si>
  <si>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</si>
  <si>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</si>
  <si>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</si>
  <si>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</si>
  <si>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</si>
  <si>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</si>
  <si>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</si>
  <si>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</si>
  <si>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</si>
  <si>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</si>
  <si>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</si>
  <si>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</si>
  <si>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</si>
  <si>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</si>
  <si>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</si>
  <si>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</si>
  <si>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</si>
  <si>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</si>
  <si>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</si>
  <si>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</si>
  <si>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</si>
  <si>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</si>
  <si>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</si>
  <si>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</si>
  <si>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</si>
  <si>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</si>
  <si>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</si>
  <si>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</si>
  <si>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</si>
  <si>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</si>
  <si>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</si>
  <si>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</si>
  <si>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</si>
  <si>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</si>
  <si>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</si>
  <si>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</si>
  <si>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</si>
  <si>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</si>
  <si>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</si>
  <si>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</si>
  <si>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</si>
  <si>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</si>
  <si>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</si>
  <si>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</si>
  <si>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</si>
  <si>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</si>
  <si>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</si>
  <si>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</si>
  <si>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</si>
  <si>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</si>
  <si>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</si>
  <si>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</si>
  <si>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</si>
  <si>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</si>
  <si>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</si>
  <si>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</si>
  <si>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</si>
  <si>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</si>
  <si>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</si>
  <si>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</si>
  <si>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</si>
  <si>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</si>
  <si>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</si>
  <si>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</si>
  <si>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</si>
  <si>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</si>
  <si>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</si>
  <si>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</si>
  <si>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</si>
  <si>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</si>
  <si>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</si>
  <si>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</si>
  <si>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</si>
  <si>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</si>
  <si>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</si>
  <si>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</si>
  <si>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</si>
  <si>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</si>
  <si>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</si>
  <si>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</si>
  <si>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</si>
  <si>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</si>
  <si>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</si>
  <si>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</si>
  <si>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</si>
  <si>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</si>
  <si>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</si>
  <si>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</si>
  <si>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</si>
  <si>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</si>
  <si>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</si>
  <si>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</si>
  <si>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</si>
  <si>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</si>
  <si>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</si>
  <si>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</si>
  <si>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</si>
  <si>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</si>
  <si>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</si>
  <si>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</si>
  <si>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</si>
  <si>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</si>
  <si>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</si>
  <si>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</si>
  <si>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</si>
  <si>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</si>
  <si>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</si>
  <si>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</si>
  <si>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</si>
  <si>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</si>
  <si>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</si>
  <si>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</si>
  <si>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</si>
  <si>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</si>
  <si>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</si>
  <si>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</si>
  <si>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</si>
  <si>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</si>
  <si>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</si>
  <si>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</si>
  <si>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</si>
  <si>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</si>
  <si>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</si>
  <si>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</si>
  <si>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</si>
  <si>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</si>
  <si>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</si>
  <si>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</si>
  <si>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</si>
  <si>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</si>
  <si>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</si>
  <si>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</si>
  <si>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</si>
  <si>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</si>
  <si>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</si>
  <si>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</si>
  <si>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</si>
  <si>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</si>
  <si>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</si>
  <si>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</si>
  <si>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</si>
  <si>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</si>
  <si>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</si>
  <si>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</si>
  <si>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</si>
  <si>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</si>
  <si>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</si>
  <si>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</si>
  <si>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</si>
  <si>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</si>
  <si>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</si>
  <si>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</si>
  <si>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</si>
  <si>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</si>
  <si>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</si>
  <si>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</si>
  <si>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</si>
  <si>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</si>
  <si>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</si>
  <si>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</si>
  <si>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</si>
  <si>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</si>
  <si>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</si>
  <si>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</si>
  <si>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</si>
  <si>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</si>
  <si>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</si>
  <si>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</si>
  <si>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</si>
  <si>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</si>
  <si>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</si>
  <si>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</si>
  <si>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</si>
  <si>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</si>
  <si>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</si>
  <si>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</si>
  <si>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</si>
  <si>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</si>
  <si>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</si>
  <si>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</si>
  <si>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</si>
  <si>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</si>
  <si>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</si>
  <si>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</si>
  <si>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</si>
  <si>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</si>
  <si>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</si>
  <si>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</si>
  <si>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</si>
  <si>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</si>
  <si>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</si>
  <si>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</si>
  <si>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</si>
  <si>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</si>
  <si>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</si>
  <si>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</si>
  <si>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</si>
  <si>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</si>
  <si>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</si>
  <si>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</si>
  <si>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</si>
  <si>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</si>
  <si>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</si>
  <si>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</si>
  <si>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</si>
  <si>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</si>
  <si>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</si>
  <si>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</si>
  <si>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</si>
  <si>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</si>
  <si>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</si>
  <si>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</si>
  <si>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</si>
  <si>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</si>
  <si>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</si>
  <si>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</si>
  <si>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</si>
  <si>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</si>
  <si>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</si>
  <si>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</si>
  <si>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</si>
  <si>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</si>
  <si>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</si>
  <si>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</si>
  <si>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</si>
  <si>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</si>
  <si>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</si>
  <si>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</si>
  <si>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</si>
  <si>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</si>
  <si>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</si>
  <si>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</si>
  <si>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</si>
  <si>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</si>
  <si>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</si>
  <si>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</si>
  <si>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</si>
  <si>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</si>
  <si>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</si>
  <si>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</si>
  <si>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</si>
  <si>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</si>
  <si>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</si>
  <si>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</si>
  <si>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</si>
  <si>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</si>
  <si>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</si>
  <si>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</si>
  <si>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</si>
  <si>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</si>
  <si>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</si>
  <si>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</si>
  <si>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</si>
  <si>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</si>
  <si>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</si>
  <si>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</si>
  <si>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</si>
  <si>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</si>
  <si>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</si>
  <si>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</si>
  <si>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</si>
  <si>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</si>
  <si>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</si>
  <si>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</si>
  <si>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</si>
  <si>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</si>
  <si>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</si>
  <si>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</si>
  <si>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</si>
  <si>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</si>
  <si>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</si>
  <si>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</si>
  <si>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</si>
  <si>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</si>
  <si>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</si>
  <si>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</si>
  <si>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</si>
  <si>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</si>
  <si>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</si>
  <si>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</si>
  <si>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</si>
  <si>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</si>
  <si>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</si>
  <si>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</si>
  <si>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</si>
  <si>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</si>
  <si>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</si>
  <si>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</si>
  <si>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</si>
  <si>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</si>
  <si>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</si>
  <si>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</si>
  <si>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</si>
  <si>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</si>
  <si>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</si>
  <si>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</si>
  <si>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</si>
  <si>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</si>
  <si>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</si>
  <si>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</si>
  <si>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</si>
  <si>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</si>
  <si>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</si>
  <si>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</si>
  <si>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</si>
  <si>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</si>
  <si>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</si>
  <si>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</si>
  <si>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</si>
  <si>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</si>
  <si>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</si>
  <si>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</si>
  <si>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</si>
  <si>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</si>
  <si>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</si>
  <si>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</si>
  <si>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</si>
  <si>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</si>
  <si>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</si>
  <si>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</si>
  <si>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</si>
  <si>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</si>
  <si>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</si>
  <si>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</si>
  <si>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</si>
  <si>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</si>
  <si>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</si>
  <si>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</si>
  <si>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</si>
  <si>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</si>
  <si>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</si>
  <si>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</si>
  <si>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</si>
  <si>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</si>
  <si>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</si>
  <si>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</si>
  <si>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</si>
  <si>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</si>
  <si>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</si>
  <si>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</si>
  <si>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</si>
  <si>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</si>
  <si>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</si>
  <si>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</si>
  <si>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</si>
  <si>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</si>
  <si>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</si>
  <si>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</si>
  <si>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</si>
  <si>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</si>
  <si>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</si>
  <si>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</si>
  <si>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</si>
  <si>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</si>
  <si>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</si>
  <si>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</si>
  <si>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</si>
  <si>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</si>
  <si>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</si>
  <si>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</si>
  <si>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</si>
  <si>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</si>
  <si>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</si>
  <si>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</si>
  <si>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</si>
  <si>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</si>
  <si>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</si>
  <si>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</si>
  <si>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</si>
  <si>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</si>
  <si>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</si>
  <si>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</si>
  <si>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</si>
  <si>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</si>
  <si>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</si>
  <si>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</si>
  <si>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</si>
  <si>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</si>
  <si>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</si>
  <si>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</si>
  <si>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</si>
  <si>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</si>
  <si>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</si>
  <si>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</si>
  <si>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</si>
  <si>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</si>
  <si>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</si>
  <si>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</si>
  <si>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</si>
  <si>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</si>
  <si>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</si>
  <si>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</si>
  <si>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</si>
  <si>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</si>
  <si>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</si>
  <si>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</si>
  <si>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</si>
  <si>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</si>
  <si>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</si>
  <si>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</si>
  <si>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</si>
  <si>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</si>
  <si>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</si>
  <si>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</si>
  <si>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</si>
  <si>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</si>
  <si>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</si>
  <si>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</si>
  <si>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</si>
  <si>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</si>
  <si>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</si>
  <si>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</si>
  <si>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</si>
  <si>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</si>
  <si>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</si>
  <si>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</si>
  <si>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</si>
  <si>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</si>
  <si>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</si>
  <si>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</si>
  <si>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</si>
  <si>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</si>
  <si>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</si>
  <si>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</si>
  <si>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</si>
  <si>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</si>
  <si>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</si>
  <si>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</si>
  <si>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</si>
  <si>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</si>
  <si>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</si>
  <si>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</si>
  <si>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</si>
  <si>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</si>
  <si>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</si>
  <si>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</si>
  <si>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</si>
  <si>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</si>
  <si>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</si>
  <si>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</si>
  <si>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</si>
  <si>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</si>
  <si>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</si>
  <si>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</si>
  <si>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</si>
  <si>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</si>
  <si>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</si>
  <si>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</si>
  <si>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</si>
  <si>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</si>
  <si>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</si>
  <si>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</si>
  <si>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</si>
  <si>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</si>
  <si>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</si>
  <si>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</si>
  <si>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</si>
  <si>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</si>
  <si>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</si>
  <si>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</si>
  <si>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</si>
  <si>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</si>
  <si>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</si>
  <si>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</si>
  <si>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</si>
  <si>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</si>
  <si>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</si>
  <si>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</si>
  <si>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</si>
  <si>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</si>
  <si>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</si>
  <si>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</si>
  <si>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</si>
  <si>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</si>
  <si>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</si>
  <si>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</si>
  <si>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</si>
  <si>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</si>
  <si>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</si>
  <si>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</si>
  <si>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</si>
  <si>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</si>
  <si>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</si>
  <si>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</si>
  <si>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</si>
  <si>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</si>
  <si>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</si>
  <si>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</si>
  <si>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</si>
  <si>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</si>
  <si>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</si>
  <si>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</si>
  <si>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</si>
  <si>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</si>
  <si>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</si>
  <si>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</si>
  <si>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</si>
  <si>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</si>
  <si>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</si>
  <si>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</si>
  <si>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</si>
  <si>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</si>
  <si>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</si>
  <si>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</si>
  <si>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</si>
  <si>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</si>
  <si>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</si>
  <si>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</si>
  <si>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</si>
  <si>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</si>
  <si>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</si>
  <si>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</si>
  <si>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</si>
  <si>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</si>
  <si>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</si>
  <si>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</si>
  <si>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</si>
  <si>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</si>
  <si>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</si>
  <si>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</si>
  <si>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</si>
  <si>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</si>
  <si>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</si>
  <si>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</si>
  <si>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</si>
  <si>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</si>
  <si>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</si>
  <si>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</si>
  <si>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</si>
  <si>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</si>
  <si>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</si>
  <si>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</si>
  <si>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</si>
  <si>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</si>
  <si>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</si>
  <si>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</si>
  <si>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</si>
  <si>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</si>
  <si>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</si>
  <si>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</si>
  <si>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</si>
  <si>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</si>
  <si>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</si>
  <si>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</si>
  <si>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</si>
  <si>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</si>
  <si>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</si>
  <si>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</si>
  <si>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</si>
  <si>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</si>
  <si>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</si>
  <si>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</si>
  <si>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</si>
  <si>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</si>
  <si>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</si>
  <si>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</si>
  <si>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</si>
  <si>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</si>
  <si>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</si>
  <si>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</si>
  <si>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</si>
  <si>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</si>
  <si>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</si>
  <si>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</si>
  <si>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</si>
  <si>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</si>
  <si>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</si>
  <si>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</si>
  <si>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</si>
  <si>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</si>
  <si>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</si>
  <si>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</si>
  <si>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</si>
  <si>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</si>
  <si>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</si>
  <si>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</si>
  <si>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</si>
  <si>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</si>
  <si>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</si>
  <si>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</si>
  <si>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</si>
  <si>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</si>
  <si>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</si>
  <si>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</si>
  <si>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</si>
  <si>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</si>
  <si>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</si>
  <si>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</si>
  <si>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</si>
  <si>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</si>
  <si>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</si>
  <si>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</si>
  <si>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</si>
  <si>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</si>
  <si>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</si>
  <si>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</si>
  <si>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</si>
  <si>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</si>
  <si>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</si>
  <si>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</si>
  <si>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</si>
  <si>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</si>
  <si>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</si>
  <si>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</si>
  <si>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</si>
  <si>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</si>
  <si>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</si>
  <si>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</si>
  <si>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</si>
  <si>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</si>
  <si>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</si>
  <si>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</si>
  <si>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</si>
  <si>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</si>
  <si>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</si>
  <si>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</si>
  <si>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</si>
  <si>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</si>
  <si>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</si>
  <si>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</si>
  <si>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</si>
  <si>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</si>
  <si>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</si>
  <si>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</si>
  <si>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</si>
  <si>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</si>
  <si>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</si>
  <si>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</si>
  <si>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</si>
  <si>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</si>
  <si>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</si>
  <si>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</si>
  <si>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</si>
  <si>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</si>
  <si>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</si>
  <si>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</si>
  <si>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</si>
  <si>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</si>
  <si>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</si>
  <si>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</si>
  <si>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</si>
  <si>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</si>
  <si>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</si>
  <si>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</si>
  <si>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</si>
  <si>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</si>
  <si>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</si>
  <si>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</si>
  <si>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</si>
  <si>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</si>
  <si>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</si>
  <si>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</si>
  <si>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</si>
  <si>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</si>
  <si>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</si>
  <si>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</si>
  <si>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</si>
  <si>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</si>
  <si>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</si>
  <si>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</si>
  <si>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</si>
  <si>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</si>
  <si>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</si>
  <si>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</si>
  <si>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</si>
  <si>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</si>
  <si>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</si>
  <si>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</si>
  <si>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</si>
  <si>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</si>
  <si>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企业</t>
  </si>
  <si>
    <t>一致</t>
  </si>
  <si>
    <t>符合</t>
  </si>
  <si>
    <t>工业</t>
    <phoneticPr fontId="6" type="noConversion"/>
  </si>
  <si>
    <t>否</t>
  </si>
  <si>
    <t>工业项目</t>
  </si>
  <si>
    <t>无</t>
  </si>
  <si>
    <t>场地平整</t>
  </si>
  <si>
    <t>是</t>
  </si>
  <si>
    <t>车间</t>
    <phoneticPr fontId="3" type="noConversion"/>
  </si>
  <si>
    <t>厂房</t>
  </si>
  <si>
    <t>厂房</t>
    <phoneticPr fontId="3" type="noConversion"/>
  </si>
  <si>
    <t>地上</t>
  </si>
  <si>
    <t>地下</t>
  </si>
  <si>
    <t>厂房</t>
    <phoneticPr fontId="7" type="noConversion"/>
  </si>
  <si>
    <t>不动产收益法</t>
  </si>
  <si>
    <t>与级别开发程度不一致</t>
  </si>
  <si>
    <t>中心城区</t>
  </si>
  <si>
    <t>较好</t>
  </si>
  <si>
    <t>一般</t>
  </si>
  <si>
    <t>较差</t>
  </si>
  <si>
    <t>钢</t>
  </si>
  <si>
    <t>已全部缴纳</t>
  </si>
  <si>
    <t>剩余法-待开发</t>
  </si>
  <si>
    <t>宗地容积率</t>
  </si>
  <si>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</si>
  <si>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</si>
  <si>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</si>
  <si>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</si>
  <si>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</si>
  <si>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</si>
  <si>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</si>
  <si>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</si>
  <si>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</si>
  <si>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</si>
  <si>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</si>
  <si>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</si>
  <si>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</si>
  <si>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</si>
  <si>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</si>
  <si>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</si>
  <si>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</si>
  <si>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</si>
  <si>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</si>
  <si>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</si>
  <si>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</si>
  <si>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</si>
  <si>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</si>
  <si>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</si>
  <si>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</si>
  <si>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</si>
  <si>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</si>
  <si>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</si>
  <si>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</si>
  <si>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</si>
  <si>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</si>
  <si>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</si>
  <si>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</si>
  <si>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</si>
  <si>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</si>
  <si>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</si>
  <si>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</si>
  <si>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</si>
  <si>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</si>
  <si>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</si>
  <si>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</si>
  <si>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</si>
  <si>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</si>
  <si>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</si>
  <si>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</si>
  <si>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</si>
  <si>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</si>
  <si>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</si>
  <si>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</si>
  <si>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</si>
  <si>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</si>
  <si>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</si>
  <si>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</si>
  <si>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</si>
  <si>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</si>
  <si>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</si>
  <si>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</si>
  <si>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</si>
  <si>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</si>
  <si>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</si>
  <si>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</si>
  <si>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</si>
  <si>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</si>
  <si>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</si>
  <si>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</si>
  <si>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</si>
  <si>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</si>
  <si>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</si>
  <si>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</si>
  <si>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</si>
  <si>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</si>
  <si>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</si>
  <si>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</si>
  <si>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</si>
  <si>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</si>
  <si>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</si>
  <si>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</si>
  <si>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</si>
  <si>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</si>
  <si>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</si>
  <si>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</si>
  <si>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</si>
  <si>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</si>
  <si>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</si>
  <si>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</si>
  <si>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</si>
  <si>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</si>
  <si>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</si>
  <si>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</si>
  <si>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</si>
  <si>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</si>
  <si>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</si>
  <si>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</si>
  <si>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</si>
  <si>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</si>
  <si>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</si>
  <si>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</si>
  <si>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</si>
  <si>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</si>
  <si>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</si>
  <si>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</si>
  <si>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</si>
  <si>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</si>
  <si>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</si>
  <si>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</si>
  <si>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</si>
  <si>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</si>
  <si>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</si>
  <si>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</si>
  <si>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</si>
  <si>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</si>
  <si>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</si>
  <si>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</si>
  <si>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</si>
  <si>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</si>
  <si>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</si>
  <si>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</si>
  <si>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</si>
  <si>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</si>
  <si>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</si>
  <si>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</si>
  <si>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</si>
  <si>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</si>
  <si>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</si>
  <si>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</si>
  <si>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</si>
  <si>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</si>
  <si>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</si>
  <si>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</si>
  <si>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</si>
  <si>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</si>
  <si>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</si>
  <si>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</si>
  <si>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</si>
  <si>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</si>
  <si>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</si>
  <si>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</si>
  <si>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</si>
  <si>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</si>
  <si>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</si>
  <si>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</si>
  <si>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</si>
  <si>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</si>
  <si>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</si>
  <si>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</si>
  <si>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</si>
  <si>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</si>
  <si>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</si>
  <si>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</si>
  <si>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</si>
  <si>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</si>
  <si>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</si>
  <si>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</si>
  <si>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</si>
  <si>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</si>
  <si>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</si>
  <si>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</si>
  <si>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</si>
  <si>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</si>
  <si>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</si>
  <si>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</si>
  <si>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</si>
  <si>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</si>
  <si>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</si>
  <si>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</si>
  <si>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</si>
  <si>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</si>
  <si>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</si>
  <si>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</si>
  <si>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</si>
  <si>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</si>
  <si>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</si>
  <si>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</si>
  <si>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</si>
  <si>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</si>
  <si>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</si>
  <si>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</si>
  <si>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</si>
  <si>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</si>
  <si>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</si>
  <si>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</si>
  <si>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</si>
  <si>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</si>
  <si>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</si>
  <si>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</si>
  <si>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</si>
  <si>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</si>
  <si>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</si>
  <si>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</si>
  <si>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</si>
  <si>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</si>
  <si>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</si>
  <si>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</si>
  <si>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</si>
  <si>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</si>
  <si>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</si>
  <si>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</si>
  <si>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</si>
  <si>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</si>
  <si>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</si>
  <si>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</si>
  <si>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</si>
  <si>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28" type="noConversion"/>
  </si>
  <si>
    <t>楼面地价</t>
  </si>
  <si>
    <t>高速路</t>
  </si>
  <si>
    <t>城市快速路</t>
  </si>
  <si>
    <t>城市主干道</t>
  </si>
  <si>
    <t>城市次干道</t>
  </si>
  <si>
    <t>支路</t>
  </si>
  <si>
    <t>五通</t>
  </si>
  <si>
    <t>四通</t>
  </si>
  <si>
    <t>三通</t>
  </si>
  <si>
    <t>正常</t>
  </si>
  <si>
    <t>七通</t>
  </si>
  <si>
    <t>比较法-工业</t>
  </si>
  <si>
    <t>项目局部</t>
  </si>
  <si>
    <t>土地</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</si>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</sst>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0" fontId="0" fillId="24" borderId="0" xfId="0" applyNumberFormat="1" applyFill="1" applyAlignment="1"/>
    <xf numFmtId="0" fontId="0" fillId="24" borderId="0" xfId="0" applyNumberFormat="1" applyFill="1" applyAlignment="1">
      <alignment horizontal="left"/>
    </xf>
    <xf numFmtId="14" fontId="0" fillId="24" borderId="0" xfId="0" applyNumberFormat="1" applyFill="1" applyAlignment="1"/>
    <xf numFmtId="14" fontId="0" fillId="0" borderId="0" xfId="0" applyNumberFormat="1" applyAlignment="1"/>
    <xf numFmtId="0" fontId="0" fillId="8" borderId="0" xfId="0" applyNumberFormat="1" applyFill="1" applyAlignment="1"/>
    <xf numFmtId="0" fontId="0" fillId="8" borderId="0" xfId="0" applyNumberFormat="1" applyFill="1" applyAlignment="1">
      <alignment horizontal="left"/>
    </xf>
    <xf numFmtId="14" fontId="0" fillId="8" borderId="0" xfId="0" applyNumberFormat="1" applyFill="1" applyAlignment="1"/>
    <xf numFmtId="0" fontId="140" fillId="0" borderId="6"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178" fontId="154" fillId="0" borderId="2" xfId="2" applyNumberFormat="1" applyFont="1" applyFill="1" applyBorder="1" applyAlignment="1" applyProtection="1">
      <alignment horizontal="center" vertical="center"/>
      <protection locked="0"/>
    </xf>
    <xf numFmtId="0" fontId="149" fillId="0" borderId="11" xfId="0" applyFont="1" applyBorder="1" applyAlignment="1" applyProtection="1">
      <alignment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4/&#39033;&#30446;/2024-1-0236-&#20013;&#40718;&#21271;&#36335;&#24037;&#19994;/&#35745;&#31639;&#34920;-&#24503;&#36890;&#21270;&#32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8">
          <cell r="C18">
            <v>1.4167000000000001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2024年3月27日（评估专业人员勘察现场之日）</v>
      </c>
    </row>
    <row r="11" spans="1:55" s="2355" customFormat="1">
      <c r="A11" s="2356" t="s">
        <v>1947</v>
      </c>
      <c r="B11" s="2357" t="str">
        <f>'预评函-1'!A14</f>
        <v>根据《国有土地使用证》[]，本次评估估价对象证载（地类）用途为工业。</v>
      </c>
    </row>
    <row r="12" spans="1:55" s="2355" customFormat="1">
      <c r="A12" s="2356" t="s">
        <v>1948</v>
      </c>
      <c r="B12" s="2357" t="str">
        <f>'预评函-1'!A15</f>
        <v>本次评估设定用途即为证载用途工业。</v>
      </c>
    </row>
    <row r="13" spans="1:55" s="2355" customFormat="1">
      <c r="A13" s="2356" t="s">
        <v>1949</v>
      </c>
      <c r="B13" s="2357" t="str">
        <f>'预评函-1'!A17</f>
        <v>根据委托估价方介绍及评估专业人员现场勘查，本次评估估价对象实际土地开发程度为红线外市政基础设施达“七通”（即通路、通电、通讯、通上水、通下水、平整、）、宗地红线内场地平整。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根据《国有土地使用证》[]，估价对象（分摊）出让国有建设用地使用权面积为4259.94平方米。根据《建设工程规划许可证》[]、《出让合同》[]，估价对象规划建筑面积为6342.01平方米。</v>
      </c>
    </row>
    <row r="16" spans="1:55" s="2355" customFormat="1">
      <c r="A16" s="2356" t="s">
        <v>1951</v>
      </c>
      <c r="B16" s="2357" t="str">
        <f>'预评函-1'!A22</f>
        <v>本次估价对象为出让国有建设用地使用权，《国有土地使用证》[]证载土地终止日期为工业2063年1月21日。截至估价期日，出让国有建设用地使用权剩余土地使用年限为。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估价期日：2024年3月27日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t="str">
        <f>'预评函-2'!E5</f>
        <v>工业</v>
      </c>
      <c r="AV32" s="2361"/>
    </row>
    <row r="33" spans="1:2">
      <c r="A33" s="2356" t="s">
        <v>1995</v>
      </c>
      <c r="B33" s="2357">
        <f>'预评函-2'!F5</f>
        <v>258</v>
      </c>
    </row>
    <row r="34" spans="1:2">
      <c r="A34" s="2356" t="s">
        <v>1996</v>
      </c>
      <c r="B34" s="2357" t="str">
        <f>'预评函-2'!G5</f>
        <v>工业</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红线外七通、宗地红线内场地平整</v>
      </c>
    </row>
    <row r="39" spans="1:2">
      <c r="A39" s="2356" t="s">
        <v>2001</v>
      </c>
      <c r="B39" s="2357" t="str">
        <f>'预评函-2'!L5</f>
        <v>红线外七通、宗地红线内场地平整</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4259.9399999999996</v>
      </c>
    </row>
    <row r="44" spans="1:2">
      <c r="A44" s="2356" t="s">
        <v>2022</v>
      </c>
      <c r="B44" s="2357" t="str">
        <f>'预评函-2'!O3</f>
        <v>规划建筑面积/㎡</v>
      </c>
    </row>
    <row r="45" spans="1:2">
      <c r="A45" s="2356" t="s">
        <v>2004</v>
      </c>
      <c r="B45" s="2357">
        <f>'预评函-2'!O5</f>
        <v>6342.01</v>
      </c>
    </row>
    <row r="46" spans="1:2">
      <c r="A46" s="2356" t="s">
        <v>2005</v>
      </c>
      <c r="B46" s="2357">
        <f ca="1">'预评函-2'!P5</f>
        <v>1615</v>
      </c>
    </row>
    <row r="47" spans="1:2">
      <c r="A47" s="2356" t="s">
        <v>2006</v>
      </c>
      <c r="B47" s="2357">
        <f ca="1">'预评函-2'!Q5</f>
        <v>1085</v>
      </c>
    </row>
    <row r="48" spans="1:2">
      <c r="A48" s="2356" t="s">
        <v>2007</v>
      </c>
      <c r="B48" s="2357">
        <f ca="1">'预评函-2'!R5</f>
        <v>688</v>
      </c>
    </row>
    <row r="49" spans="1:2">
      <c r="A49" s="2356" t="s">
        <v>2023</v>
      </c>
      <c r="B49" s="2357" t="str">
        <f>'预评函-2'!A6</f>
        <v>抵押价格</v>
      </c>
    </row>
    <row r="50" spans="1:2">
      <c r="A50" s="2356" t="s">
        <v>2008</v>
      </c>
      <c r="B50" s="2357">
        <f ca="1">'预评函-2'!R6</f>
        <v>688</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2.基础设施条件：估价对象实际开发程度为红线外七通、宗地红线内场地平整；本次评估设定开发程度为红线外七通、宗地红线内场地平整。</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45378</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-124.32</v>
      </c>
      <c r="D5" s="3294">
        <f>IF(ISERROR(ROUND(POWER(1+E5,A5-C5)*(POWER(1+E5,C5)-1)/(POWER(1+E5,A5)-1),3)),0,ROUND(POWER(1+E5,A5-C5)*(POWER(1+E5,C5)-1)/(POWER(1+E5,A5)-1),4))</f>
        <v>0</v>
      </c>
      <c r="E5" s="3295"/>
      <c r="F5" s="3288"/>
    </row>
    <row r="6" spans="1:6">
      <c r="A6" s="3293"/>
      <c r="B6" s="3290"/>
      <c r="C6" s="3292">
        <f>ROUNDDOWN(MIN((B6-B3)/365,A6),2)</f>
        <v>-124.32</v>
      </c>
      <c r="D6" s="3294">
        <f>IF(ISERROR(ROUND(POWER(1+E6,A6-C6)*(POWER(1+E6,C6)-1)/(POWER(1+E6,A6)-1),3)),0,ROUND(POWER(1+E6,A6-C6)*(POWER(1+E6,C6)-1)/(POWER(1+E6,A6)-1),4))</f>
        <v>0</v>
      </c>
      <c r="E6" s="3295"/>
      <c r="F6" s="3288"/>
    </row>
    <row r="7" spans="1:6">
      <c r="A7" s="3293"/>
      <c r="B7" s="3290"/>
      <c r="C7" s="3292">
        <f>ROUNDDOWN(MIN((B7-B3)/365,A7),2)</f>
        <v>-124.32</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t="e">
        <f>ROUND(B17*F11/F12,2)</f>
        <v>#DIV/0!</v>
      </c>
      <c r="C18" s="3301" t="e">
        <f>ROUND(F11/F12,4)</f>
        <v>#DIV/0!</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44" sqref="E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06" t="str">
        <f>IF(B10="北京市","北京市",C10)&amp;F10&amp;A17&amp;"国有建设用地使用权"&amp;B9&amp;"预评估"</f>
        <v>北京市出让国有建设用地使用权抵押价格预评估</v>
      </c>
      <c r="C1" s="3707"/>
      <c r="D1" s="3707"/>
      <c r="E1" s="3707"/>
      <c r="F1" s="3707"/>
      <c r="G1" s="3707"/>
      <c r="H1" s="3707"/>
      <c r="I1" s="3708"/>
      <c r="J1" s="2815"/>
      <c r="K1" s="2106"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v>45378</v>
      </c>
      <c r="C3" s="2738" t="s">
        <v>1513</v>
      </c>
      <c r="D3" s="1464">
        <f>B3</f>
        <v>45378</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3217</v>
      </c>
      <c r="C8" s="1473"/>
      <c r="D8" s="3712" t="s">
        <v>1464</v>
      </c>
      <c r="E8" s="1627" t="s">
        <v>3266</v>
      </c>
      <c r="F8" s="1474"/>
      <c r="G8" s="2816"/>
      <c r="H8" s="2816"/>
      <c r="I8" s="2819"/>
      <c r="J8" s="2815"/>
      <c r="K8" s="2798"/>
      <c r="L8" s="2794"/>
      <c r="M8" s="2794"/>
      <c r="N8" s="2795"/>
      <c r="O8" s="2796"/>
      <c r="P8" s="2795"/>
      <c r="Q8" s="2795"/>
      <c r="R8" s="2795"/>
      <c r="S8" s="2795"/>
      <c r="T8" s="2795"/>
      <c r="U8" s="2795"/>
    </row>
    <row r="9" spans="1:21" ht="15" thickBot="1">
      <c r="A9" s="2740" t="s">
        <v>1463</v>
      </c>
      <c r="B9" s="1475" t="s">
        <v>3266</v>
      </c>
      <c r="C9" s="1476"/>
      <c r="D9" s="3713"/>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09" t="s">
        <v>3270</v>
      </c>
      <c r="C12" s="3710"/>
      <c r="D12" s="3711"/>
      <c r="E12" s="1493" t="s">
        <v>1579</v>
      </c>
      <c r="F12" s="3727" t="s">
        <v>2163</v>
      </c>
      <c r="G12" s="3728"/>
      <c r="H12" s="3728"/>
      <c r="I12" s="3729"/>
      <c r="J12" s="2815"/>
      <c r="K12" s="2798"/>
      <c r="L12" s="2794"/>
      <c r="M12" s="2794"/>
      <c r="N12" s="2795"/>
      <c r="O12" s="2796"/>
      <c r="P12" s="2795"/>
      <c r="Q12" s="2795"/>
      <c r="R12" s="2795"/>
      <c r="S12" s="2795"/>
      <c r="T12" s="2795"/>
      <c r="U12" s="2795"/>
    </row>
    <row r="13" spans="1:21">
      <c r="A13" s="1484" t="s">
        <v>1577</v>
      </c>
      <c r="B13" s="3709" t="s">
        <v>3270</v>
      </c>
      <c r="C13" s="3710"/>
      <c r="D13" s="3711"/>
      <c r="E13" s="1493" t="s">
        <v>1579</v>
      </c>
      <c r="F13" s="3727" t="s">
        <v>2164</v>
      </c>
      <c r="G13" s="3728"/>
      <c r="H13" s="3728"/>
      <c r="I13" s="3729"/>
      <c r="J13" s="2815"/>
      <c r="K13" s="2798"/>
      <c r="L13" s="2794"/>
      <c r="M13" s="2794"/>
      <c r="N13" s="2795"/>
      <c r="O13" s="2796"/>
      <c r="P13" s="2795"/>
      <c r="Q13" s="2795"/>
      <c r="R13" s="2795"/>
      <c r="S13" s="2795"/>
      <c r="T13" s="2795"/>
      <c r="U13" s="2795"/>
    </row>
    <row r="14" spans="1:21">
      <c r="A14" s="1463" t="s">
        <v>1580</v>
      </c>
      <c r="B14" s="1493"/>
      <c r="C14" s="1628" t="s">
        <v>3268</v>
      </c>
      <c r="D14" s="1526" t="str">
        <f>IF(C14="不一致","是否符合证载地类范围","")</f>
        <v/>
      </c>
      <c r="E14" s="1493"/>
      <c r="F14" s="1575" t="s">
        <v>3269</v>
      </c>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ht="28.5">
      <c r="A16" s="2743" t="s">
        <v>1467</v>
      </c>
      <c r="B16" s="1493" t="s">
        <v>1468</v>
      </c>
      <c r="C16" s="3281"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工业2063年1月21日</v>
      </c>
      <c r="T16" s="1493" t="str">
        <f>IF(OR(S16="",U16=""),"","、")</f>
        <v/>
      </c>
      <c r="U16" s="2107" t="str">
        <f>IF(I17="","",I16&amp;TEXT(I17,"yyyy年m月d日;;"))</f>
        <v/>
      </c>
    </row>
    <row r="17" spans="1:21">
      <c r="A17" s="3335" t="s">
        <v>2745</v>
      </c>
      <c r="B17" s="2744" t="s">
        <v>1473</v>
      </c>
      <c r="C17" s="3334"/>
      <c r="D17" s="3334"/>
      <c r="E17" s="3334"/>
      <c r="F17" s="3334"/>
      <c r="G17" s="3334"/>
      <c r="H17" s="3334">
        <v>59557</v>
      </c>
      <c r="I17" s="3334"/>
      <c r="J17" s="2815"/>
      <c r="K17" s="2793" t="str">
        <f>CONCATENATE(K16,L16,M16,N16,O16,P16,Q16,R16,S16,T16,,U16)</f>
        <v>工业2063年1月21日</v>
      </c>
      <c r="L17" s="2794"/>
      <c r="M17" s="2794"/>
      <c r="N17" s="2795"/>
      <c r="O17" s="2796"/>
      <c r="P17" s="2795"/>
      <c r="Q17" s="2795"/>
      <c r="R17" s="2795"/>
      <c r="S17" s="2795"/>
      <c r="T17" s="2795"/>
      <c r="U17" s="2795"/>
    </row>
    <row r="18" spans="1:21">
      <c r="A18" s="1551"/>
      <c r="B18" s="2744" t="s">
        <v>1474</v>
      </c>
      <c r="C18" s="1481"/>
      <c r="D18" s="1481"/>
      <c r="E18" s="1481"/>
      <c r="F18" s="1481"/>
      <c r="G18" s="1481"/>
      <c r="H18" s="1481">
        <v>50</v>
      </c>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38.840000000000003</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24"/>
      <c r="E20" s="3725"/>
      <c r="F20" s="3725"/>
      <c r="G20" s="3725"/>
      <c r="H20" s="3725"/>
      <c r="I20" s="3726"/>
      <c r="J20" s="2815"/>
      <c r="K20" s="2798"/>
      <c r="L20" s="2794"/>
      <c r="M20" s="2794"/>
      <c r="N20" s="2795"/>
      <c r="O20" s="2796"/>
      <c r="P20" s="2795"/>
      <c r="Q20" s="2795"/>
      <c r="R20" s="2795"/>
      <c r="S20" s="2795"/>
      <c r="T20" s="2795"/>
      <c r="U20" s="2795"/>
    </row>
    <row r="21" spans="1:21">
      <c r="A21" s="1551" t="s">
        <v>1476</v>
      </c>
      <c r="B21" s="1552" t="s">
        <v>1477</v>
      </c>
      <c r="C21" s="1547">
        <f>'数据-汇总表'!E3</f>
        <v>6342.01</v>
      </c>
      <c r="D21" s="1548" t="s">
        <v>1478</v>
      </c>
      <c r="E21" s="3714" t="s">
        <v>1516</v>
      </c>
      <c r="F21" s="3715"/>
      <c r="G21" s="3715"/>
      <c r="H21" s="3715"/>
      <c r="I21" s="3716"/>
      <c r="J21" s="2815"/>
      <c r="K21" s="2798"/>
      <c r="L21" s="2794"/>
      <c r="M21" s="2794"/>
      <c r="N21" s="2795"/>
      <c r="O21" s="2796"/>
      <c r="P21" s="2795"/>
      <c r="Q21" s="2795"/>
      <c r="R21" s="2795"/>
      <c r="S21" s="2795"/>
      <c r="T21" s="2795"/>
      <c r="U21" s="2795"/>
    </row>
    <row r="22" spans="1:21">
      <c r="A22" s="2555" t="s">
        <v>877</v>
      </c>
      <c r="B22" s="1463" t="s">
        <v>1479</v>
      </c>
      <c r="C22" s="1483">
        <f>'数据-汇总表'!D3</f>
        <v>4259.9399999999996</v>
      </c>
      <c r="D22" s="1484" t="s">
        <v>1478</v>
      </c>
      <c r="E22" s="3714" t="s">
        <v>2165</v>
      </c>
      <c r="F22" s="3715"/>
      <c r="G22" s="3715"/>
      <c r="H22" s="3715"/>
      <c r="I22" s="3716"/>
      <c r="J22" s="2815"/>
      <c r="K22" s="2798"/>
      <c r="L22" s="2794"/>
      <c r="M22" s="2794"/>
      <c r="N22" s="2795"/>
      <c r="O22" s="2796"/>
      <c r="P22" s="2795"/>
      <c r="Q22" s="2795"/>
      <c r="R22" s="2795"/>
      <c r="S22" s="2795"/>
      <c r="T22" s="2795"/>
      <c r="U22" s="2795"/>
    </row>
    <row r="23" spans="1:21" ht="29.25" thickBot="1">
      <c r="A23" s="1553" t="s">
        <v>1480</v>
      </c>
      <c r="B23" s="1494" t="s">
        <v>1481</v>
      </c>
      <c r="C23" s="1495" t="s">
        <v>3271</v>
      </c>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17" t="s">
        <v>1484</v>
      </c>
      <c r="C24" s="3718"/>
      <c r="D24" s="3719" t="s">
        <v>1485</v>
      </c>
      <c r="E24" s="3720"/>
      <c r="F24" s="1501" t="s">
        <v>1486</v>
      </c>
      <c r="G24" s="2815"/>
      <c r="H24" s="2815"/>
      <c r="I24" s="2819"/>
      <c r="J24" s="2815"/>
      <c r="K24" s="370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0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0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32" t="s">
        <v>1519</v>
      </c>
      <c r="B31" s="1552" t="s">
        <v>1520</v>
      </c>
      <c r="C31" s="3730" t="s">
        <v>3272</v>
      </c>
      <c r="D31" s="3731"/>
      <c r="E31" s="2815"/>
      <c r="F31" s="2815"/>
      <c r="G31" s="2815"/>
      <c r="H31" s="2815"/>
      <c r="I31" s="2819"/>
      <c r="J31" s="2815"/>
      <c r="K31" s="2801"/>
      <c r="L31" s="2795"/>
      <c r="M31" s="2795"/>
      <c r="N31" s="2795"/>
      <c r="O31" s="2795"/>
      <c r="P31" s="2795"/>
      <c r="Q31" s="2795"/>
      <c r="R31" s="2795"/>
      <c r="S31" s="2795"/>
      <c r="T31" s="2795"/>
      <c r="U31" s="2795"/>
    </row>
    <row r="32" spans="1:21">
      <c r="A32" s="3732"/>
      <c r="B32" s="1463" t="s">
        <v>1521</v>
      </c>
      <c r="C32" s="1512" t="s">
        <v>3273</v>
      </c>
      <c r="D32" s="1513"/>
      <c r="E32" s="2815"/>
      <c r="F32" s="2815"/>
      <c r="G32" s="2815"/>
      <c r="H32" s="2815"/>
      <c r="I32" s="2819"/>
      <c r="J32" s="2815"/>
      <c r="K32" s="2801"/>
      <c r="L32" s="2795"/>
      <c r="M32" s="2795"/>
      <c r="N32" s="2795"/>
      <c r="O32" s="2795"/>
      <c r="P32" s="2795"/>
      <c r="Q32" s="2795"/>
      <c r="R32" s="2795"/>
      <c r="S32" s="2795"/>
      <c r="T32" s="2795"/>
      <c r="U32" s="2795"/>
    </row>
    <row r="33" spans="1:28">
      <c r="A33" s="3732"/>
      <c r="B33" s="1463" t="s">
        <v>1522</v>
      </c>
      <c r="C33" s="1514" t="s">
        <v>3271</v>
      </c>
      <c r="D33" s="1622"/>
      <c r="E33" s="2815"/>
      <c r="F33" s="2815"/>
      <c r="G33" s="2815"/>
      <c r="H33" s="2815"/>
      <c r="I33" s="2819"/>
      <c r="J33" s="2815"/>
      <c r="K33" s="2801"/>
      <c r="L33" s="2795"/>
      <c r="M33" s="2795"/>
      <c r="N33" s="2795"/>
      <c r="O33" s="2795"/>
      <c r="P33" s="2795"/>
      <c r="Q33" s="2795"/>
      <c r="R33" s="2795"/>
      <c r="S33" s="2795"/>
      <c r="T33" s="2795"/>
      <c r="U33" s="2795"/>
    </row>
    <row r="34" spans="1:28">
      <c r="A34" s="3733"/>
      <c r="B34" s="1463" t="s">
        <v>1523</v>
      </c>
      <c r="C34" s="3734"/>
      <c r="D34" s="3735"/>
      <c r="E34" s="2815"/>
      <c r="F34" s="2815"/>
      <c r="G34" s="2815"/>
      <c r="H34" s="2815"/>
      <c r="I34" s="2819"/>
      <c r="J34" s="2815"/>
      <c r="K34" s="2801"/>
      <c r="L34" s="2795"/>
      <c r="M34" s="2795"/>
      <c r="N34" s="2795"/>
      <c r="O34" s="2795"/>
      <c r="P34" s="2795"/>
      <c r="Q34" s="2795"/>
      <c r="R34" s="2795"/>
      <c r="S34" s="2795"/>
      <c r="T34" s="2795"/>
      <c r="U34" s="2795"/>
    </row>
    <row r="35" spans="1:28">
      <c r="A35" s="3736" t="s">
        <v>785</v>
      </c>
      <c r="B35" s="1515" t="s">
        <v>3274</v>
      </c>
      <c r="C35" s="1561" t="str">
        <f>IF(B35="场地平整","——","具体情况：")</f>
        <v>——</v>
      </c>
      <c r="D35" s="3738"/>
      <c r="E35" s="3739"/>
      <c r="F35" s="3739"/>
      <c r="G35" s="3739"/>
      <c r="H35" s="3739"/>
      <c r="I35" s="3740"/>
      <c r="J35" s="2815"/>
      <c r="K35" s="2802"/>
      <c r="L35" s="2794"/>
      <c r="M35" s="2794"/>
      <c r="N35" s="2795"/>
      <c r="O35" s="2796"/>
      <c r="P35" s="2795"/>
      <c r="Q35" s="2795"/>
      <c r="R35" s="2795"/>
      <c r="S35" s="2795"/>
      <c r="T35" s="2795"/>
      <c r="U35" s="2795"/>
    </row>
    <row r="36" spans="1:28">
      <c r="A36" s="3732"/>
      <c r="B36" s="3741" t="s">
        <v>1572</v>
      </c>
      <c r="C36" s="3742"/>
      <c r="D36" s="1577" t="s">
        <v>2776</v>
      </c>
      <c r="E36" s="3743"/>
      <c r="F36" s="3743"/>
      <c r="G36" s="1484" t="str">
        <f>IF(B35="场地未平整","估价结果处理","")</f>
        <v/>
      </c>
      <c r="H36" s="3744"/>
      <c r="I36" s="3744"/>
      <c r="J36" s="2815"/>
      <c r="K36" s="2802"/>
      <c r="L36" s="2794"/>
      <c r="M36" s="2794"/>
      <c r="N36" s="2795"/>
      <c r="O36" s="2796"/>
      <c r="P36" s="2795"/>
      <c r="Q36" s="2795"/>
      <c r="R36" s="2795"/>
      <c r="S36" s="2795"/>
      <c r="T36" s="2795"/>
      <c r="U36" s="2795"/>
    </row>
    <row r="37" spans="1:28" ht="28.5">
      <c r="A37" s="3732"/>
      <c r="B37" s="3721"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32"/>
      <c r="B38" s="3722"/>
      <c r="C38" s="1471" t="s">
        <v>788</v>
      </c>
      <c r="D38" s="1576">
        <f>ROUNDDOWN(MIN(('数据-取费表'!$B$2-D37)/365,D34),1)</f>
        <v>124.3</v>
      </c>
      <c r="E38" s="1520" t="s">
        <v>789</v>
      </c>
      <c r="F38" s="2815"/>
      <c r="G38" s="2815"/>
      <c r="H38" s="2815"/>
      <c r="I38" s="2819"/>
      <c r="J38" s="2815"/>
      <c r="K38" s="2802"/>
      <c r="L38" s="2795"/>
      <c r="M38" s="2795"/>
      <c r="N38" s="2795"/>
      <c r="O38" s="2795"/>
      <c r="P38" s="2795"/>
      <c r="Q38" s="2795"/>
      <c r="R38" s="2795"/>
      <c r="S38" s="2795"/>
      <c r="T38" s="2795"/>
      <c r="U38" s="2795"/>
    </row>
    <row r="39" spans="1:28">
      <c r="A39" s="3733"/>
      <c r="B39" s="3723"/>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t="s">
        <v>2769</v>
      </c>
      <c r="C40" s="1485" t="s">
        <v>2770</v>
      </c>
      <c r="D40" s="1485" t="s">
        <v>2771</v>
      </c>
      <c r="E40" s="1485" t="s">
        <v>2772</v>
      </c>
      <c r="F40" s="1485" t="s">
        <v>2773</v>
      </c>
      <c r="G40" s="1485" t="s">
        <v>2776</v>
      </c>
      <c r="H40" s="1485"/>
      <c r="I40" s="2819"/>
      <c r="J40" s="2815"/>
      <c r="K40" s="2763">
        <f>COUNTIF(B40:H40,"——")</f>
        <v>0</v>
      </c>
      <c r="L40" s="1493" t="s">
        <v>1496</v>
      </c>
      <c r="M40" s="1490" t="s">
        <v>1497</v>
      </c>
      <c r="N40" s="1490" t="s">
        <v>1498</v>
      </c>
      <c r="O40" s="1490" t="s">
        <v>1499</v>
      </c>
      <c r="P40" s="1490" t="s">
        <v>1500</v>
      </c>
      <c r="Q40" s="1490" t="s">
        <v>1501</v>
      </c>
      <c r="R40" s="1490" t="s">
        <v>1502</v>
      </c>
      <c r="S40" s="3704" t="s">
        <v>1503</v>
      </c>
      <c r="T40" s="1524" t="str">
        <f>NUMBERSTRING(7-K40,1)&amp;"通"</f>
        <v>七通</v>
      </c>
      <c r="U40" s="2795"/>
    </row>
    <row r="41" spans="1:28">
      <c r="A41" s="1465"/>
      <c r="B41" s="3737" t="s">
        <v>1250</v>
      </c>
      <c r="C41" s="3737"/>
      <c r="D41" s="3737"/>
      <c r="E41" s="3737"/>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通路、通电、通讯、通上水、通下水、平整</v>
      </c>
      <c r="R41" s="1527" t="str">
        <f>B40&amp;"、"&amp;C40&amp;"、"&amp;D40&amp;"、"&amp;E40&amp;"、"&amp;F40&amp;"、"&amp;G40&amp;"、"&amp;H40</f>
        <v>通路、通电、通讯、通上水、通下水、平整、</v>
      </c>
      <c r="S41" s="3704"/>
      <c r="T41" s="1526" t="str">
        <f>IF(T40="一通",L41,IF(T40="二通",M41,IF(T40="三通",N41,IF(T40="四通",O41,IF(T40="五通",P41,IF(T40="六通",Q41,R41))))))</f>
        <v>通路、通电、通讯、通上水、通下水、平整、</v>
      </c>
      <c r="U41" s="2795"/>
    </row>
    <row r="42" spans="1:28">
      <c r="A42" s="1528"/>
      <c r="B42" s="1554" t="s">
        <v>1422</v>
      </c>
      <c r="C42" s="1554" t="s">
        <v>1423</v>
      </c>
      <c r="D42" s="1554" t="s">
        <v>1424</v>
      </c>
      <c r="E42" s="3281" t="s">
        <v>2746</v>
      </c>
      <c r="F42" s="3281"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1123</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5189.7</v>
      </c>
      <c r="B3" s="20">
        <f>IF(C3="否",G5-AT5,G5)</f>
        <v>7726.1900000000005</v>
      </c>
      <c r="C3" s="21" t="s">
        <v>3271</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7726.1900000000005</v>
      </c>
      <c r="H5" s="25">
        <f t="shared" ref="H5:AT5" si="0">SUM(H13:H641)</f>
        <v>7726.1900000000005</v>
      </c>
      <c r="I5" s="25">
        <f t="shared" si="0"/>
        <v>5643.4100000000008</v>
      </c>
      <c r="J5" s="25">
        <f t="shared" si="0"/>
        <v>0</v>
      </c>
      <c r="K5" s="25">
        <f t="shared" si="0"/>
        <v>2082.7800000000002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6342.01</v>
      </c>
      <c r="BA5" s="27">
        <f t="shared" si="1"/>
        <v>6342.01</v>
      </c>
      <c r="BB5" s="27">
        <f t="shared" si="1"/>
        <v>4519.1100000000006</v>
      </c>
      <c r="BC5" s="27">
        <f t="shared" si="1"/>
        <v>1822.9</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5189.7</v>
      </c>
      <c r="F6" s="25" t="s">
        <v>0</v>
      </c>
      <c r="G6" s="25" t="s">
        <v>1</v>
      </c>
      <c r="H6" s="31">
        <f>SUMIF(I$12:AB$12,"总值",I6:AB6)</f>
        <v>5189.7</v>
      </c>
      <c r="I6" s="25">
        <f t="shared" ref="I6:AB6" si="2">ROUND($A$3*I5/$B$3,2)</f>
        <v>3790.69</v>
      </c>
      <c r="J6" s="25">
        <f t="shared" si="2"/>
        <v>0</v>
      </c>
      <c r="K6" s="25">
        <f t="shared" si="2"/>
        <v>1399.01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4259.9399999999996</v>
      </c>
      <c r="AZ6" s="25" t="s">
        <v>2</v>
      </c>
      <c r="BA6" s="25">
        <f>ROUND($AY$6*BA5/$AZ$5,2)</f>
        <v>4259.9399999999996</v>
      </c>
      <c r="BB6" s="25">
        <f>ROUND($AY$6*BB5/$AZ$5,2)</f>
        <v>3035.49</v>
      </c>
      <c r="BC6" s="25">
        <f t="shared" ref="BC6:BH6" si="4">ROUND($AY$6*BC5/$AZ$5,2)</f>
        <v>1224.45</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3279</v>
      </c>
      <c r="J9" s="49"/>
      <c r="K9" s="2490" t="s">
        <v>3280</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905</v>
      </c>
      <c r="J10" s="49"/>
      <c r="K10" s="2492" t="s">
        <v>905</v>
      </c>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工业</v>
      </c>
      <c r="BC11" s="48" t="str">
        <f>K10</f>
        <v>工业</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t="s">
        <v>3276</v>
      </c>
      <c r="D13" s="2487" t="s">
        <v>3271</v>
      </c>
      <c r="E13" s="25">
        <f t="shared" ref="E13:E20" si="6">IF($C$3="是",ROUND($A$3*G13/$B$3,2),ROUND($A$3*(G13-AT13)/$B$3,2))</f>
        <v>929.76</v>
      </c>
      <c r="F13" s="78"/>
      <c r="G13" s="79">
        <f t="shared" ref="G13:G20" si="7">H13+AC13+AT13</f>
        <v>1384.1800000000003</v>
      </c>
      <c r="H13" s="31">
        <f t="shared" ref="H13:H20" si="8">SUMIF(I$12:AB$12,"总值",I13:AB13)</f>
        <v>1384.1800000000003</v>
      </c>
      <c r="I13" s="80">
        <f>1384.18-K13</f>
        <v>1124.3000000000002</v>
      </c>
      <c r="J13" s="80"/>
      <c r="K13" s="80">
        <v>259.88</v>
      </c>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t="str">
        <f t="shared" si="10"/>
        <v>车间</v>
      </c>
      <c r="AY13" s="957">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t="s">
        <v>3278</v>
      </c>
      <c r="D14" s="2487" t="s">
        <v>3275</v>
      </c>
      <c r="E14" s="25">
        <f t="shared" si="6"/>
        <v>4259.9399999999996</v>
      </c>
      <c r="F14" s="78"/>
      <c r="G14" s="79">
        <f t="shared" si="7"/>
        <v>6342.01</v>
      </c>
      <c r="H14" s="31">
        <f t="shared" si="8"/>
        <v>6342.01</v>
      </c>
      <c r="I14" s="80">
        <f>6342.01-K14</f>
        <v>4519.1100000000006</v>
      </c>
      <c r="J14" s="80"/>
      <c r="K14" s="80">
        <v>1822.9</v>
      </c>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厂房</v>
      </c>
      <c r="AY14" s="957">
        <f t="shared" si="11"/>
        <v>4259.9399999999996</v>
      </c>
      <c r="AZ14" s="25">
        <f t="shared" si="12"/>
        <v>6342.01</v>
      </c>
      <c r="BA14" s="25">
        <f t="shared" si="13"/>
        <v>6342.01</v>
      </c>
      <c r="BB14" s="25">
        <f t="shared" si="14"/>
        <v>4519.1100000000006</v>
      </c>
      <c r="BC14" s="25">
        <f t="shared" si="15"/>
        <v>1822.9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53" sqref="L5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54" t="s">
        <v>169</v>
      </c>
      <c r="B2" s="3754"/>
      <c r="C2" s="3754"/>
      <c r="D2" s="1728" t="s">
        <v>170</v>
      </c>
      <c r="E2" s="102" t="s">
        <v>171</v>
      </c>
      <c r="F2" s="2824"/>
      <c r="G2" s="1095"/>
      <c r="H2" s="1096"/>
      <c r="I2" s="1097" t="s">
        <v>795</v>
      </c>
      <c r="J2" s="2824"/>
      <c r="K2" s="2824"/>
      <c r="L2" s="2824"/>
      <c r="M2" s="2824"/>
      <c r="N2" s="2824"/>
      <c r="O2" s="2824"/>
      <c r="P2" s="2824"/>
    </row>
    <row r="3" spans="1:16" ht="15.75" thickBot="1">
      <c r="A3" s="3755" t="s">
        <v>172</v>
      </c>
      <c r="B3" s="3755"/>
      <c r="C3" s="3755"/>
      <c r="D3" s="103">
        <f>'数据-基础表'!AY6</f>
        <v>4259.9399999999996</v>
      </c>
      <c r="E3" s="103">
        <f>'数据-基础表'!AZ5</f>
        <v>6342.01</v>
      </c>
      <c r="F3" s="2824"/>
      <c r="G3" s="270" t="s">
        <v>796</v>
      </c>
      <c r="H3" s="265" t="s">
        <v>797</v>
      </c>
      <c r="I3" s="1729">
        <f>ROUND('数据-基础表'!B3/'数据-基础表'!A3,2)</f>
        <v>1.49</v>
      </c>
      <c r="J3" s="2824"/>
      <c r="K3" s="2824"/>
      <c r="L3" s="2824"/>
      <c r="M3" s="2824"/>
      <c r="N3" s="2824"/>
      <c r="O3" s="2824"/>
      <c r="P3" s="2824"/>
    </row>
    <row r="4" spans="1:16" ht="15">
      <c r="A4" s="3756"/>
      <c r="B4" s="3757"/>
      <c r="C4" s="3758"/>
      <c r="D4" s="104" t="s">
        <v>170</v>
      </c>
      <c r="E4" s="105" t="s">
        <v>171</v>
      </c>
      <c r="F4" s="2824"/>
      <c r="G4" s="1098"/>
      <c r="H4" s="265" t="s">
        <v>798</v>
      </c>
      <c r="I4" s="1729">
        <f>ROUND(SUMIF('数据-基础表'!I9:AS9,"地上",'数据-基础表'!I5:AS5)/'数据-基础表'!A3,2)</f>
        <v>1.0900000000000001</v>
      </c>
      <c r="J4" s="2824"/>
      <c r="K4" s="2824"/>
      <c r="L4" s="2824"/>
      <c r="M4" s="2824"/>
      <c r="N4" s="2824"/>
      <c r="O4" s="2824"/>
      <c r="P4" s="2824"/>
    </row>
    <row r="5" spans="1:16">
      <c r="A5" s="106" t="s">
        <v>173</v>
      </c>
      <c r="B5" s="3759" t="s">
        <v>196</v>
      </c>
      <c r="C5" s="3759"/>
      <c r="D5" s="107">
        <f>ROUND($D$3*E5/$E$3,2)</f>
        <v>0</v>
      </c>
      <c r="E5" s="108">
        <f>SUMIF('数据-基础表'!$11:$11,"住宅",'数据-基础表'!$5:$5)</f>
        <v>0</v>
      </c>
      <c r="F5" s="2824"/>
      <c r="G5" s="270" t="s">
        <v>799</v>
      </c>
      <c r="H5" s="265" t="s">
        <v>797</v>
      </c>
      <c r="I5" s="1729">
        <f>ROUND(E31/D31,2)</f>
        <v>1.49</v>
      </c>
      <c r="J5" s="2824"/>
      <c r="K5" s="2824"/>
      <c r="L5" s="2824"/>
      <c r="M5" s="2824"/>
      <c r="N5" s="2824"/>
      <c r="O5" s="2824"/>
      <c r="P5" s="2824"/>
    </row>
    <row r="6" spans="1:16" ht="15" thickBot="1">
      <c r="A6" s="109"/>
      <c r="B6" s="3759" t="s">
        <v>174</v>
      </c>
      <c r="C6" s="3759"/>
      <c r="D6" s="107">
        <f>ROUND($D$3*E6/$E$3,2)</f>
        <v>4259.9399999999996</v>
      </c>
      <c r="E6" s="108">
        <f>E3-E5</f>
        <v>6342.01</v>
      </c>
      <c r="F6" s="2824"/>
      <c r="G6" s="1098"/>
      <c r="H6" s="265" t="s">
        <v>798</v>
      </c>
      <c r="I6" s="1729">
        <f>ROUND(F31/D31,2)</f>
        <v>1.06</v>
      </c>
      <c r="J6" s="2824"/>
      <c r="K6" s="2824"/>
      <c r="L6" s="2824"/>
      <c r="M6" s="2824"/>
      <c r="N6" s="2824"/>
      <c r="O6" s="2824"/>
      <c r="P6" s="2824"/>
    </row>
    <row r="7" spans="1:16" ht="15">
      <c r="A7" s="3751"/>
      <c r="B7" s="3752"/>
      <c r="C7" s="3753"/>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3035.49</v>
      </c>
      <c r="E8" s="112">
        <f>SUMIF('数据-基础表'!BB10:BK10,"地上",'数据-基础表'!BB5:BK5)</f>
        <v>4519.1100000000006</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3035.49</v>
      </c>
      <c r="E16" s="116">
        <f>SUM(E8:E15)</f>
        <v>4519.1100000000006</v>
      </c>
      <c r="F16" s="2824"/>
      <c r="G16" s="2825"/>
      <c r="H16" s="929" t="s">
        <v>185</v>
      </c>
      <c r="I16" s="930"/>
      <c r="J16" s="1737"/>
      <c r="K16" s="3745" t="s">
        <v>1849</v>
      </c>
      <c r="L16" s="3746"/>
      <c r="M16" s="3746"/>
      <c r="N16" s="3746"/>
      <c r="O16" s="3746"/>
      <c r="P16" s="3747"/>
    </row>
    <row r="17" spans="1:19" ht="15">
      <c r="A17" s="117" t="s">
        <v>182</v>
      </c>
      <c r="B17" s="118" t="s">
        <v>183</v>
      </c>
      <c r="C17" s="2015" t="s">
        <v>1670</v>
      </c>
      <c r="D17" s="104" t="s">
        <v>170</v>
      </c>
      <c r="E17" s="120" t="s">
        <v>171</v>
      </c>
      <c r="F17" s="121"/>
      <c r="G17" s="1224"/>
      <c r="H17" s="931" t="s">
        <v>184</v>
      </c>
      <c r="I17" s="932" t="s">
        <v>1669</v>
      </c>
      <c r="J17" s="1737"/>
      <c r="K17" s="3748" t="s">
        <v>1850</v>
      </c>
      <c r="L17" s="3749"/>
      <c r="M17" s="3750"/>
      <c r="N17" s="3748" t="s">
        <v>1851</v>
      </c>
      <c r="O17" s="3749"/>
      <c r="P17" s="3750"/>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3281</v>
      </c>
      <c r="D19" s="107">
        <f t="shared" ref="D19:D26" si="1">ROUND($D$3*E19/$E$3,2)</f>
        <v>4259.9399999999996</v>
      </c>
      <c r="E19" s="130">
        <f t="shared" ref="E19:E26" si="2">SUM(F19:G19)</f>
        <v>6342.01</v>
      </c>
      <c r="F19" s="2826">
        <f>'数据-基础表'!I14</f>
        <v>4519.1100000000006</v>
      </c>
      <c r="G19" s="2827">
        <f>'数据-基础表'!K14</f>
        <v>1822.9</v>
      </c>
      <c r="H19" s="935">
        <f>ROUND($D$3*I19/$E$3,2)</f>
        <v>0</v>
      </c>
      <c r="I19" s="112">
        <f>IF($I$17="自定义",P19,M19)</f>
        <v>0</v>
      </c>
      <c r="J19" s="1737"/>
      <c r="K19" s="2214">
        <f t="shared" ref="K19:K26" si="3">ROUND(E$28*E19/E$27,2)</f>
        <v>0</v>
      </c>
      <c r="L19" s="265">
        <f t="shared" ref="L19:L26" si="4">ROUND(IF(COUNTIF(C19,"*住宅*")&gt;0,E$29*E19/E$32,0),2)</f>
        <v>0</v>
      </c>
      <c r="M19" s="2215">
        <f>K19+L19</f>
        <v>0</v>
      </c>
      <c r="N19" s="2216"/>
      <c r="O19" s="2217"/>
      <c r="P19" s="2218">
        <f>N19+O19</f>
        <v>0</v>
      </c>
      <c r="R19" s="265">
        <f t="shared" ref="R19:S26" si="5">D19+H19</f>
        <v>4259.9399999999996</v>
      </c>
      <c r="S19" s="2018">
        <f t="shared" si="5"/>
        <v>6342.01</v>
      </c>
    </row>
    <row r="20" spans="1:19">
      <c r="A20" s="133"/>
      <c r="B20" s="111" t="s">
        <v>192</v>
      </c>
      <c r="C20" s="2496"/>
      <c r="D20" s="107">
        <f t="shared" si="1"/>
        <v>0</v>
      </c>
      <c r="E20" s="130">
        <f t="shared" si="2"/>
        <v>0</v>
      </c>
      <c r="F20" s="2826"/>
      <c r="G20" s="2827"/>
      <c r="H20" s="935">
        <f t="shared" ref="H20:H26" si="6">ROUND($D$3*I20/$E$3,2)</f>
        <v>0</v>
      </c>
      <c r="I20" s="112">
        <f t="shared" ref="I20:I26" si="7">IF($I$17="自定义",P20,M20)</f>
        <v>0</v>
      </c>
      <c r="J20" s="1737"/>
      <c r="K20" s="2214">
        <f t="shared" si="3"/>
        <v>0</v>
      </c>
      <c r="L20" s="265">
        <f t="shared" si="4"/>
        <v>0</v>
      </c>
      <c r="M20" s="2215">
        <f t="shared" ref="M20:M26" si="8">K20+L20</f>
        <v>0</v>
      </c>
      <c r="N20" s="2216"/>
      <c r="O20" s="2217"/>
      <c r="P20" s="2218">
        <f t="shared" ref="P20:P26" si="9">N20+O20</f>
        <v>0</v>
      </c>
      <c r="R20" s="265">
        <f t="shared" si="5"/>
        <v>0</v>
      </c>
      <c r="S20" s="2018">
        <f t="shared" si="5"/>
        <v>0</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5">
        <f t="shared" si="4"/>
        <v>0</v>
      </c>
      <c r="M21" s="2215">
        <f t="shared" si="8"/>
        <v>0</v>
      </c>
      <c r="N21" s="2216"/>
      <c r="O21" s="2217"/>
      <c r="P21" s="2218">
        <f t="shared" si="9"/>
        <v>0</v>
      </c>
      <c r="R21" s="265">
        <f t="shared" si="5"/>
        <v>0</v>
      </c>
      <c r="S21" s="2018">
        <f t="shared" si="5"/>
        <v>0</v>
      </c>
    </row>
    <row r="22" spans="1:19">
      <c r="A22" s="133"/>
      <c r="B22" s="111" t="s">
        <v>192</v>
      </c>
      <c r="C22" s="3337"/>
      <c r="D22" s="107">
        <f t="shared" si="1"/>
        <v>0</v>
      </c>
      <c r="E22" s="130">
        <f t="shared" si="2"/>
        <v>0</v>
      </c>
      <c r="F22" s="2828"/>
      <c r="G22" s="2829"/>
      <c r="H22" s="935">
        <f t="shared" si="6"/>
        <v>0</v>
      </c>
      <c r="I22" s="112">
        <f t="shared" si="7"/>
        <v>0</v>
      </c>
      <c r="J22" s="1737"/>
      <c r="K22" s="2214">
        <f t="shared" si="3"/>
        <v>0</v>
      </c>
      <c r="L22" s="265">
        <f t="shared" si="4"/>
        <v>0</v>
      </c>
      <c r="M22" s="2215">
        <f t="shared" si="8"/>
        <v>0</v>
      </c>
      <c r="N22" s="2216"/>
      <c r="O22" s="2217"/>
      <c r="P22" s="2218">
        <f t="shared" si="9"/>
        <v>0</v>
      </c>
      <c r="R22" s="265">
        <f t="shared" si="5"/>
        <v>0</v>
      </c>
      <c r="S22" s="2018">
        <f t="shared" si="5"/>
        <v>0</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5">
        <f t="shared" si="4"/>
        <v>0</v>
      </c>
      <c r="M23" s="2215">
        <f t="shared" si="8"/>
        <v>0</v>
      </c>
      <c r="N23" s="2216"/>
      <c r="O23" s="2217"/>
      <c r="P23" s="2218">
        <f t="shared" si="9"/>
        <v>0</v>
      </c>
      <c r="R23" s="265">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5">
        <f t="shared" si="4"/>
        <v>0</v>
      </c>
      <c r="M24" s="2215">
        <f t="shared" si="8"/>
        <v>0</v>
      </c>
      <c r="N24" s="2216"/>
      <c r="O24" s="2217"/>
      <c r="P24" s="2218">
        <f t="shared" si="9"/>
        <v>0</v>
      </c>
      <c r="R24" s="265">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5">
        <f t="shared" si="4"/>
        <v>0</v>
      </c>
      <c r="M25" s="2215">
        <f t="shared" si="8"/>
        <v>0</v>
      </c>
      <c r="N25" s="2216"/>
      <c r="O25" s="2217"/>
      <c r="P25" s="2218">
        <f t="shared" si="9"/>
        <v>0</v>
      </c>
      <c r="R25" s="265">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0">
        <f t="shared" si="4"/>
        <v>0</v>
      </c>
      <c r="M26" s="139">
        <f t="shared" si="8"/>
        <v>0</v>
      </c>
      <c r="N26" s="2220"/>
      <c r="O26" s="2221"/>
      <c r="P26" s="2222">
        <f t="shared" si="9"/>
        <v>0</v>
      </c>
      <c r="R26" s="265">
        <f t="shared" si="5"/>
        <v>0</v>
      </c>
      <c r="S26" s="2018">
        <f t="shared" si="5"/>
        <v>0</v>
      </c>
    </row>
    <row r="27" spans="1:19" ht="15.75" thickBot="1">
      <c r="A27" s="133"/>
      <c r="B27" s="107"/>
      <c r="C27" s="123" t="s">
        <v>181</v>
      </c>
      <c r="D27" s="130">
        <f>SUM(D19:D26)</f>
        <v>4259.9399999999996</v>
      </c>
      <c r="E27" s="136">
        <f>IF(SUM(E19:E26)='数据-基础表'!BA5,SUM(E19:E26),IF(F27="地上面积有误","面积有误","地下面积有误"))</f>
        <v>6342.01</v>
      </c>
      <c r="F27" s="130">
        <f>IF(SUM(F19:F26)=E8,SUM(F19:F26),"地上面积有误")</f>
        <v>4519.1100000000006</v>
      </c>
      <c r="G27" s="108">
        <f>SUM(G19:G26)</f>
        <v>1822.9</v>
      </c>
      <c r="H27" s="936">
        <f>SUM(H19:H26)</f>
        <v>0</v>
      </c>
      <c r="I27" s="937">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4259.9399999999996</v>
      </c>
      <c r="S27" s="265">
        <f>IF(SUM(S19:S26)=$E$3,SUM(S19:S26),SUM(S19:S26)&amp;"误差"&amp;ROUND(SUM(S19:S26)-E3,2))</f>
        <v>6342.01</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4259.9399999999996</v>
      </c>
      <c r="E31" s="1228">
        <f>E27+E30</f>
        <v>6342.01</v>
      </c>
      <c r="F31" s="1229">
        <f>F27+F30</f>
        <v>4519.1100000000006</v>
      </c>
      <c r="G31" s="1230">
        <f>G27+G30</f>
        <v>1822.9</v>
      </c>
      <c r="H31" s="2824"/>
      <c r="I31" s="2824"/>
      <c r="J31" s="2824"/>
      <c r="K31" s="2824"/>
      <c r="L31" s="2824"/>
      <c r="M31" s="2824"/>
      <c r="N31" s="2824"/>
      <c r="O31" s="2824"/>
      <c r="P31" s="2824"/>
    </row>
    <row r="32" spans="1:19">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F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45378</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3249</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厂房</v>
      </c>
      <c r="B6" s="2054" t="str">
        <f>IF(A6=0,"","经营性")</f>
        <v>经营性</v>
      </c>
      <c r="C6" s="166" t="s">
        <v>905</v>
      </c>
      <c r="D6" s="2025">
        <f>SUMIF(项目基本情况!C$15:I$15,C6,项目基本情况!C$18:I$18)</f>
        <v>50</v>
      </c>
      <c r="E6" s="2026">
        <f>IF(B6="","",SUMIF(项目基本情况!C$15:I$15,C6,项目基本情况!C$17:I$17))</f>
        <v>59557</v>
      </c>
      <c r="F6" s="167">
        <f>SUMIF(项目基本情况!C$15:I$15,C6,项目基本情况!C$19:I$19)</f>
        <v>38.840000000000003</v>
      </c>
      <c r="G6" s="168">
        <f t="shared" ref="G6:G13" si="0">IF(ISERROR(ROUND(POWER(1+H6,D6-F6)*(POWER(1+H6,F6)-1)/(POWER(1+H6,D6)-1),3)),0,ROUND(POWER(1+H6,D6-F6)*(POWER(1+H6,F6)-1)/(POWER(1+H6,D6)-1),3))</f>
        <v>0.93100000000000005</v>
      </c>
      <c r="H6" s="2497">
        <v>0.05</v>
      </c>
      <c r="I6" s="2497">
        <v>5.5E-2</v>
      </c>
      <c r="J6" s="169">
        <v>7.0000000000000007E-2</v>
      </c>
      <c r="K6" s="172">
        <f>SUMIF('数据-汇总表'!C$19:C$33,'数据-取费表'!A6,'数据-汇总表'!E$19:E$33)</f>
        <v>6342.01</v>
      </c>
      <c r="L6" s="3988">
        <v>3000</v>
      </c>
      <c r="M6" s="170">
        <f t="shared" ref="M6:M14" si="1">ROUND(K6*L6/10000,0)</f>
        <v>1903</v>
      </c>
      <c r="N6" s="2499">
        <v>0</v>
      </c>
      <c r="O6" s="170">
        <f>IF($N$5="成新度","——",ROUND(M6*N6,0))</f>
        <v>0</v>
      </c>
      <c r="P6" s="171">
        <f>IF($N$5="成新度","——",M6-O6)</f>
        <v>1903</v>
      </c>
      <c r="Q6" s="2500">
        <v>0.05</v>
      </c>
      <c r="R6" s="172">
        <f>SUMIF('数据-汇总表'!C$19:C$33,A6,'数据-汇总表'!R$19:R$33)</f>
        <v>4259.9399999999996</v>
      </c>
      <c r="S6" s="128">
        <f>IF('数据-汇总表'!$I$17="按面积比例",SUMIF('数据-汇总表'!C$19:C$33,A6,'数据-汇总表'!K$19:K$33),SUMIF('数据-汇总表'!C$19:C$33,A6,'数据-汇总表'!N$19:N$33))</f>
        <v>0</v>
      </c>
      <c r="T6" s="1951" t="str">
        <f>IF($T$4="按面积比例",IF(ISERROR(ROUND($M$14*S6/S$16,0)),"0",ROUND($M$14*S6/S$16,0)),"需自行计算录入")</f>
        <v>0</v>
      </c>
      <c r="U6" s="3989">
        <v>1.05</v>
      </c>
      <c r="V6" s="174">
        <v>0.02</v>
      </c>
      <c r="W6" s="174">
        <v>0.15</v>
      </c>
      <c r="X6" s="2038"/>
      <c r="Y6" s="175">
        <v>1</v>
      </c>
      <c r="Z6" s="176"/>
      <c r="AA6" s="169"/>
      <c r="AB6" s="169"/>
      <c r="AC6" s="2041"/>
      <c r="AD6" s="177"/>
      <c r="AE6" s="933">
        <f ca="1">IF(AN6="",0,SUMIF(INDIRECT("'"&amp;AN6&amp;"'"&amp;"!E:E"),$AE$5,INDIRECT("'"&amp;AN6&amp;"'"&amp;"!F:F")))</f>
        <v>38.840000000000003</v>
      </c>
      <c r="AF6" s="134"/>
      <c r="AG6" s="1110">
        <f>IF(AF6="",0,AE6-AF6)</f>
        <v>0</v>
      </c>
      <c r="AH6" s="134"/>
      <c r="AI6" s="180">
        <v>365</v>
      </c>
      <c r="AJ6" s="181"/>
      <c r="AK6" s="182">
        <v>5.0000000000000001E-3</v>
      </c>
      <c r="AL6" s="183">
        <v>1.5E-3</v>
      </c>
      <c r="AM6" s="2509">
        <v>5.0000000000000001E-3</v>
      </c>
      <c r="AN6" s="2082" t="s">
        <v>3282</v>
      </c>
      <c r="AO6" s="2834"/>
      <c r="AP6" s="1101">
        <f>ROUND(1-1/(1+H6)^F6,3)</f>
        <v>0.85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6342.01</v>
      </c>
      <c r="L16" s="197">
        <f>ROUND(M16*10000/SUM(K6:K14),0)</f>
        <v>3001</v>
      </c>
      <c r="M16" s="197">
        <f>SUM(M6:M14)</f>
        <v>1903</v>
      </c>
      <c r="N16" s="198">
        <f>ROUND(SUMPRODUCT(M6:M14,N6:N14)/M16,3)</f>
        <v>0</v>
      </c>
      <c r="O16" s="197">
        <f>SUM(O6:O14)</f>
        <v>0</v>
      </c>
      <c r="P16" s="197">
        <f>SUM(P6:P14)</f>
        <v>1903</v>
      </c>
      <c r="Q16" s="199">
        <f>ROUND(SUMPRODUCT(Q6:Q13,K6:K13)/SUMPRODUCT((Q6:Q13&gt;0)*(K6:K13)),2)</f>
        <v>0.05</v>
      </c>
      <c r="R16" s="2028">
        <f>SUM(R6:R13)</f>
        <v>4259.9399999999996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0.85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v>
      </c>
      <c r="C20" s="2846" t="s">
        <v>1692</v>
      </c>
      <c r="D20" s="2835"/>
      <c r="E20" s="2834"/>
      <c r="F20" s="2834"/>
      <c r="G20" s="2834"/>
      <c r="H20" s="2834"/>
      <c r="I20" s="2834"/>
      <c r="J20" s="2834"/>
      <c r="K20" s="2833"/>
      <c r="L20" s="2833"/>
      <c r="M20" s="2831"/>
      <c r="N20" s="2831"/>
      <c r="O20" s="2831"/>
      <c r="P20" s="2831"/>
      <c r="Q20" s="2831"/>
      <c r="R20" s="2831"/>
      <c r="S20" s="2831"/>
      <c r="T20" s="2831">
        <f>'数据-基础表'!I14</f>
        <v>4519.1100000000006</v>
      </c>
      <c r="U20" s="2831">
        <v>1.5</v>
      </c>
      <c r="V20" s="2831">
        <f>U20*T20</f>
        <v>6778.6650000000009</v>
      </c>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f>'数据-基础表'!K14</f>
        <v>1822.9</v>
      </c>
      <c r="U21" s="2831"/>
      <c r="V21" s="2831">
        <f>U21*T21</f>
        <v>0</v>
      </c>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v>
      </c>
      <c r="C22" s="2834"/>
      <c r="D22" s="2835"/>
      <c r="E22" s="2834"/>
      <c r="F22" s="2834"/>
      <c r="G22" s="2834"/>
      <c r="H22" s="2834"/>
      <c r="I22" s="2834"/>
      <c r="J22" s="2834"/>
      <c r="K22" s="2833"/>
      <c r="L22" s="2833"/>
      <c r="M22" s="2831"/>
      <c r="N22" s="2831"/>
      <c r="O22" s="2831"/>
      <c r="P22" s="2831"/>
      <c r="Q22" s="2831"/>
      <c r="R22" s="2831"/>
      <c r="S22" s="2831"/>
      <c r="T22" s="2831">
        <f>T20+T21</f>
        <v>6342.01</v>
      </c>
      <c r="U22" s="2831">
        <f>(V20+V21)/T22</f>
        <v>1.0688512001715544</v>
      </c>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3987">
        <v>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5"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7"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3">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4">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5" t="s">
        <v>246</v>
      </c>
      <c r="B37" s="226">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3">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5">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2291</v>
      </c>
      <c r="B40" s="2128">
        <f ca="1">IF(A40="利息：取LPR",存贷款利率!E2,存贷款利率!E2+C40)</f>
        <v>3.4500000000000003E-2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8">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0">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1">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29" t="s">
        <v>251</v>
      </c>
      <c r="B44" s="232">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29" t="s">
        <v>252</v>
      </c>
      <c r="B45" s="230">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29" t="s">
        <v>253</v>
      </c>
      <c r="B46" s="230">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3" t="s">
        <v>254</v>
      </c>
      <c r="B47" s="234"/>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5" t="s">
        <v>255</v>
      </c>
      <c r="B48" s="236">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7" t="s">
        <v>256</v>
      </c>
      <c r="B49" s="230">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7" t="s">
        <v>257</v>
      </c>
      <c r="B50" s="238">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39">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7" t="s">
        <v>259</v>
      </c>
      <c r="B52" s="240">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1"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2"/>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3"/>
      <c r="D64" s="1748"/>
      <c r="K64" s="55"/>
      <c r="L64" s="55"/>
    </row>
    <row r="65" spans="1:12" s="1747" customFormat="1">
      <c r="A65" s="243"/>
      <c r="D65" s="1748"/>
      <c r="K65" s="55"/>
      <c r="L65" s="55"/>
    </row>
    <row r="66" spans="1:12" s="1747" customFormat="1">
      <c r="A66" s="243"/>
      <c r="D66" s="1748"/>
      <c r="K66" s="55"/>
      <c r="L66" s="55"/>
    </row>
    <row r="67" spans="1:12" s="1747" customFormat="1">
      <c r="A67" s="243"/>
      <c r="D67" s="1748"/>
      <c r="K67" s="55"/>
      <c r="L67" s="55"/>
    </row>
    <row r="68" spans="1:12" s="1747" customFormat="1">
      <c r="A68" s="243"/>
      <c r="D68" s="1748"/>
      <c r="K68" s="55"/>
      <c r="L68" s="55"/>
    </row>
    <row r="69" spans="1:12" s="1747" customFormat="1">
      <c r="A69" s="243"/>
      <c r="D69" s="1748"/>
      <c r="K69" s="55"/>
      <c r="L69" s="55"/>
    </row>
    <row r="70" spans="1:12" s="1747" customFormat="1">
      <c r="A70" s="243"/>
      <c r="D70" s="1748"/>
      <c r="K70" s="55"/>
      <c r="L70" s="55"/>
    </row>
    <row r="71" spans="1:12" s="1747" customFormat="1">
      <c r="A71" s="243"/>
      <c r="D71" s="1748"/>
      <c r="K71" s="55"/>
      <c r="L71" s="55"/>
    </row>
    <row r="72" spans="1:12" s="1747" customFormat="1">
      <c r="A72" s="243"/>
      <c r="D72" s="1748"/>
      <c r="K72" s="55"/>
      <c r="L72" s="55"/>
    </row>
    <row r="73" spans="1:12" s="1747" customFormat="1">
      <c r="A73" s="243"/>
      <c r="D73" s="1748"/>
      <c r="K73" s="55"/>
      <c r="L73" s="55"/>
    </row>
    <row r="74" spans="1:12" s="1747" customFormat="1">
      <c r="A74" s="243"/>
      <c r="D74" s="1748"/>
      <c r="K74" s="55"/>
      <c r="L74" s="55"/>
    </row>
    <row r="75" spans="1:12" s="1747" customFormat="1">
      <c r="A75" s="243"/>
      <c r="D75" s="1748"/>
      <c r="K75" s="55"/>
      <c r="L75" s="55"/>
    </row>
    <row r="76" spans="1:12" s="1747" customFormat="1">
      <c r="A76" s="243"/>
      <c r="D76" s="1748"/>
      <c r="K76" s="55"/>
      <c r="L76" s="55"/>
    </row>
    <row r="77" spans="1:12" s="1747" customFormat="1">
      <c r="A77" s="243"/>
      <c r="D77" s="1748"/>
      <c r="K77" s="55"/>
      <c r="L77" s="55"/>
    </row>
    <row r="78" spans="1:12" s="1747" customFormat="1">
      <c r="A78" s="243"/>
      <c r="D78" s="1748"/>
      <c r="K78" s="55"/>
      <c r="L78" s="55"/>
    </row>
    <row r="79" spans="1:12" s="1747" customFormat="1">
      <c r="A79" s="243"/>
      <c r="D79" s="1748"/>
      <c r="K79" s="55"/>
      <c r="L79" s="55"/>
    </row>
    <row r="80" spans="1:12" s="1747" customFormat="1">
      <c r="A80" s="243"/>
      <c r="D80" s="1748"/>
      <c r="K80" s="55"/>
      <c r="L80" s="55"/>
    </row>
    <row r="81" spans="1:12" s="1747" customFormat="1">
      <c r="A81" s="243"/>
      <c r="D81" s="1748"/>
      <c r="K81" s="55"/>
      <c r="L81" s="55"/>
    </row>
    <row r="82" spans="1:12" s="1747" customFormat="1">
      <c r="A82" s="243"/>
      <c r="D82" s="1748"/>
      <c r="K82" s="55"/>
      <c r="L82" s="55"/>
    </row>
    <row r="83" spans="1:12" s="1747" customFormat="1">
      <c r="A83" s="243"/>
      <c r="D83" s="1748"/>
      <c r="K83" s="55"/>
      <c r="L83" s="55"/>
    </row>
    <row r="84" spans="1:12" s="1747" customFormat="1">
      <c r="A84" s="243"/>
      <c r="D84" s="1748"/>
      <c r="K84" s="55"/>
      <c r="L84" s="55"/>
    </row>
    <row r="85" spans="1:12" s="1747" customFormat="1">
      <c r="A85" s="243"/>
      <c r="D85" s="1748"/>
      <c r="K85" s="55"/>
      <c r="L85" s="55"/>
    </row>
    <row r="86" spans="1:12" s="1747" customFormat="1">
      <c r="A86" s="243"/>
      <c r="D86" s="1748"/>
      <c r="K86" s="55"/>
      <c r="L86" s="55"/>
    </row>
    <row r="87" spans="1:12" s="1747" customFormat="1">
      <c r="A87" s="243"/>
      <c r="D87" s="1748"/>
      <c r="K87" s="55"/>
      <c r="L87" s="55"/>
    </row>
    <row r="88" spans="1:12" s="1747" customFormat="1">
      <c r="A88" s="243"/>
      <c r="D88" s="1748"/>
      <c r="K88" s="55"/>
      <c r="L88" s="55"/>
    </row>
    <row r="89" spans="1:12" s="1747" customFormat="1">
      <c r="A89" s="243"/>
      <c r="D89" s="1748"/>
      <c r="K89" s="55"/>
      <c r="L89" s="55"/>
    </row>
    <row r="90" spans="1:12" s="1747" customFormat="1">
      <c r="A90" s="243"/>
      <c r="D90" s="1748"/>
      <c r="K90" s="55"/>
      <c r="L90" s="55"/>
    </row>
    <row r="91" spans="1:12" s="1747" customFormat="1">
      <c r="A91" s="243"/>
      <c r="D91" s="1748"/>
      <c r="K91" s="55"/>
      <c r="L91" s="55"/>
    </row>
    <row r="92" spans="1:12" s="1747" customFormat="1">
      <c r="A92" s="243"/>
      <c r="D92" s="1748"/>
      <c r="K92" s="55"/>
      <c r="L92" s="55"/>
    </row>
    <row r="93" spans="1:12" s="1747" customFormat="1">
      <c r="A93" s="243"/>
      <c r="D93" s="1748"/>
      <c r="K93" s="55"/>
      <c r="L93" s="55"/>
    </row>
    <row r="94" spans="1:12" s="1747" customFormat="1">
      <c r="A94" s="243"/>
      <c r="D94" s="1748"/>
      <c r="K94" s="55"/>
      <c r="L94" s="55"/>
    </row>
    <row r="95" spans="1:12" s="1747" customFormat="1">
      <c r="A95" s="243"/>
      <c r="D95" s="1748"/>
      <c r="K95" s="55"/>
      <c r="L95" s="55"/>
    </row>
    <row r="96" spans="1:12" s="1747" customFormat="1">
      <c r="A96" s="243"/>
      <c r="D96" s="1748"/>
      <c r="K96" s="55"/>
      <c r="L96" s="55"/>
    </row>
    <row r="97" spans="1:12" s="1747" customFormat="1">
      <c r="A97" s="243"/>
      <c r="D97" s="1748"/>
      <c r="K97" s="55"/>
      <c r="L97" s="55"/>
    </row>
    <row r="98" spans="1:12" s="1747" customFormat="1">
      <c r="A98" s="243"/>
      <c r="D98" s="1748"/>
      <c r="K98" s="55"/>
      <c r="L98" s="55"/>
    </row>
    <row r="99" spans="1:12" s="1747" customFormat="1">
      <c r="A99" s="243"/>
      <c r="D99" s="1748"/>
      <c r="K99" s="55"/>
      <c r="L99" s="55"/>
    </row>
    <row r="100" spans="1:12" s="1747" customFormat="1">
      <c r="A100" s="243"/>
      <c r="D100" s="1748"/>
      <c r="K100" s="55"/>
      <c r="L100" s="55"/>
    </row>
    <row r="101" spans="1:12" s="1747" customFormat="1">
      <c r="A101" s="243"/>
      <c r="D101" s="1748"/>
      <c r="K101" s="55"/>
      <c r="L101" s="55"/>
    </row>
    <row r="102" spans="1:12" s="1747" customFormat="1">
      <c r="A102" s="243"/>
      <c r="D102" s="1748"/>
      <c r="K102" s="55"/>
      <c r="L102" s="55"/>
    </row>
    <row r="103" spans="1:12" s="1747" customFormat="1">
      <c r="A103" s="243"/>
      <c r="D103" s="1748"/>
      <c r="K103" s="55"/>
      <c r="L103" s="55"/>
    </row>
    <row r="104" spans="1:12" s="1747" customFormat="1">
      <c r="A104" s="243"/>
      <c r="D104" s="1748"/>
      <c r="K104" s="55"/>
      <c r="L104" s="55"/>
    </row>
    <row r="105" spans="1:12" s="1747" customFormat="1">
      <c r="A105" s="243"/>
      <c r="D105" s="1748"/>
      <c r="K105" s="55"/>
      <c r="L105" s="55"/>
    </row>
    <row r="106" spans="1:12" s="1747" customFormat="1">
      <c r="A106" s="243"/>
      <c r="D106" s="1748"/>
      <c r="K106" s="55"/>
      <c r="L106" s="55"/>
    </row>
    <row r="107" spans="1:12" s="1747" customFormat="1">
      <c r="A107" s="243"/>
      <c r="D107" s="1748"/>
      <c r="K107" s="55"/>
      <c r="L107" s="55"/>
    </row>
    <row r="108" spans="1:12" s="1747" customFormat="1">
      <c r="A108" s="243"/>
      <c r="D108" s="1748"/>
      <c r="K108" s="55"/>
      <c r="L108" s="55"/>
    </row>
    <row r="109" spans="1:12" s="1747" customFormat="1">
      <c r="A109" s="243"/>
      <c r="D109" s="1748"/>
      <c r="K109" s="55"/>
      <c r="L109" s="55"/>
    </row>
    <row r="110" spans="1:12" s="1747" customFormat="1">
      <c r="A110" s="243"/>
      <c r="D110" s="1748"/>
      <c r="K110" s="55"/>
      <c r="L110" s="55"/>
    </row>
    <row r="111" spans="1:12" s="1747" customFormat="1">
      <c r="A111" s="243"/>
      <c r="D111" s="1748"/>
      <c r="K111" s="55"/>
      <c r="L111" s="55"/>
    </row>
    <row r="112" spans="1:12" s="1747" customFormat="1">
      <c r="A112" s="243"/>
      <c r="D112" s="1748"/>
      <c r="K112" s="55"/>
      <c r="L112" s="55"/>
    </row>
    <row r="113" spans="1:12" s="1747" customFormat="1">
      <c r="A113" s="243"/>
      <c r="D113" s="1748"/>
      <c r="K113" s="55"/>
      <c r="L113" s="55"/>
    </row>
    <row r="114" spans="1:12" s="1747" customFormat="1">
      <c r="A114" s="243"/>
      <c r="D114" s="1748"/>
      <c r="K114" s="55"/>
      <c r="L114" s="55"/>
    </row>
    <row r="115" spans="1:12" s="1747" customFormat="1">
      <c r="A115" s="243"/>
      <c r="D115" s="1748"/>
      <c r="K115" s="55"/>
      <c r="L115" s="55"/>
    </row>
    <row r="116" spans="1:12" s="1747" customFormat="1">
      <c r="A116" s="243"/>
      <c r="D116" s="1748"/>
      <c r="K116" s="55"/>
      <c r="L116" s="55"/>
    </row>
    <row r="117" spans="1:12" s="1747" customFormat="1">
      <c r="A117" s="243"/>
      <c r="D117" s="1748"/>
      <c r="K117" s="55"/>
      <c r="L117" s="55"/>
    </row>
    <row r="118" spans="1:12" s="1747" customFormat="1">
      <c r="A118" s="243"/>
      <c r="D118" s="1748"/>
      <c r="K118" s="55"/>
      <c r="L118" s="55"/>
    </row>
    <row r="119" spans="1:12" s="1747" customFormat="1">
      <c r="A119" s="243"/>
      <c r="D119" s="1748"/>
      <c r="K119" s="55"/>
      <c r="L119" s="55"/>
    </row>
    <row r="120" spans="1:12" s="1747" customFormat="1">
      <c r="A120" s="243"/>
      <c r="D120" s="1748"/>
      <c r="K120" s="55"/>
      <c r="L120" s="55"/>
    </row>
    <row r="121" spans="1:12" s="1747" customFormat="1">
      <c r="A121" s="243"/>
      <c r="D121" s="1748"/>
      <c r="K121" s="55"/>
      <c r="L121" s="55"/>
    </row>
    <row r="122" spans="1:12" s="1747" customFormat="1">
      <c r="A122" s="243"/>
      <c r="D122" s="1748"/>
      <c r="K122" s="55"/>
      <c r="L122" s="55"/>
    </row>
    <row r="123" spans="1:12" s="1747" customFormat="1">
      <c r="A123" s="243"/>
      <c r="D123" s="1748"/>
      <c r="K123" s="55"/>
      <c r="L123" s="55"/>
    </row>
    <row r="124" spans="1:12" s="1747" customFormat="1">
      <c r="A124" s="243"/>
      <c r="D124" s="1748"/>
      <c r="K124" s="55"/>
      <c r="L124" s="55"/>
    </row>
    <row r="125" spans="1:12" s="1747" customFormat="1">
      <c r="A125" s="243"/>
      <c r="D125" s="1748"/>
      <c r="K125" s="55"/>
      <c r="L125" s="55"/>
    </row>
    <row r="126" spans="1:12" s="1747" customFormat="1">
      <c r="A126" s="243"/>
      <c r="D126" s="1748"/>
      <c r="K126" s="55"/>
      <c r="L126" s="55"/>
    </row>
    <row r="127" spans="1:12" s="1747" customFormat="1">
      <c r="A127" s="243"/>
      <c r="D127" s="1748"/>
      <c r="K127" s="55"/>
      <c r="L127" s="55"/>
    </row>
    <row r="128" spans="1:12" s="1747" customFormat="1">
      <c r="A128" s="243"/>
      <c r="D128" s="1748"/>
      <c r="K128" s="55"/>
      <c r="L128" s="55"/>
    </row>
    <row r="129" spans="1:12" s="1747" customFormat="1">
      <c r="A129" s="243"/>
      <c r="D129" s="1748"/>
      <c r="K129" s="55"/>
      <c r="L129" s="55"/>
    </row>
    <row r="130" spans="1:12" s="1747" customFormat="1">
      <c r="A130" s="243"/>
      <c r="D130" s="1748"/>
      <c r="K130" s="55"/>
      <c r="L130" s="55"/>
    </row>
    <row r="131" spans="1:12" s="1747" customFormat="1">
      <c r="A131" s="243"/>
      <c r="D131" s="1748"/>
      <c r="K131" s="55"/>
      <c r="L131" s="55"/>
    </row>
    <row r="132" spans="1:12" s="1747" customFormat="1">
      <c r="A132" s="243"/>
      <c r="D132" s="1748"/>
      <c r="K132" s="55"/>
      <c r="L132" s="55"/>
    </row>
    <row r="133" spans="1:12" s="1747" customFormat="1">
      <c r="A133" s="243"/>
      <c r="D133" s="1748"/>
      <c r="K133" s="55"/>
      <c r="L133" s="55"/>
    </row>
    <row r="134" spans="1:12" s="1747" customFormat="1">
      <c r="A134" s="243"/>
      <c r="D134" s="1748"/>
      <c r="K134" s="55"/>
      <c r="L134" s="55"/>
    </row>
    <row r="135" spans="1:12" s="1747" customFormat="1">
      <c r="A135" s="243"/>
      <c r="D135" s="1748"/>
      <c r="K135" s="55"/>
      <c r="L135" s="55"/>
    </row>
    <row r="136" spans="1:12" s="1747" customFormat="1">
      <c r="A136" s="243"/>
      <c r="D136" s="1748"/>
      <c r="K136" s="55"/>
      <c r="L136" s="55"/>
    </row>
    <row r="137" spans="1:12" s="1747" customFormat="1">
      <c r="A137" s="243"/>
      <c r="D137" s="1748"/>
      <c r="K137" s="55"/>
      <c r="L137" s="55"/>
    </row>
    <row r="138" spans="1:12" s="1747" customFormat="1">
      <c r="A138" s="243"/>
      <c r="D138" s="1748"/>
      <c r="K138" s="55"/>
      <c r="L138" s="55"/>
    </row>
    <row r="139" spans="1:12" s="1747" customFormat="1">
      <c r="A139" s="243"/>
      <c r="D139" s="1748"/>
      <c r="K139" s="55"/>
      <c r="L139" s="55"/>
    </row>
    <row r="140" spans="1:12" s="1747" customFormat="1">
      <c r="A140" s="243"/>
      <c r="D140" s="1748"/>
      <c r="K140" s="55"/>
      <c r="L140" s="55"/>
    </row>
    <row r="141" spans="1:12" s="1747" customFormat="1">
      <c r="A141" s="243"/>
      <c r="D141" s="1748"/>
      <c r="K141" s="55"/>
      <c r="L141" s="55"/>
    </row>
    <row r="142" spans="1:12" s="1747" customFormat="1">
      <c r="A142" s="243"/>
      <c r="D142" s="1748"/>
      <c r="K142" s="55"/>
      <c r="L142" s="55"/>
    </row>
    <row r="143" spans="1:12" s="1747" customFormat="1">
      <c r="A143" s="243"/>
      <c r="D143" s="1748"/>
      <c r="K143" s="55"/>
      <c r="L143" s="55"/>
    </row>
    <row r="144" spans="1:12" s="1747" customFormat="1">
      <c r="A144" s="243"/>
      <c r="D144" s="1748"/>
      <c r="K144" s="55"/>
      <c r="L144" s="55"/>
    </row>
    <row r="145" spans="1:12" s="1747" customFormat="1">
      <c r="A145" s="243"/>
      <c r="D145" s="1748"/>
      <c r="K145" s="55"/>
      <c r="L145" s="55"/>
    </row>
    <row r="146" spans="1:12" s="1747" customFormat="1">
      <c r="A146" s="243"/>
      <c r="D146" s="1748"/>
      <c r="K146" s="55"/>
      <c r="L146" s="55"/>
    </row>
    <row r="147" spans="1:12" s="1747" customFormat="1">
      <c r="A147" s="243"/>
      <c r="D147" s="1748"/>
      <c r="K147" s="55"/>
      <c r="L147" s="55"/>
    </row>
    <row r="148" spans="1:12" s="1747" customFormat="1">
      <c r="A148" s="243"/>
      <c r="D148" s="1748"/>
      <c r="K148" s="55"/>
      <c r="L148" s="55"/>
    </row>
    <row r="149" spans="1:12" s="1747" customFormat="1">
      <c r="A149" s="243"/>
      <c r="D149" s="1748"/>
      <c r="K149" s="55"/>
      <c r="L149" s="55"/>
    </row>
    <row r="150" spans="1:12" s="1747" customFormat="1">
      <c r="A150" s="243"/>
      <c r="D150" s="1748"/>
      <c r="K150" s="55"/>
      <c r="L150" s="55"/>
    </row>
    <row r="151" spans="1:12" s="1747" customFormat="1">
      <c r="A151" s="243"/>
      <c r="D151" s="1748"/>
      <c r="K151" s="55"/>
      <c r="L151" s="55"/>
    </row>
    <row r="152" spans="1:12" s="1747" customFormat="1">
      <c r="A152" s="243"/>
      <c r="D152" s="1748"/>
      <c r="K152" s="55"/>
      <c r="L152" s="55"/>
    </row>
    <row r="153" spans="1:12" s="1747" customFormat="1">
      <c r="A153" s="243"/>
      <c r="D153" s="1748"/>
      <c r="K153" s="55"/>
      <c r="L153" s="55"/>
    </row>
    <row r="154" spans="1:12" s="1747" customFormat="1">
      <c r="A154" s="243"/>
      <c r="D154" s="1748"/>
      <c r="K154" s="55"/>
      <c r="L154" s="55"/>
    </row>
    <row r="155" spans="1:12" s="1747" customFormat="1">
      <c r="A155" s="243"/>
      <c r="D155" s="1748"/>
      <c r="K155" s="55"/>
      <c r="L155" s="55"/>
    </row>
    <row r="156" spans="1:12" s="1747" customFormat="1">
      <c r="A156" s="243"/>
      <c r="D156" s="1748"/>
      <c r="K156" s="55"/>
      <c r="L156" s="55"/>
    </row>
    <row r="157" spans="1:12" s="1747" customFormat="1">
      <c r="A157" s="243"/>
      <c r="D157" s="1748"/>
      <c r="K157" s="55"/>
      <c r="L157" s="55"/>
    </row>
    <row r="158" spans="1:12" s="1747" customFormat="1">
      <c r="A158" s="243"/>
      <c r="D158" s="1748"/>
      <c r="K158" s="55"/>
      <c r="L158" s="55"/>
    </row>
    <row r="159" spans="1:12" s="1747" customFormat="1">
      <c r="A159" s="243"/>
      <c r="D159" s="1748"/>
      <c r="K159" s="55"/>
      <c r="L159" s="55"/>
    </row>
    <row r="160" spans="1:12" s="1747" customFormat="1">
      <c r="A160" s="243"/>
      <c r="D160" s="1748"/>
      <c r="K160" s="55"/>
      <c r="L160" s="55"/>
    </row>
    <row r="161" spans="1:12" s="1747" customFormat="1">
      <c r="A161" s="243"/>
      <c r="D161" s="1748"/>
      <c r="K161" s="55"/>
      <c r="L161" s="55"/>
    </row>
    <row r="162" spans="1:12" s="1747" customFormat="1">
      <c r="A162" s="243"/>
      <c r="D162" s="1748"/>
      <c r="K162" s="55"/>
      <c r="L162" s="55"/>
    </row>
    <row r="163" spans="1:12" s="1747" customFormat="1">
      <c r="A163" s="243"/>
      <c r="D163" s="1748"/>
      <c r="K163" s="55"/>
      <c r="L163" s="55"/>
    </row>
    <row r="164" spans="1:12" s="1747" customFormat="1">
      <c r="A164" s="243"/>
      <c r="D164" s="1748"/>
      <c r="K164" s="55"/>
      <c r="L164" s="55"/>
    </row>
    <row r="165" spans="1:12" s="1747" customFormat="1">
      <c r="A165" s="243"/>
      <c r="D165" s="1748"/>
      <c r="K165" s="55"/>
      <c r="L165" s="55"/>
    </row>
    <row r="166" spans="1:12" s="1747" customFormat="1">
      <c r="A166" s="243"/>
      <c r="D166" s="1748"/>
      <c r="K166" s="55"/>
      <c r="L166" s="55"/>
    </row>
    <row r="167" spans="1:12" s="1747" customFormat="1">
      <c r="A167" s="243"/>
      <c r="D167" s="1748"/>
      <c r="K167" s="55"/>
      <c r="L167" s="55"/>
    </row>
    <row r="168" spans="1:12" s="1747" customFormat="1">
      <c r="A168" s="243"/>
      <c r="D168" s="1748"/>
      <c r="K168" s="55"/>
      <c r="L168" s="55"/>
    </row>
    <row r="169" spans="1:12" s="1747" customFormat="1">
      <c r="A169" s="243"/>
      <c r="D169" s="1748"/>
      <c r="K169" s="55"/>
      <c r="L169" s="55"/>
    </row>
    <row r="170" spans="1:12" s="1747" customFormat="1">
      <c r="A170" s="243"/>
      <c r="D170" s="1748"/>
      <c r="K170" s="55"/>
      <c r="L170" s="55"/>
    </row>
    <row r="171" spans="1:12" s="1747" customFormat="1">
      <c r="A171" s="243"/>
      <c r="D171" s="1748"/>
      <c r="K171" s="55"/>
      <c r="L171" s="55"/>
    </row>
    <row r="172" spans="1:12" s="1747" customFormat="1">
      <c r="A172" s="243"/>
      <c r="D172" s="1748"/>
      <c r="K172" s="55"/>
      <c r="L172" s="55"/>
    </row>
    <row r="173" spans="1:12" s="1747" customFormat="1">
      <c r="A173" s="243"/>
      <c r="D173" s="1748"/>
      <c r="K173" s="55"/>
      <c r="L173" s="55"/>
    </row>
    <row r="174" spans="1:12" s="1747" customFormat="1">
      <c r="A174" s="243"/>
      <c r="D174" s="1748"/>
      <c r="K174" s="55"/>
      <c r="L174" s="55"/>
    </row>
    <row r="175" spans="1:12" s="1747" customFormat="1">
      <c r="A175" s="243"/>
      <c r="D175" s="1748"/>
      <c r="K175" s="55"/>
      <c r="L175" s="55"/>
    </row>
    <row r="176" spans="1:12" s="1747" customFormat="1">
      <c r="A176" s="243"/>
      <c r="D176" s="1748"/>
      <c r="K176" s="55"/>
      <c r="L176" s="55"/>
    </row>
    <row r="177" spans="1:12" s="1747" customFormat="1">
      <c r="A177" s="243"/>
      <c r="D177" s="1748"/>
      <c r="K177" s="55"/>
      <c r="L177" s="55"/>
    </row>
    <row r="178" spans="1:12" s="1747" customFormat="1">
      <c r="A178" s="243"/>
      <c r="D178" s="1748"/>
      <c r="K178" s="55"/>
      <c r="L178" s="55"/>
    </row>
    <row r="179" spans="1:12" s="1747" customFormat="1">
      <c r="A179" s="243"/>
      <c r="D179" s="1748"/>
      <c r="K179" s="55"/>
      <c r="L179" s="55"/>
    </row>
    <row r="180" spans="1:12" s="1747" customFormat="1">
      <c r="A180" s="243"/>
      <c r="D180" s="1748"/>
      <c r="K180" s="55"/>
      <c r="L180" s="55"/>
    </row>
    <row r="181" spans="1:12" s="1747" customFormat="1">
      <c r="A181" s="243"/>
      <c r="D181" s="1748"/>
      <c r="K181" s="55"/>
      <c r="L181" s="55"/>
    </row>
    <row r="182" spans="1:12" s="1747" customFormat="1">
      <c r="A182" s="243"/>
      <c r="D182" s="1748"/>
      <c r="K182" s="55"/>
      <c r="L182" s="55"/>
    </row>
    <row r="183" spans="1:12" s="1747" customFormat="1">
      <c r="A183" s="243"/>
      <c r="D183" s="1748"/>
      <c r="K183" s="55"/>
      <c r="L183" s="55"/>
    </row>
    <row r="184" spans="1:12" s="1747" customFormat="1">
      <c r="A184" s="243"/>
      <c r="D184" s="1748"/>
      <c r="K184" s="55"/>
      <c r="L184" s="55"/>
    </row>
    <row r="185" spans="1:12" s="1747" customFormat="1">
      <c r="A185" s="243"/>
      <c r="D185" s="1748"/>
      <c r="K185" s="55"/>
      <c r="L185" s="55"/>
    </row>
    <row r="186" spans="1:12" s="1747" customFormat="1">
      <c r="A186" s="243"/>
      <c r="D186" s="1748"/>
      <c r="K186" s="55"/>
      <c r="L186" s="55"/>
    </row>
    <row r="187" spans="1:12" s="1747" customFormat="1">
      <c r="A187" s="243"/>
      <c r="D187" s="1748"/>
      <c r="K187" s="55"/>
      <c r="L187" s="55"/>
    </row>
    <row r="188" spans="1:12" s="1747" customFormat="1">
      <c r="A188" s="243"/>
      <c r="D188" s="1748"/>
      <c r="K188" s="55"/>
      <c r="L188" s="55"/>
    </row>
    <row r="189" spans="1:12" s="1747" customFormat="1">
      <c r="A189" s="243"/>
      <c r="D189" s="1748"/>
      <c r="K189" s="55"/>
      <c r="L189" s="55"/>
    </row>
    <row r="190" spans="1:12" s="1747" customFormat="1">
      <c r="A190" s="243"/>
      <c r="D190" s="1748"/>
      <c r="K190" s="55"/>
      <c r="L190" s="55"/>
    </row>
    <row r="191" spans="1:12" s="1747" customFormat="1">
      <c r="A191" s="243"/>
      <c r="D191" s="1748"/>
      <c r="K191" s="55"/>
      <c r="L191" s="55"/>
    </row>
    <row r="192" spans="1:12" s="1747" customFormat="1">
      <c r="A192" s="243"/>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60" t="s">
        <v>1198</v>
      </c>
      <c r="B1" s="3761"/>
      <c r="C1" s="3761"/>
      <c r="D1" s="3761"/>
      <c r="E1" s="3761"/>
      <c r="F1" s="3761"/>
      <c r="G1" s="3761"/>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H42" sqref="H42"/>
    </sheetView>
  </sheetViews>
  <sheetFormatPr defaultColWidth="14.625" defaultRowHeight="13.5"/>
  <cols>
    <col min="1" max="1" width="24.375" style="2928" customWidth="1"/>
    <col min="2" max="16384" width="14.625" style="2928"/>
  </cols>
  <sheetData>
    <row r="1" spans="1:10" ht="16.5">
      <c r="A1" s="2927" t="s">
        <v>2118</v>
      </c>
      <c r="B1" s="2927">
        <f>SUM(B14:B23)</f>
        <v>6342.01</v>
      </c>
      <c r="C1" s="2936"/>
      <c r="D1" s="2936"/>
      <c r="E1" s="2936"/>
      <c r="F1" s="2936"/>
      <c r="G1" s="2937"/>
      <c r="H1" s="2937"/>
      <c r="I1" s="2937"/>
      <c r="J1" s="2937"/>
    </row>
    <row r="2" spans="1:10" ht="16.5">
      <c r="A2" s="2927" t="s">
        <v>2119</v>
      </c>
      <c r="B2" s="2927">
        <f>SUM(C14:C23)</f>
        <v>4259.9399999999996</v>
      </c>
      <c r="C2" s="2936"/>
      <c r="D2" s="2936"/>
      <c r="E2" s="2936"/>
      <c r="F2" s="2936"/>
      <c r="G2" s="2937"/>
      <c r="H2" s="2937"/>
      <c r="I2" s="2937"/>
      <c r="J2" s="2937"/>
    </row>
    <row r="3" spans="1:10" ht="16.5">
      <c r="A3" s="2927" t="s">
        <v>2120</v>
      </c>
      <c r="B3" s="2929">
        <f>项目基本情况!D3</f>
        <v>45378</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688</v>
      </c>
      <c r="C5" s="2927">
        <f ca="1">ROUND(B5*10000/$B$1,0)</f>
        <v>1085</v>
      </c>
      <c r="D5" s="2927">
        <f ca="1">ROUND(B5*10000/$B$2,0)</f>
        <v>1615</v>
      </c>
      <c r="E5" s="2936"/>
      <c r="F5" s="2936"/>
      <c r="G5" s="2937"/>
      <c r="H5" s="2937"/>
      <c r="I5" s="2937"/>
      <c r="J5" s="2937"/>
    </row>
    <row r="6" spans="1:10" ht="16.5">
      <c r="A6" s="2927" t="s">
        <v>2126</v>
      </c>
      <c r="B6" s="2927">
        <f ca="1">SUM(G14:G23)</f>
        <v>688</v>
      </c>
      <c r="C6" s="2927">
        <f ca="1">ROUND(B6*10000/$B$1,0)</f>
        <v>1085</v>
      </c>
      <c r="D6" s="2927">
        <f ca="1">ROUND(B6*10000/$B$2,0)</f>
        <v>1615</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6342.01</v>
      </c>
      <c r="C14" s="2933">
        <f>结果表!K38</f>
        <v>4259.9399999999996</v>
      </c>
      <c r="D14" s="2933">
        <f ca="1">结果表!O38</f>
        <v>688</v>
      </c>
      <c r="E14" s="2933">
        <f ca="1">ROUND(D14*10000/B14,0)</f>
        <v>1085</v>
      </c>
      <c r="F14" s="2933">
        <f ca="1">ROUND(D14*10000/C14,0)</f>
        <v>1615</v>
      </c>
      <c r="G14" s="2933">
        <f ca="1">D14</f>
        <v>688</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K51" sqref="K51"/>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2" t="s">
        <v>1573</v>
      </c>
      <c r="B1" s="1563"/>
      <c r="C1" s="1591" t="s">
        <v>1574</v>
      </c>
      <c r="D1" s="1592" t="s">
        <v>3507</v>
      </c>
      <c r="E1" s="1591" t="s">
        <v>1575</v>
      </c>
      <c r="F1" s="1593" t="s">
        <v>3508</v>
      </c>
      <c r="G1" s="301"/>
      <c r="H1" s="301"/>
      <c r="I1" s="301"/>
      <c r="J1" s="1751"/>
      <c r="K1" s="1751"/>
      <c r="L1" s="1751"/>
      <c r="M1" s="1751"/>
      <c r="N1" s="1751"/>
      <c r="O1" s="1751"/>
      <c r="P1" s="1751"/>
      <c r="Q1" s="1751"/>
      <c r="R1" s="1751"/>
      <c r="S1" s="1751"/>
      <c r="T1" s="1751"/>
      <c r="U1" s="1751"/>
      <c r="V1" s="1751"/>
    </row>
    <row r="2" spans="1:22" ht="21.75" customHeight="1" thickBot="1">
      <c r="A2" s="3806" t="str">
        <f>项目基本情况!K2</f>
        <v>北京市出让国有建设用地使用权</v>
      </c>
      <c r="B2" s="3807"/>
      <c r="C2" s="3808"/>
      <c r="D2" s="3808"/>
      <c r="E2" s="3808"/>
      <c r="F2" s="3808"/>
      <c r="G2" s="3807"/>
      <c r="H2" s="3807"/>
      <c r="I2" s="3809"/>
      <c r="J2" s="1752"/>
      <c r="K2" s="1751"/>
      <c r="L2" s="1751"/>
      <c r="M2" s="1751"/>
      <c r="N2" s="1751"/>
      <c r="O2" s="1751"/>
      <c r="P2" s="1751"/>
      <c r="Q2" s="1751"/>
      <c r="R2" s="1751"/>
      <c r="S2" s="1751"/>
      <c r="T2" s="1751"/>
      <c r="U2" s="1751"/>
      <c r="V2" s="1751"/>
    </row>
    <row r="3" spans="1:22" ht="14.25">
      <c r="A3" s="3817" t="s">
        <v>264</v>
      </c>
      <c r="B3" s="3818"/>
      <c r="C3" s="3818"/>
      <c r="D3" s="3818"/>
      <c r="E3" s="3818"/>
      <c r="F3" s="3818"/>
      <c r="G3" s="3818"/>
      <c r="H3" s="3818"/>
      <c r="I3" s="3818"/>
      <c r="J3" s="1752"/>
      <c r="K3" s="1751"/>
      <c r="L3" s="1751"/>
      <c r="M3" s="1751"/>
      <c r="N3" s="1751"/>
      <c r="O3" s="1751"/>
      <c r="P3" s="1751"/>
      <c r="Q3" s="1751"/>
      <c r="R3" s="1751"/>
      <c r="S3" s="1751"/>
      <c r="T3" s="1751"/>
      <c r="U3" s="1751"/>
      <c r="V3" s="1751"/>
    </row>
    <row r="4" spans="1:22" ht="14.25">
      <c r="A4" s="248" t="s">
        <v>265</v>
      </c>
      <c r="B4" s="249" t="s">
        <v>266</v>
      </c>
      <c r="C4" s="250" t="s">
        <v>3290</v>
      </c>
      <c r="D4" s="250" t="s">
        <v>3506</v>
      </c>
      <c r="E4" s="3781" t="s">
        <v>267</v>
      </c>
      <c r="F4" s="3823"/>
      <c r="G4" s="3823"/>
      <c r="H4" s="3823"/>
      <c r="I4" s="3782"/>
      <c r="J4" s="1752"/>
      <c r="K4" s="1751"/>
      <c r="L4" s="2938" t="str">
        <f>IF(ISNUMBER(FIND("比较法",C4)),"比较法",IF(ISNUMBER(FIND("成本法",C4)),"成本法",IF(ISNUMBER(FIND("剩余法",C4)),"剩余法",IF(ISNUMBER(FIND("收益法",C4)),"收益法","基准地价系数修正法"))))</f>
        <v>剩余法</v>
      </c>
      <c r="M4" s="910" t="str">
        <f>IF(ISNUMBER(FIND("比较法",D4)),"比较法",IF(ISNUMBER(FIND("成本法",D4)),"成本法",IF(ISNUMBER(FIND("剩余法",D4)),"剩余法",IF(ISNUMBER(FIND("收益法",D4)),"收益法","基准地价系数修正法"))))</f>
        <v>比较法</v>
      </c>
      <c r="N4" s="1751"/>
      <c r="O4" s="1751"/>
      <c r="P4" s="1751"/>
      <c r="Q4" s="1751"/>
      <c r="R4" s="1751"/>
      <c r="S4" s="1751"/>
      <c r="T4" s="1751"/>
      <c r="U4" s="1751"/>
      <c r="V4" s="1751"/>
    </row>
    <row r="5" spans="1:22" ht="14.25">
      <c r="A5" s="3810" t="s">
        <v>268</v>
      </c>
      <c r="B5" s="3811">
        <v>25</v>
      </c>
      <c r="C5" s="3819"/>
      <c r="D5" s="3822"/>
      <c r="E5" s="251" t="s">
        <v>269</v>
      </c>
      <c r="F5" s="252"/>
      <c r="G5" s="252"/>
      <c r="H5" s="252"/>
      <c r="I5" s="253"/>
      <c r="J5" s="1752"/>
      <c r="K5" s="1751"/>
      <c r="L5" s="1751"/>
      <c r="M5" s="1751"/>
      <c r="N5" s="1751"/>
      <c r="O5" s="1751"/>
      <c r="P5" s="1751"/>
      <c r="Q5" s="1751"/>
      <c r="R5" s="1751"/>
      <c r="S5" s="1751"/>
      <c r="T5" s="1751"/>
      <c r="U5" s="1751"/>
      <c r="V5" s="1751"/>
    </row>
    <row r="6" spans="1:22" ht="14.25">
      <c r="A6" s="3810"/>
      <c r="B6" s="3811"/>
      <c r="C6" s="3820"/>
      <c r="D6" s="3822"/>
      <c r="E6" s="251" t="s">
        <v>270</v>
      </c>
      <c r="F6" s="252"/>
      <c r="G6" s="252"/>
      <c r="H6" s="252"/>
      <c r="I6" s="253"/>
      <c r="J6" s="1752"/>
      <c r="K6" s="1751"/>
      <c r="L6" s="1751"/>
      <c r="M6" s="1751"/>
      <c r="N6" s="1751"/>
      <c r="O6" s="1751"/>
      <c r="P6" s="1751"/>
      <c r="Q6" s="1751"/>
      <c r="R6" s="1751"/>
      <c r="S6" s="1751"/>
      <c r="T6" s="1751"/>
      <c r="U6" s="1751"/>
      <c r="V6" s="1751"/>
    </row>
    <row r="7" spans="1:22" ht="14.25">
      <c r="A7" s="3810"/>
      <c r="B7" s="3811"/>
      <c r="C7" s="3821"/>
      <c r="D7" s="3822"/>
      <c r="E7" s="251" t="s">
        <v>271</v>
      </c>
      <c r="F7" s="252"/>
      <c r="G7" s="252"/>
      <c r="H7" s="252"/>
      <c r="I7" s="253"/>
      <c r="J7" s="1752"/>
      <c r="K7" s="1751"/>
      <c r="L7" s="1751"/>
      <c r="M7" s="1751"/>
      <c r="N7" s="1751"/>
      <c r="O7" s="1751"/>
      <c r="P7" s="1751"/>
      <c r="Q7" s="1751"/>
      <c r="R7" s="1751"/>
      <c r="S7" s="1751"/>
      <c r="T7" s="1751"/>
      <c r="U7" s="1751"/>
      <c r="V7" s="1751"/>
    </row>
    <row r="8" spans="1:22" ht="14.25">
      <c r="A8" s="3810" t="s">
        <v>272</v>
      </c>
      <c r="B8" s="3811">
        <v>15</v>
      </c>
      <c r="C8" s="3819"/>
      <c r="D8" s="3822"/>
      <c r="E8" s="251" t="s">
        <v>273</v>
      </c>
      <c r="F8" s="252"/>
      <c r="G8" s="252"/>
      <c r="H8" s="252"/>
      <c r="I8" s="253"/>
      <c r="J8" s="1752"/>
      <c r="K8" s="1751"/>
      <c r="L8" s="1751"/>
      <c r="M8" s="1751"/>
      <c r="N8" s="1751"/>
      <c r="O8" s="1751"/>
      <c r="P8" s="1751"/>
      <c r="Q8" s="1751"/>
      <c r="R8" s="1751"/>
      <c r="S8" s="1751"/>
      <c r="T8" s="1751"/>
      <c r="U8" s="1751"/>
      <c r="V8" s="1751"/>
    </row>
    <row r="9" spans="1:22" ht="14.25">
      <c r="A9" s="3810"/>
      <c r="B9" s="3811"/>
      <c r="C9" s="3821"/>
      <c r="D9" s="3822"/>
      <c r="E9" s="251" t="s">
        <v>274</v>
      </c>
      <c r="F9" s="252"/>
      <c r="G9" s="252"/>
      <c r="H9" s="252"/>
      <c r="I9" s="253"/>
      <c r="J9" s="1752"/>
      <c r="K9" s="1751"/>
      <c r="L9" s="1751"/>
      <c r="M9" s="1751"/>
      <c r="N9" s="1751"/>
      <c r="O9" s="1751"/>
      <c r="P9" s="1751"/>
      <c r="Q9" s="1751"/>
      <c r="R9" s="1751"/>
      <c r="S9" s="1751"/>
      <c r="T9" s="1751"/>
      <c r="U9" s="1751"/>
      <c r="V9" s="1751"/>
    </row>
    <row r="10" spans="1:22" ht="14.25">
      <c r="A10" s="3810" t="s">
        <v>275</v>
      </c>
      <c r="B10" s="3811">
        <v>15</v>
      </c>
      <c r="C10" s="3819"/>
      <c r="D10" s="3822"/>
      <c r="E10" s="251" t="s">
        <v>276</v>
      </c>
      <c r="F10" s="252"/>
      <c r="G10" s="252"/>
      <c r="H10" s="252"/>
      <c r="I10" s="253"/>
      <c r="J10" s="1752"/>
      <c r="K10" s="1751"/>
      <c r="L10" s="1751"/>
      <c r="M10" s="1751"/>
      <c r="N10" s="1751"/>
      <c r="O10" s="1751"/>
      <c r="P10" s="1751"/>
      <c r="Q10" s="1751"/>
      <c r="R10" s="1751"/>
      <c r="S10" s="1751"/>
      <c r="T10" s="1751"/>
      <c r="U10" s="1751"/>
      <c r="V10" s="1751"/>
    </row>
    <row r="11" spans="1:22" ht="14.25">
      <c r="A11" s="3810"/>
      <c r="B11" s="3811"/>
      <c r="C11" s="3821"/>
      <c r="D11" s="3822"/>
      <c r="E11" s="251" t="s">
        <v>277</v>
      </c>
      <c r="F11" s="252"/>
      <c r="G11" s="252"/>
      <c r="H11" s="252"/>
      <c r="I11" s="253"/>
      <c r="J11" s="1752"/>
      <c r="K11" s="1751"/>
      <c r="L11" s="1751"/>
      <c r="M11" s="1751"/>
      <c r="N11" s="1751"/>
      <c r="O11" s="1751"/>
      <c r="P11" s="1751"/>
      <c r="Q11" s="1751"/>
      <c r="R11" s="1751"/>
      <c r="S11" s="1751"/>
      <c r="T11" s="1751"/>
      <c r="U11" s="1751"/>
      <c r="V11" s="1751"/>
    </row>
    <row r="12" spans="1:22" ht="14.25">
      <c r="A12" s="3810" t="s">
        <v>278</v>
      </c>
      <c r="B12" s="3811">
        <v>15</v>
      </c>
      <c r="C12" s="3819"/>
      <c r="D12" s="3822"/>
      <c r="E12" s="251" t="s">
        <v>279</v>
      </c>
      <c r="F12" s="252"/>
      <c r="G12" s="252"/>
      <c r="H12" s="252"/>
      <c r="I12" s="253"/>
      <c r="J12" s="1752"/>
      <c r="K12" s="1751"/>
      <c r="L12" s="1751"/>
      <c r="M12" s="1751"/>
      <c r="N12" s="1751"/>
      <c r="O12" s="1751"/>
      <c r="P12" s="1751"/>
      <c r="Q12" s="1751"/>
      <c r="R12" s="1751"/>
      <c r="S12" s="1751"/>
      <c r="T12" s="1751"/>
      <c r="U12" s="1751"/>
      <c r="V12" s="1751"/>
    </row>
    <row r="13" spans="1:22" ht="14.25">
      <c r="A13" s="3810"/>
      <c r="B13" s="3811"/>
      <c r="C13" s="3821"/>
      <c r="D13" s="3822"/>
      <c r="E13" s="251" t="s">
        <v>280</v>
      </c>
      <c r="F13" s="252"/>
      <c r="G13" s="252"/>
      <c r="H13" s="252"/>
      <c r="I13" s="253"/>
      <c r="J13" s="1752"/>
      <c r="K13" s="1751"/>
      <c r="L13" s="1751"/>
      <c r="M13" s="1751"/>
      <c r="N13" s="1751"/>
      <c r="O13" s="1751"/>
      <c r="P13" s="1751"/>
      <c r="Q13" s="1751"/>
      <c r="R13" s="1751"/>
      <c r="S13" s="1751"/>
      <c r="T13" s="1751"/>
      <c r="U13" s="1751"/>
      <c r="V13" s="1751"/>
    </row>
    <row r="14" spans="1:22" ht="14.25">
      <c r="A14" s="3810" t="s">
        <v>281</v>
      </c>
      <c r="B14" s="3811">
        <v>30</v>
      </c>
      <c r="C14" s="3819">
        <v>5</v>
      </c>
      <c r="D14" s="3822">
        <v>5</v>
      </c>
      <c r="E14" s="251" t="s">
        <v>282</v>
      </c>
      <c r="F14" s="252"/>
      <c r="G14" s="252"/>
      <c r="H14" s="252"/>
      <c r="I14" s="253"/>
      <c r="J14" s="1752"/>
      <c r="K14" s="1751"/>
      <c r="L14" s="1751"/>
      <c r="M14" s="1751"/>
      <c r="N14" s="1751"/>
      <c r="O14" s="1751"/>
      <c r="P14" s="1751"/>
      <c r="Q14" s="1751"/>
      <c r="R14" s="1751"/>
      <c r="S14" s="1751"/>
      <c r="T14" s="1751"/>
      <c r="U14" s="1751"/>
      <c r="V14" s="1751"/>
    </row>
    <row r="15" spans="1:22" ht="14.25">
      <c r="A15" s="3810"/>
      <c r="B15" s="3811"/>
      <c r="C15" s="3820"/>
      <c r="D15" s="3822"/>
      <c r="E15" s="251" t="s">
        <v>283</v>
      </c>
      <c r="F15" s="252"/>
      <c r="G15" s="252"/>
      <c r="H15" s="252"/>
      <c r="I15" s="253"/>
      <c r="J15" s="1752"/>
      <c r="K15" s="1751"/>
      <c r="L15" s="1751"/>
      <c r="M15" s="1751"/>
      <c r="N15" s="1751"/>
      <c r="O15" s="1751"/>
      <c r="P15" s="1751"/>
      <c r="Q15" s="1751"/>
      <c r="R15" s="1751"/>
      <c r="S15" s="1751"/>
      <c r="T15" s="1751"/>
      <c r="U15" s="1751"/>
      <c r="V15" s="1751"/>
    </row>
    <row r="16" spans="1:22" ht="14.25">
      <c r="A16" s="3810"/>
      <c r="B16" s="3811"/>
      <c r="C16" s="3821"/>
      <c r="D16" s="3822"/>
      <c r="E16" s="251" t="s">
        <v>284</v>
      </c>
      <c r="F16" s="252"/>
      <c r="G16" s="252"/>
      <c r="H16" s="252"/>
      <c r="I16" s="253"/>
      <c r="J16" s="1752"/>
      <c r="K16" s="1751"/>
      <c r="L16" s="1751"/>
      <c r="M16" s="1751"/>
      <c r="N16" s="1751"/>
      <c r="O16" s="1751"/>
      <c r="P16" s="1751"/>
      <c r="Q16" s="1751"/>
      <c r="R16" s="1751"/>
      <c r="S16" s="1751"/>
      <c r="T16" s="1751"/>
      <c r="U16" s="1751"/>
      <c r="V16" s="1751"/>
    </row>
    <row r="17" spans="1:26" ht="15">
      <c r="A17" s="254" t="s">
        <v>285</v>
      </c>
      <c r="B17" s="137"/>
      <c r="C17" s="255">
        <f>SUM(C5:C16)</f>
        <v>5</v>
      </c>
      <c r="D17" s="255">
        <f>SUM(D5:D16)</f>
        <v>5</v>
      </c>
      <c r="E17" s="301"/>
      <c r="F17" s="301"/>
      <c r="G17" s="301"/>
      <c r="H17" s="301"/>
      <c r="I17" s="301"/>
      <c r="J17" s="1752"/>
      <c r="K17" s="1751"/>
      <c r="L17" s="1751"/>
      <c r="M17" s="1751"/>
      <c r="N17" s="1751"/>
      <c r="O17" s="1751"/>
      <c r="P17" s="1751"/>
      <c r="Q17" s="1751"/>
      <c r="R17" s="1751"/>
      <c r="S17" s="1751"/>
      <c r="T17" s="1751"/>
      <c r="U17" s="1751"/>
      <c r="V17" s="1751"/>
    </row>
    <row r="18" spans="1:26" ht="32.450000000000003" customHeight="1" thickBot="1">
      <c r="A18" s="256" t="s">
        <v>286</v>
      </c>
      <c r="B18" s="101"/>
      <c r="C18" s="257">
        <f>ROUND(C17/SUM(C17:D17),2)</f>
        <v>0.5</v>
      </c>
      <c r="D18" s="257">
        <f>1-C18</f>
        <v>0.5</v>
      </c>
      <c r="E18" s="3824" t="s">
        <v>2254</v>
      </c>
      <c r="F18" s="3825"/>
      <c r="G18" s="3825"/>
      <c r="H18" s="3825"/>
      <c r="I18" s="3825"/>
      <c r="J18" s="1751"/>
      <c r="K18" s="1751"/>
      <c r="L18" s="1751"/>
      <c r="M18" s="1751"/>
      <c r="N18" s="1751"/>
      <c r="O18" s="1751"/>
      <c r="P18" s="1751"/>
      <c r="Q18" s="1751"/>
      <c r="R18" s="1751"/>
      <c r="S18" s="1751"/>
      <c r="T18" s="1751"/>
      <c r="U18" s="1751"/>
      <c r="V18" s="1751"/>
    </row>
    <row r="19" spans="1:26" ht="15">
      <c r="A19" s="258" t="s">
        <v>287</v>
      </c>
      <c r="B19" s="259" t="s">
        <v>288</v>
      </c>
      <c r="C19" s="260">
        <f ca="1">SUMIF(INDIRECT("'"&amp;C4&amp;"'"&amp;"!A:A"),结果表!B19,INDIRECT("'"&amp;C4&amp;"'"&amp;"!B:B"))</f>
        <v>621</v>
      </c>
      <c r="D19" s="261">
        <f ca="1">SUMIF(INDIRECT("'"&amp;D4&amp;"'"&amp;"!A:A"),结果表!B19,INDIRECT("'"&amp;D4&amp;"'"&amp;"!B:B"))</f>
        <v>755</v>
      </c>
      <c r="E19" s="258" t="s">
        <v>289</v>
      </c>
      <c r="F19" s="259" t="s">
        <v>288</v>
      </c>
      <c r="G19" s="262">
        <f ca="1">ROUND(C19*$C$18+D19*$D$18,0)</f>
        <v>688</v>
      </c>
      <c r="H19" s="263" t="s">
        <v>290</v>
      </c>
      <c r="I19" s="301"/>
      <c r="J19" s="1751"/>
      <c r="K19" s="1751"/>
      <c r="L19" s="1751"/>
      <c r="M19" s="1751"/>
      <c r="N19" s="1751"/>
      <c r="O19" s="1751"/>
      <c r="P19" s="1751"/>
      <c r="Q19" s="1751"/>
      <c r="R19" s="1751"/>
      <c r="S19" s="1751"/>
      <c r="T19" s="1751"/>
      <c r="U19" s="1751"/>
      <c r="V19" s="1751"/>
    </row>
    <row r="20" spans="1:26" ht="15">
      <c r="A20" s="264"/>
      <c r="B20" s="265" t="s">
        <v>291</v>
      </c>
      <c r="C20" s="266">
        <f ca="1">SUMIF(INDIRECT("'"&amp;C4&amp;"'"&amp;"!A:A"),结果表!B20,INDIRECT("'"&amp;C4&amp;"'"&amp;"!B:B"))</f>
        <v>979</v>
      </c>
      <c r="D20" s="267">
        <f ca="1">SUMIF(INDIRECT("'"&amp;D4&amp;"'"&amp;"!A:A"),结果表!B20,INDIRECT("'"&amp;D4&amp;"'"&amp;"!B:B"))</f>
        <v>1190</v>
      </c>
      <c r="E20" s="264"/>
      <c r="F20" s="265" t="s">
        <v>291</v>
      </c>
      <c r="G20" s="268">
        <f ca="1">ROUND(C20*$C$18+D20*$D$18,0)</f>
        <v>1085</v>
      </c>
      <c r="H20" s="269" t="s">
        <v>292</v>
      </c>
      <c r="I20" s="301"/>
      <c r="J20" s="1751"/>
      <c r="K20" s="1751"/>
      <c r="L20" s="1751"/>
      <c r="M20" s="1751"/>
      <c r="N20" s="1751"/>
      <c r="O20" s="1751"/>
      <c r="P20" s="1751"/>
      <c r="Q20" s="1751"/>
      <c r="R20" s="1751"/>
      <c r="S20" s="1751"/>
      <c r="T20" s="1751"/>
      <c r="U20" s="1751"/>
      <c r="V20" s="1751"/>
    </row>
    <row r="21" spans="1:26" ht="15" customHeight="1">
      <c r="A21" s="264"/>
      <c r="B21" s="270" t="s">
        <v>293</v>
      </c>
      <c r="C21" s="271">
        <f ca="1">SUMIF(INDIRECT("'"&amp;C4&amp;"'"&amp;"!A:A"),结果表!B21,INDIRECT("'"&amp;C4&amp;"'"&amp;"!B:B"))</f>
        <v>1458</v>
      </c>
      <c r="D21" s="144">
        <f ca="1">SUMIF(INDIRECT("'"&amp;D4&amp;"'"&amp;"!A:A"),结果表!B21,INDIRECT("'"&amp;D4&amp;"'"&amp;"!B:B"))</f>
        <v>1772</v>
      </c>
      <c r="E21" s="264"/>
      <c r="F21" s="270" t="s">
        <v>293</v>
      </c>
      <c r="G21" s="272">
        <f ca="1">ROUND(C21*$C$18+D21*$D$18,0)</f>
        <v>1615</v>
      </c>
      <c r="H21" s="1119" t="s">
        <v>292</v>
      </c>
      <c r="I21" s="301"/>
      <c r="J21" s="1751"/>
      <c r="K21" s="1751"/>
      <c r="L21" s="1751"/>
      <c r="M21" s="1751"/>
      <c r="N21" s="1751"/>
      <c r="O21" s="1751"/>
      <c r="P21" s="1751"/>
      <c r="Q21" s="1751"/>
      <c r="R21" s="1751"/>
      <c r="S21" s="1751"/>
      <c r="T21" s="1751"/>
      <c r="U21" s="1751"/>
      <c r="V21" s="1751"/>
    </row>
    <row r="22" spans="1:26" ht="15.75" thickBot="1">
      <c r="A22" s="122" t="s">
        <v>294</v>
      </c>
      <c r="B22" s="1120"/>
      <c r="C22" s="1121"/>
      <c r="D22" s="273">
        <f ca="1">IF(C19&lt;D19,D19/C19-1,C19/D19-1)</f>
        <v>0.21578099838969411</v>
      </c>
      <c r="E22" s="274"/>
      <c r="F22" s="275"/>
      <c r="G22" s="276">
        <f ca="1">ROUND(G19/('数据-汇总表'!D3/666.67),0)</f>
        <v>108</v>
      </c>
      <c r="H22" s="277" t="s">
        <v>295</v>
      </c>
      <c r="I22" s="301"/>
      <c r="J22" s="1751"/>
      <c r="K22" s="1751"/>
      <c r="L22" s="1751"/>
      <c r="M22" s="1751"/>
      <c r="N22" s="1751"/>
      <c r="O22" s="1751"/>
      <c r="P22" s="1751"/>
      <c r="Q22" s="1751"/>
      <c r="R22" s="1751"/>
      <c r="S22" s="1751"/>
      <c r="T22" s="1751"/>
      <c r="U22" s="1751"/>
      <c r="V22" s="1751"/>
    </row>
    <row r="23" spans="1:26" ht="13.5" thickBot="1">
      <c r="A23" s="301"/>
      <c r="B23" s="301"/>
      <c r="C23" s="301"/>
      <c r="D23" s="301"/>
      <c r="E23" s="301"/>
      <c r="F23" s="301"/>
      <c r="G23" s="301"/>
      <c r="H23" s="301"/>
      <c r="I23" s="301"/>
      <c r="J23" s="1751"/>
      <c r="K23" s="1751"/>
      <c r="L23" s="1751"/>
      <c r="M23" s="1751"/>
      <c r="N23" s="1751"/>
      <c r="O23" s="1751"/>
      <c r="P23" s="1751"/>
      <c r="Q23" s="1751"/>
      <c r="R23" s="1751"/>
      <c r="S23" s="1751"/>
      <c r="T23" s="1751"/>
      <c r="U23" s="1751"/>
      <c r="V23" s="1751"/>
    </row>
    <row r="24" spans="1:26" ht="15" thickBot="1">
      <c r="A24" s="3783" t="s">
        <v>296</v>
      </c>
      <c r="B24" s="259" t="s">
        <v>288</v>
      </c>
      <c r="C24" s="278">
        <f>IF(B30=0,0,D30)</f>
        <v>0</v>
      </c>
      <c r="D24" s="279"/>
      <c r="E24" s="301"/>
      <c r="F24" s="301"/>
      <c r="G24" s="301"/>
      <c r="H24" s="301"/>
      <c r="I24" s="301"/>
      <c r="J24" s="1751"/>
      <c r="K24" s="1751"/>
      <c r="L24" s="1751"/>
      <c r="M24" s="1751"/>
      <c r="N24" s="1751"/>
      <c r="O24" s="1751"/>
      <c r="P24" s="1751"/>
      <c r="Q24" s="1751"/>
      <c r="R24" s="1751"/>
      <c r="S24" s="1751"/>
      <c r="T24" s="1751"/>
      <c r="U24" s="1751"/>
      <c r="V24" s="1751"/>
    </row>
    <row r="25" spans="1:26" ht="18">
      <c r="A25" s="3830"/>
      <c r="B25" s="1189" t="s">
        <v>297</v>
      </c>
      <c r="C25" s="280">
        <f>IF(B30=0,0,C30)</f>
        <v>0</v>
      </c>
      <c r="D25" s="281"/>
      <c r="E25" s="301"/>
      <c r="F25" s="301"/>
      <c r="G25" s="301"/>
      <c r="H25" s="301"/>
      <c r="I25" s="301"/>
      <c r="J25" s="1751"/>
      <c r="K25" s="1123" t="str">
        <f ca="1">项目基本情况!A17&amp;"国有建设用地使用权价格："&amp;O38&amp;"万元"</f>
        <v>出让国有建设用地使用权价格：688万元</v>
      </c>
      <c r="L25" s="1124"/>
      <c r="M25" s="1124"/>
      <c r="N25" s="1124"/>
      <c r="O25" s="1125"/>
      <c r="P25" s="1751"/>
      <c r="Q25" s="1751"/>
      <c r="R25" s="1751"/>
      <c r="S25" s="1751"/>
      <c r="T25" s="1751"/>
      <c r="U25" s="1751"/>
      <c r="V25" s="1751"/>
    </row>
    <row r="26" spans="1:26" s="1122" customFormat="1" ht="18">
      <c r="A26" s="283" t="s">
        <v>298</v>
      </c>
      <c r="B26" s="284" t="s">
        <v>299</v>
      </c>
      <c r="C26" s="284" t="s">
        <v>300</v>
      </c>
      <c r="D26" s="285" t="s">
        <v>301</v>
      </c>
      <c r="E26" s="301"/>
      <c r="F26" s="301"/>
      <c r="G26" s="301"/>
      <c r="H26" s="301"/>
      <c r="I26" s="301"/>
      <c r="J26" s="1751"/>
      <c r="K26" s="1126" t="str">
        <f ca="1">"大写金额：人民币"&amp;NUMBERSTRING(INT(O38*10000),2)&amp;"元整"</f>
        <v>大写金额：人民币陆佰捌拾捌万元整</v>
      </c>
      <c r="L26" s="1120"/>
      <c r="M26" s="1120"/>
      <c r="N26" s="1120"/>
      <c r="O26" s="1119"/>
      <c r="P26" s="1751"/>
      <c r="Q26" s="1751"/>
      <c r="R26" s="1751"/>
      <c r="S26" s="1751"/>
      <c r="T26" s="1751"/>
      <c r="U26" s="1751"/>
      <c r="V26" s="1751"/>
      <c r="W26" s="282"/>
      <c r="X26" s="282"/>
      <c r="Y26" s="282"/>
      <c r="Z26" s="282"/>
    </row>
    <row r="27" spans="1:26" ht="18">
      <c r="A27" s="283"/>
      <c r="B27" s="284"/>
      <c r="C27" s="284"/>
      <c r="D27" s="285"/>
      <c r="E27" s="301"/>
      <c r="F27" s="301"/>
      <c r="G27" s="301"/>
      <c r="H27" s="301"/>
      <c r="I27" s="301"/>
      <c r="J27" s="1751"/>
      <c r="K27" s="1126" t="str">
        <f ca="1">"单位面积地价："&amp;M38&amp;"元/平方米"</f>
        <v>单位面积地价：1615元/平方米</v>
      </c>
      <c r="L27" s="1120"/>
      <c r="M27" s="1120"/>
      <c r="N27" s="1120"/>
      <c r="O27" s="1119"/>
      <c r="P27" s="1751"/>
      <c r="Q27" s="1751"/>
      <c r="R27" s="1751"/>
      <c r="S27" s="1751"/>
      <c r="T27" s="1751"/>
      <c r="U27" s="1751"/>
      <c r="V27" s="1751"/>
    </row>
    <row r="28" spans="1:26" ht="18.75" customHeight="1">
      <c r="A28" s="283"/>
      <c r="B28" s="284"/>
      <c r="C28" s="284"/>
      <c r="D28" s="285"/>
      <c r="E28" s="301"/>
      <c r="F28" s="301"/>
      <c r="G28" s="301"/>
      <c r="H28" s="301"/>
      <c r="I28" s="301"/>
      <c r="J28" s="1751"/>
      <c r="K28" s="1126" t="str">
        <f ca="1">"楼面地价："&amp;N38&amp;"元/平方米"</f>
        <v>楼面地价：1085元/平方米</v>
      </c>
      <c r="L28" s="1120"/>
      <c r="M28" s="1120"/>
      <c r="N28" s="1120"/>
      <c r="O28" s="1119"/>
      <c r="P28" s="1751"/>
      <c r="V28" s="1751"/>
    </row>
    <row r="29" spans="1:26" ht="18">
      <c r="A29" s="283"/>
      <c r="B29" s="284"/>
      <c r="C29" s="284"/>
      <c r="D29" s="285"/>
      <c r="E29" s="301"/>
      <c r="F29" s="301"/>
      <c r="G29" s="301"/>
      <c r="H29" s="301"/>
      <c r="I29" s="301"/>
      <c r="J29" s="1751"/>
      <c r="K29" s="1126" t="str">
        <f ca="1">IF(OR(项目基本情况!E8="抵押价格",项目基本情况!E8="已注销及未注销"),"抵押价格："&amp;O39&amp;"万元","——")</f>
        <v>抵押价格：688万元</v>
      </c>
      <c r="L29" s="1120"/>
      <c r="M29" s="1120"/>
      <c r="N29" s="1120"/>
      <c r="O29" s="1119"/>
      <c r="P29" s="1751"/>
      <c r="V29" s="1751"/>
    </row>
    <row r="30" spans="1:26" ht="18.75" thickBot="1">
      <c r="A30" s="2554" t="s">
        <v>302</v>
      </c>
      <c r="B30" s="299"/>
      <c r="C30" s="299"/>
      <c r="D30" s="300"/>
      <c r="E30" s="2745" t="s">
        <v>2255</v>
      </c>
      <c r="F30" s="301"/>
      <c r="G30" s="301"/>
      <c r="H30" s="301"/>
      <c r="I30" s="301"/>
      <c r="J30" s="1751"/>
      <c r="K30" s="1126" t="str">
        <f ca="1">IF(K29="——","——","大写金额：人民币"&amp;NUMBERSTRING(INT(O39*10000),2)&amp;"元整")</f>
        <v>大写金额：人民币陆佰捌拾捌万元整</v>
      </c>
      <c r="L30" s="1120"/>
      <c r="M30" s="1120"/>
      <c r="N30" s="1120"/>
      <c r="O30" s="1119"/>
      <c r="P30" s="1751"/>
      <c r="V30" s="1751"/>
    </row>
    <row r="31" spans="1:26" ht="24" customHeight="1" thickBot="1">
      <c r="A31" s="3826" t="s">
        <v>2256</v>
      </c>
      <c r="B31" s="3826"/>
      <c r="C31" s="3826"/>
      <c r="D31" s="3826"/>
      <c r="E31" s="3826"/>
      <c r="F31" s="3826"/>
      <c r="G31" s="3826"/>
      <c r="H31" s="3826"/>
      <c r="I31" s="3826"/>
      <c r="J31" s="1751"/>
      <c r="K31" s="2117" t="str">
        <f>IF(项目基本情况!E8="抵押价格","——","抵押担保权已注销时的抵押价格："&amp;O40&amp;"万元")</f>
        <v>——</v>
      </c>
      <c r="L31" s="2113"/>
      <c r="M31" s="2113"/>
      <c r="N31" s="2113"/>
      <c r="O31" s="2114"/>
      <c r="P31" s="1751"/>
      <c r="V31" s="1751"/>
    </row>
    <row r="32" spans="1:26" ht="19.5" thickTop="1" thickBot="1">
      <c r="A32" s="264" t="s">
        <v>303</v>
      </c>
      <c r="B32" s="2746" t="s">
        <v>1221</v>
      </c>
      <c r="C32" s="256">
        <f ca="1">G19-C24</f>
        <v>688</v>
      </c>
      <c r="D32" s="2747" t="s">
        <v>1222</v>
      </c>
      <c r="E32" s="301"/>
      <c r="F32" s="301"/>
      <c r="G32" s="301"/>
      <c r="H32" s="301"/>
      <c r="I32" s="301"/>
      <c r="J32" s="1751"/>
      <c r="K32" s="2112" t="str">
        <f>IF(K31="——","——","大写金额：人民币"&amp;NUMBERSTRING(INT(O40*10000),2)&amp;"元整")</f>
        <v>——</v>
      </c>
      <c r="L32" s="2115"/>
      <c r="M32" s="2115"/>
      <c r="N32" s="2115"/>
      <c r="O32" s="2116"/>
      <c r="P32" s="1751"/>
      <c r="V32" s="1751"/>
    </row>
    <row r="33" spans="1:26" ht="18.75" thickBot="1">
      <c r="A33" s="288" t="s">
        <v>306</v>
      </c>
      <c r="B33" s="1238" t="s">
        <v>1223</v>
      </c>
      <c r="C33" s="254">
        <f ca="1">ROUND(C32*10000/'数据-汇总表'!E3,0)</f>
        <v>1085</v>
      </c>
      <c r="D33" s="1239" t="s">
        <v>1224</v>
      </c>
      <c r="E33" s="3783" t="s">
        <v>304</v>
      </c>
      <c r="F33" s="286" t="s">
        <v>305</v>
      </c>
      <c r="G33" s="287"/>
      <c r="H33" s="941"/>
      <c r="I33" s="1127"/>
      <c r="J33" s="1751"/>
      <c r="K33" s="1126" t="str">
        <f>IF(项目基本情况!E9="——","——","抵押净值："&amp;C46&amp;"万元")</f>
        <v>抵押净值：——万元</v>
      </c>
      <c r="L33" s="1120"/>
      <c r="M33" s="1120"/>
      <c r="N33" s="1120"/>
      <c r="O33" s="1119"/>
      <c r="P33" s="1751"/>
      <c r="V33" s="1751"/>
    </row>
    <row r="34" spans="1:26" s="1122" customFormat="1" ht="18.75" thickBot="1">
      <c r="A34" s="290"/>
      <c r="B34" s="1240" t="s">
        <v>1225</v>
      </c>
      <c r="C34" s="254">
        <f ca="1">ROUND(C32*10000/'数据-汇总表'!D3,0)</f>
        <v>1615</v>
      </c>
      <c r="D34" s="1241" t="s">
        <v>1224</v>
      </c>
      <c r="E34" s="3784"/>
      <c r="F34" s="123" t="s">
        <v>307</v>
      </c>
      <c r="G34" s="289"/>
      <c r="H34" s="101"/>
      <c r="I34" s="301"/>
      <c r="J34" s="1751"/>
      <c r="K34" s="1129" t="e">
        <f>IF(K33="——","——","大写金额：人民币"&amp;NUMBERSTRING(INT(O41*10000),2)&amp;"元整")</f>
        <v>#VALUE!</v>
      </c>
      <c r="L34" s="1130"/>
      <c r="M34" s="1130"/>
      <c r="N34" s="1130"/>
      <c r="O34" s="1131"/>
      <c r="P34" s="1751"/>
      <c r="Q34" s="282"/>
      <c r="R34" s="282"/>
      <c r="S34" s="282"/>
      <c r="T34" s="282"/>
      <c r="U34" s="282"/>
      <c r="V34" s="1751"/>
      <c r="W34" s="282"/>
      <c r="X34" s="282"/>
      <c r="Y34" s="282"/>
      <c r="Z34" s="282"/>
    </row>
    <row r="35" spans="1:26" ht="15.75" thickBot="1">
      <c r="A35" s="274"/>
      <c r="B35" s="1242"/>
      <c r="C35" s="1243">
        <f ca="1">ROUND(C32/('数据-汇总表'!D3/666.67),0)</f>
        <v>108</v>
      </c>
      <c r="D35" s="1244" t="s">
        <v>1226</v>
      </c>
      <c r="E35" s="3785"/>
      <c r="F35" s="291" t="s">
        <v>308</v>
      </c>
      <c r="G35" s="943"/>
      <c r="H35" s="942" t="s">
        <v>309</v>
      </c>
      <c r="I35" s="301"/>
      <c r="J35" s="1751"/>
      <c r="K35" s="3789" t="s">
        <v>316</v>
      </c>
      <c r="L35" s="3789" t="s">
        <v>317</v>
      </c>
      <c r="M35" s="1132" t="s">
        <v>318</v>
      </c>
      <c r="N35" s="3789" t="s">
        <v>319</v>
      </c>
      <c r="O35" s="3789" t="s">
        <v>320</v>
      </c>
      <c r="P35" s="1751"/>
      <c r="V35" s="1751"/>
    </row>
    <row r="36" spans="1:26" ht="16.5" customHeight="1">
      <c r="A36" s="293" t="s">
        <v>310</v>
      </c>
      <c r="B36" s="294" t="s">
        <v>299</v>
      </c>
      <c r="C36" s="295" t="s">
        <v>311</v>
      </c>
      <c r="D36" s="295" t="s">
        <v>312</v>
      </c>
      <c r="E36" s="296" t="s">
        <v>313</v>
      </c>
      <c r="F36" s="301"/>
      <c r="G36" s="301"/>
      <c r="H36" s="301"/>
      <c r="I36" s="301"/>
      <c r="J36" s="1753"/>
      <c r="K36" s="3790"/>
      <c r="L36" s="3790"/>
      <c r="M36" s="1134" t="s">
        <v>321</v>
      </c>
      <c r="N36" s="3790"/>
      <c r="O36" s="3790"/>
      <c r="P36" s="1751"/>
      <c r="V36" s="1751"/>
    </row>
    <row r="37" spans="1:26" ht="16.5" customHeight="1" thickBot="1">
      <c r="A37" s="1128" t="s">
        <v>314</v>
      </c>
      <c r="B37" s="297"/>
      <c r="C37" s="284"/>
      <c r="D37" s="284"/>
      <c r="E37" s="285"/>
      <c r="F37" s="301"/>
      <c r="G37" s="301"/>
      <c r="H37" s="301"/>
      <c r="I37" s="301"/>
      <c r="J37" s="1753"/>
      <c r="K37" s="3791"/>
      <c r="L37" s="3791"/>
      <c r="M37" s="1135"/>
      <c r="N37" s="3791"/>
      <c r="O37" s="3791"/>
      <c r="P37" s="1751"/>
      <c r="V37" s="1751"/>
    </row>
    <row r="38" spans="1:26" ht="16.5" customHeight="1" thickBot="1">
      <c r="A38" s="1128" t="s">
        <v>315</v>
      </c>
      <c r="B38" s="297"/>
      <c r="C38" s="284"/>
      <c r="D38" s="284"/>
      <c r="E38" s="285"/>
      <c r="F38" s="301"/>
      <c r="G38" s="301"/>
      <c r="H38" s="301"/>
      <c r="I38" s="301"/>
      <c r="J38" s="1753"/>
      <c r="K38" s="1136">
        <f>'数据-汇总表'!D3</f>
        <v>4259.9399999999996</v>
      </c>
      <c r="L38" s="1137">
        <f>'数据-汇总表'!E3</f>
        <v>6342.01</v>
      </c>
      <c r="M38" s="1137">
        <f ca="1">C34</f>
        <v>1615</v>
      </c>
      <c r="N38" s="1137">
        <f ca="1">C33</f>
        <v>1085</v>
      </c>
      <c r="O38" s="1138">
        <f ca="1">C32</f>
        <v>688</v>
      </c>
      <c r="P38" s="1751"/>
      <c r="V38" s="1751"/>
    </row>
    <row r="39" spans="1:26" ht="16.5" customHeight="1" thickBot="1">
      <c r="A39" s="1133"/>
      <c r="B39" s="298"/>
      <c r="C39" s="299"/>
      <c r="D39" s="299"/>
      <c r="E39" s="300"/>
      <c r="F39" s="301"/>
      <c r="G39" s="301"/>
      <c r="H39" s="301"/>
      <c r="I39" s="301"/>
      <c r="J39" s="1753"/>
      <c r="K39" s="3802" t="str">
        <f>MID(A44,3,LEN(A44)-2)</f>
        <v>抵押价格</v>
      </c>
      <c r="L39" s="3803"/>
      <c r="M39" s="3803"/>
      <c r="N39" s="3804"/>
      <c r="O39" s="1246">
        <f ca="1">C44</f>
        <v>688</v>
      </c>
      <c r="P39" s="1751"/>
      <c r="V39" s="1751"/>
    </row>
    <row r="40" spans="1:26" ht="19.5" thickBot="1">
      <c r="A40" s="100" t="s">
        <v>810</v>
      </c>
      <c r="B40" s="301"/>
      <c r="C40" s="301"/>
      <c r="D40" s="301"/>
      <c r="E40" s="301"/>
      <c r="F40" s="301"/>
      <c r="G40" s="301"/>
      <c r="H40" s="301"/>
      <c r="I40" s="301"/>
      <c r="J40" s="1753"/>
      <c r="K40" s="3802" t="str">
        <f>MID(A45,3,LEN(A45)-2)</f>
        <v/>
      </c>
      <c r="L40" s="3803"/>
      <c r="M40" s="3803"/>
      <c r="N40" s="3804"/>
      <c r="O40" s="1246" t="str">
        <f>C45</f>
        <v>——</v>
      </c>
      <c r="P40" s="1751"/>
      <c r="V40" s="1751"/>
    </row>
    <row r="41" spans="1:26" ht="16.5" thickBot="1">
      <c r="A41" s="302" t="s">
        <v>322</v>
      </c>
      <c r="B41" s="303"/>
      <c r="C41" s="304" t="s">
        <v>323</v>
      </c>
      <c r="D41" s="305" t="s">
        <v>324</v>
      </c>
      <c r="E41" s="305" t="s">
        <v>325</v>
      </c>
      <c r="F41" s="306" t="s">
        <v>326</v>
      </c>
      <c r="G41" s="301"/>
      <c r="H41" s="301"/>
      <c r="I41" s="301"/>
      <c r="J41" s="1753"/>
      <c r="K41" s="3802" t="str">
        <f>MID(A46,3,LEN(A46)-2)</f>
        <v/>
      </c>
      <c r="L41" s="3803"/>
      <c r="M41" s="3803"/>
      <c r="N41" s="3804"/>
      <c r="O41" s="1246" t="str">
        <f>C46</f>
        <v>——</v>
      </c>
      <c r="P41" s="1751"/>
      <c r="V41" s="1751"/>
    </row>
    <row r="42" spans="1:26" ht="29.25">
      <c r="A42" s="3831" t="s">
        <v>1585</v>
      </c>
      <c r="B42" s="3832"/>
      <c r="C42" s="254">
        <f ca="1">C32</f>
        <v>688</v>
      </c>
      <c r="D42" s="307">
        <f ca="1">C33</f>
        <v>1085</v>
      </c>
      <c r="E42" s="307">
        <f ca="1">C34</f>
        <v>1615</v>
      </c>
      <c r="F42" s="308">
        <f ca="1">C35</f>
        <v>108</v>
      </c>
      <c r="G42" s="301"/>
      <c r="H42" s="301"/>
      <c r="I42" s="309"/>
      <c r="J42" s="1753"/>
      <c r="K42" s="1139" t="s">
        <v>327</v>
      </c>
      <c r="L42" s="1770" t="s">
        <v>328</v>
      </c>
      <c r="M42" s="1140" t="s">
        <v>329</v>
      </c>
      <c r="N42" s="1771" t="s">
        <v>330</v>
      </c>
      <c r="O42" s="1772" t="s">
        <v>331</v>
      </c>
      <c r="P42" s="1751"/>
      <c r="V42" s="1751"/>
    </row>
    <row r="43" spans="1:26" ht="30">
      <c r="A43" s="3841" t="s">
        <v>2012</v>
      </c>
      <c r="B43" s="3842"/>
      <c r="C43" s="254">
        <f>IF(H33="正常操作",G33+G34+G35,G34+G35)</f>
        <v>0</v>
      </c>
      <c r="D43" s="307" t="s">
        <v>17</v>
      </c>
      <c r="E43" s="307" t="s">
        <v>18</v>
      </c>
      <c r="F43" s="308" t="s">
        <v>18</v>
      </c>
      <c r="G43" s="2345" t="s">
        <v>877</v>
      </c>
      <c r="H43" s="301"/>
      <c r="I43" s="309"/>
      <c r="J43" s="1753"/>
      <c r="K43" s="1141" t="str">
        <f>C4</f>
        <v>剩余法-待开发</v>
      </c>
      <c r="L43" s="1142">
        <f ca="1">IF(L42="估价结果/万元",C19,C20)</f>
        <v>621</v>
      </c>
      <c r="M43" s="1143">
        <f>C18</f>
        <v>0.5</v>
      </c>
      <c r="N43" s="1144">
        <f ca="1">IF(N42="测算结果/万元",G19,G20)</f>
        <v>688</v>
      </c>
      <c r="O43" s="1145">
        <f ca="1">IF(O42="最终结果/万元",C32,C33)</f>
        <v>688</v>
      </c>
      <c r="P43" s="1751"/>
      <c r="V43" s="1751"/>
    </row>
    <row r="44" spans="1:26" ht="18.75" thickBot="1">
      <c r="A44" s="3831" t="str">
        <f>IF(OR(项目基本情况!E8="抵押价格",项目基本情况!E8="已注销及未注销"),"3.抵押价格","——")</f>
        <v>3.抵押价格</v>
      </c>
      <c r="B44" s="3832"/>
      <c r="C44" s="254">
        <f ca="1">IF(A44="——","——",C42-C43)</f>
        <v>688</v>
      </c>
      <c r="D44" s="307">
        <f ca="1">ROUND(C44*10000/'数据-汇总表'!E3,0)</f>
        <v>1085</v>
      </c>
      <c r="E44" s="307">
        <f ca="1">ROUND(C44*10000/'数据-汇总表'!D3,0)</f>
        <v>1615</v>
      </c>
      <c r="F44" s="308">
        <f ca="1">ROUND(C44/('数据-汇总表'!D3/666.67),0)</f>
        <v>108</v>
      </c>
      <c r="G44" s="301"/>
      <c r="H44" s="301"/>
      <c r="I44" s="309"/>
      <c r="J44" s="1753"/>
      <c r="K44" s="1146" t="str">
        <f>D4</f>
        <v>比较法-工业</v>
      </c>
      <c r="L44" s="1147">
        <f ca="1">IF(L42="估价结果/万元",D19,D20)</f>
        <v>755</v>
      </c>
      <c r="M44" s="1148">
        <f>D18</f>
        <v>0.5</v>
      </c>
      <c r="N44" s="1149"/>
      <c r="O44" s="1150"/>
      <c r="P44" s="1751"/>
      <c r="V44" s="1751"/>
    </row>
    <row r="45" spans="1:26" ht="15">
      <c r="A45" s="3836" t="str">
        <f>IF(项目基本情况!E8="已注销及未注销","4.抵押担保权已注销时的抵押价格",IF(项目基本情况!E8="已注销","3.抵押担保权已注销时的抵押价格","——"))</f>
        <v>——</v>
      </c>
      <c r="B45" s="3837"/>
      <c r="C45" s="1590"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3"/>
      <c r="K45" s="1751"/>
      <c r="L45" s="1751"/>
      <c r="M45" s="1751"/>
      <c r="N45" s="1751"/>
      <c r="O45" s="1751"/>
      <c r="P45" s="1751"/>
      <c r="V45" s="1751"/>
    </row>
    <row r="46" spans="1:26" ht="15.75" thickBot="1">
      <c r="A46" s="3833" t="str">
        <f>IF(项目基本情况!E9="抵押净值",IF(A45="——","4.抵押净值","5.抵押净值"),"——")</f>
        <v>——</v>
      </c>
      <c r="B46" s="3834"/>
      <c r="C46" s="310" t="str">
        <f>IF(A46="——","——",O79)</f>
        <v>——</v>
      </c>
      <c r="D46" s="307" t="e">
        <f>ROUND(C46*10000/'数据-汇总表'!E3,0)</f>
        <v>#VALUE!</v>
      </c>
      <c r="E46" s="307" t="e">
        <f>ROUND(C46*10000/'数据-汇总表'!D3,0)</f>
        <v>#VALUE!</v>
      </c>
      <c r="F46" s="308" t="e">
        <f>ROUND(C46/('数据-汇总表'!D3/666.67),0)</f>
        <v>#VALUE!</v>
      </c>
      <c r="G46" s="301"/>
      <c r="H46" s="301"/>
      <c r="I46" s="309"/>
      <c r="J46" s="1753"/>
      <c r="K46" s="1751"/>
      <c r="L46" s="1751"/>
      <c r="M46" s="1751"/>
      <c r="N46" s="1751"/>
      <c r="O46" s="1751"/>
      <c r="P46" s="1751"/>
      <c r="Q46" s="1751"/>
      <c r="R46" s="1751"/>
      <c r="S46" s="1751"/>
      <c r="T46" s="1751"/>
      <c r="U46" s="1751"/>
      <c r="V46" s="1751"/>
    </row>
    <row r="47" spans="1:26" ht="15.75">
      <c r="A47" s="311" t="s">
        <v>332</v>
      </c>
      <c r="B47" s="1151"/>
      <c r="C47" s="312" t="s">
        <v>333</v>
      </c>
      <c r="D47" s="313"/>
      <c r="E47" s="313"/>
      <c r="F47" s="313"/>
      <c r="G47" s="314"/>
      <c r="H47" s="315"/>
      <c r="I47" s="316"/>
      <c r="J47" s="1753"/>
      <c r="K47" s="301"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7">
        <v>1</v>
      </c>
      <c r="B48" s="318"/>
      <c r="C48" s="318"/>
      <c r="D48" s="313"/>
      <c r="E48" s="313"/>
      <c r="F48" s="313"/>
      <c r="G48" s="313"/>
      <c r="H48" s="319"/>
      <c r="I48" s="320"/>
      <c r="J48" s="1753"/>
      <c r="K48" s="1751"/>
      <c r="L48" s="1751"/>
      <c r="M48" s="1751"/>
      <c r="N48" s="1751"/>
      <c r="O48" s="1751"/>
      <c r="P48" s="1751"/>
      <c r="Q48" s="1751"/>
      <c r="R48" s="1751"/>
      <c r="S48" s="1751"/>
      <c r="T48" s="1751"/>
      <c r="U48" s="1751"/>
      <c r="V48" s="1751"/>
    </row>
    <row r="49" spans="1:22" ht="12.75">
      <c r="A49" s="317">
        <v>2</v>
      </c>
      <c r="B49" s="318"/>
      <c r="C49" s="318"/>
      <c r="D49" s="313"/>
      <c r="E49" s="313"/>
      <c r="F49" s="313"/>
      <c r="G49" s="313"/>
      <c r="H49" s="319"/>
      <c r="I49" s="320"/>
      <c r="J49" s="1754"/>
      <c r="K49" s="1751"/>
      <c r="L49" s="1751"/>
      <c r="M49" s="1751"/>
      <c r="N49" s="1751"/>
      <c r="O49" s="1751"/>
      <c r="P49" s="1751"/>
      <c r="Q49" s="1751"/>
      <c r="R49" s="1751"/>
      <c r="S49" s="1751"/>
      <c r="T49" s="1751"/>
      <c r="U49" s="1751"/>
      <c r="V49" s="1751"/>
    </row>
    <row r="50" spans="1:22" ht="12.75">
      <c r="A50" s="317">
        <v>3</v>
      </c>
      <c r="B50" s="318"/>
      <c r="C50" s="318"/>
      <c r="D50" s="313"/>
      <c r="E50" s="313"/>
      <c r="F50" s="313"/>
      <c r="G50" s="313"/>
      <c r="H50" s="319"/>
      <c r="I50" s="320"/>
      <c r="J50" s="1754"/>
      <c r="K50" s="1751"/>
      <c r="L50" s="1751"/>
      <c r="M50" s="1751"/>
      <c r="N50" s="1751"/>
      <c r="O50" s="1751"/>
      <c r="P50" s="1751"/>
      <c r="Q50" s="1751"/>
      <c r="R50" s="1751"/>
      <c r="S50" s="1751"/>
      <c r="T50" s="1751"/>
      <c r="U50" s="1751"/>
      <c r="V50" s="1751"/>
    </row>
    <row r="51" spans="1:22" ht="12.75">
      <c r="A51" s="321"/>
      <c r="B51" s="322"/>
      <c r="C51" s="322"/>
      <c r="D51" s="323"/>
      <c r="E51" s="323"/>
      <c r="F51" s="323"/>
      <c r="G51" s="323"/>
      <c r="H51" s="324"/>
      <c r="I51" s="325"/>
      <c r="J51" s="1754"/>
      <c r="K51" s="1751"/>
      <c r="L51" s="1751"/>
      <c r="M51" s="1751"/>
      <c r="N51" s="1751"/>
      <c r="O51" s="1751"/>
      <c r="P51" s="1751"/>
      <c r="Q51" s="1751"/>
      <c r="R51" s="1751"/>
      <c r="S51" s="1751"/>
      <c r="T51" s="1751"/>
      <c r="U51" s="1751"/>
      <c r="V51" s="1751"/>
    </row>
    <row r="52" spans="1:22" ht="12.75">
      <c r="A52" s="318"/>
      <c r="B52" s="318"/>
      <c r="C52" s="318"/>
      <c r="D52" s="313"/>
      <c r="E52" s="313"/>
      <c r="F52" s="313"/>
      <c r="G52" s="313"/>
      <c r="H52" s="319"/>
      <c r="I52" s="247"/>
      <c r="J52" s="1754"/>
      <c r="K52" s="1751"/>
      <c r="L52" s="1751"/>
      <c r="M52" s="1751"/>
      <c r="N52" s="1751"/>
      <c r="O52" s="1751"/>
      <c r="P52" s="1751"/>
      <c r="Q52" s="1751"/>
      <c r="R52" s="1751"/>
      <c r="S52" s="1751"/>
      <c r="T52" s="1751"/>
      <c r="U52" s="1751"/>
      <c r="V52" s="1751"/>
    </row>
    <row r="53" spans="1:22" ht="12.75">
      <c r="A53" s="247"/>
      <c r="B53" s="247"/>
      <c r="C53" s="247"/>
      <c r="D53" s="247"/>
      <c r="E53" s="247"/>
      <c r="F53" s="326" t="s">
        <v>334</v>
      </c>
      <c r="G53" s="327"/>
      <c r="H53" s="327"/>
      <c r="I53" s="328" t="s">
        <v>335</v>
      </c>
      <c r="J53" s="1754"/>
      <c r="K53" s="1751"/>
      <c r="L53" s="1751"/>
      <c r="M53" s="1751"/>
      <c r="N53" s="1751"/>
      <c r="O53" s="1751"/>
      <c r="P53" s="1751"/>
      <c r="Q53" s="1751"/>
      <c r="R53" s="1751"/>
      <c r="S53" s="1751"/>
      <c r="T53" s="1751"/>
      <c r="U53" s="1751"/>
      <c r="V53" s="1751"/>
    </row>
    <row r="54" spans="1:22" ht="12.75">
      <c r="A54" s="247"/>
      <c r="B54" s="329" t="s">
        <v>336</v>
      </c>
      <c r="C54" s="247"/>
      <c r="D54" s="247"/>
      <c r="E54" s="247"/>
      <c r="F54" s="247"/>
      <c r="G54" s="247"/>
      <c r="H54" s="247"/>
      <c r="I54" s="247"/>
      <c r="J54" s="1754"/>
      <c r="K54" s="1751"/>
      <c r="L54" s="1751"/>
      <c r="M54" s="1751"/>
      <c r="N54" s="1751"/>
      <c r="O54" s="1751"/>
      <c r="P54" s="1751"/>
      <c r="Q54" s="1751"/>
      <c r="R54" s="1751"/>
      <c r="S54" s="1751"/>
      <c r="T54" s="1751"/>
      <c r="U54" s="1751"/>
      <c r="V54" s="1751"/>
    </row>
    <row r="55" spans="1:22" ht="12.75">
      <c r="A55" s="247"/>
      <c r="B55" s="247"/>
      <c r="C55" s="247"/>
      <c r="D55" s="247"/>
      <c r="E55" s="247"/>
      <c r="F55" s="247"/>
      <c r="G55" s="247"/>
      <c r="H55" s="247"/>
      <c r="I55" s="247"/>
      <c r="J55" s="1754"/>
      <c r="K55" s="1751"/>
      <c r="L55" s="1751"/>
      <c r="M55" s="1751"/>
      <c r="N55" s="1751"/>
      <c r="O55" s="1751"/>
      <c r="P55" s="1751"/>
      <c r="Q55" s="1751"/>
      <c r="R55" s="1751"/>
      <c r="S55" s="1751"/>
      <c r="T55" s="1751"/>
      <c r="U55" s="1751"/>
      <c r="V55" s="1751"/>
    </row>
    <row r="56" spans="1:22" ht="12.75">
      <c r="A56" s="247"/>
      <c r="B56" s="327"/>
      <c r="C56" s="327"/>
      <c r="D56" s="327"/>
      <c r="E56" s="327"/>
      <c r="F56" s="327"/>
      <c r="G56" s="327"/>
      <c r="H56" s="327"/>
      <c r="I56" s="328" t="s">
        <v>337</v>
      </c>
      <c r="J56" s="1754"/>
      <c r="K56" s="1751"/>
      <c r="L56" s="1751"/>
      <c r="M56" s="1751"/>
      <c r="N56" s="1751"/>
      <c r="O56" s="1751"/>
      <c r="P56" s="1751"/>
      <c r="Q56" s="1751"/>
      <c r="R56" s="1751"/>
      <c r="S56" s="1751"/>
      <c r="T56" s="1751"/>
      <c r="U56" s="1751"/>
      <c r="V56" s="1751"/>
    </row>
    <row r="57" spans="1:22" ht="12.75">
      <c r="A57" s="247"/>
      <c r="B57" s="329" t="s">
        <v>338</v>
      </c>
      <c r="C57" s="247"/>
      <c r="D57" s="247"/>
      <c r="E57" s="247"/>
      <c r="F57" s="247"/>
      <c r="G57" s="247"/>
      <c r="H57" s="247"/>
      <c r="I57" s="247"/>
      <c r="J57" s="1754"/>
      <c r="K57" s="1751"/>
      <c r="L57" s="1751"/>
      <c r="M57" s="1751"/>
      <c r="N57" s="1751"/>
      <c r="O57" s="1751"/>
      <c r="P57" s="1751"/>
      <c r="Q57" s="1751"/>
      <c r="R57" s="1751"/>
      <c r="S57" s="1751"/>
      <c r="T57" s="1751"/>
      <c r="U57" s="1751"/>
      <c r="V57" s="1751"/>
    </row>
    <row r="58" spans="1:22" ht="12.75">
      <c r="A58" s="247"/>
      <c r="B58" s="329"/>
      <c r="C58" s="247"/>
      <c r="D58" s="247"/>
      <c r="E58" s="247"/>
      <c r="F58" s="247"/>
      <c r="G58" s="247"/>
      <c r="H58" s="247"/>
      <c r="I58" s="247"/>
      <c r="J58" s="1754"/>
      <c r="K58" s="1751"/>
      <c r="L58" s="1751"/>
      <c r="M58" s="1751"/>
      <c r="N58" s="1751"/>
      <c r="O58" s="1751"/>
      <c r="P58" s="1751"/>
      <c r="Q58" s="1751"/>
      <c r="R58" s="1751"/>
      <c r="S58" s="1751"/>
      <c r="T58" s="1751"/>
      <c r="U58" s="1751"/>
      <c r="V58" s="1751"/>
    </row>
    <row r="59" spans="1:22" ht="12.75">
      <c r="A59" s="247"/>
      <c r="B59" s="327"/>
      <c r="C59" s="327"/>
      <c r="D59" s="327"/>
      <c r="E59" s="327"/>
      <c r="F59" s="327"/>
      <c r="G59" s="327"/>
      <c r="H59" s="327"/>
      <c r="I59" s="328" t="s">
        <v>337</v>
      </c>
      <c r="J59" s="1754"/>
      <c r="K59" s="1751"/>
      <c r="L59" s="1751"/>
      <c r="M59" s="1751"/>
      <c r="N59" s="1751"/>
      <c r="O59" s="1751"/>
      <c r="P59" s="1751"/>
      <c r="Q59" s="1751"/>
      <c r="R59" s="1751"/>
      <c r="S59" s="1751"/>
      <c r="T59" s="1751"/>
      <c r="U59" s="1751"/>
      <c r="V59" s="1751"/>
    </row>
    <row r="60" spans="1:22" ht="12.75">
      <c r="A60" s="247"/>
      <c r="B60" s="247"/>
      <c r="C60" s="247"/>
      <c r="D60" s="247"/>
      <c r="E60" s="247"/>
      <c r="F60" s="247"/>
      <c r="G60" s="247"/>
      <c r="H60" s="247"/>
      <c r="I60" s="247"/>
      <c r="J60" s="1754"/>
      <c r="K60" s="1751"/>
      <c r="L60" s="1751"/>
      <c r="M60" s="1751"/>
      <c r="N60" s="1751"/>
      <c r="O60" s="1751"/>
      <c r="P60" s="1751"/>
      <c r="Q60" s="1751"/>
      <c r="R60" s="1751"/>
      <c r="S60" s="1751"/>
      <c r="T60" s="1751"/>
      <c r="U60" s="1751"/>
      <c r="V60" s="1751"/>
    </row>
    <row r="61" spans="1:22" ht="12.75">
      <c r="A61" s="247"/>
      <c r="B61" s="329"/>
      <c r="C61" s="330"/>
      <c r="D61" s="207"/>
      <c r="E61" s="207"/>
      <c r="F61" s="243"/>
      <c r="G61" s="247"/>
      <c r="H61" s="247"/>
      <c r="I61" s="247"/>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794" t="s">
        <v>340</v>
      </c>
      <c r="B63" s="3795"/>
      <c r="C63" s="3796"/>
      <c r="D63" s="331">
        <f ca="1">ROUND(C42*F63,0)</f>
        <v>688</v>
      </c>
      <c r="E63" s="292" t="s">
        <v>341</v>
      </c>
      <c r="F63" s="332">
        <v>1</v>
      </c>
      <c r="G63" s="333" t="s">
        <v>342</v>
      </c>
      <c r="H63" s="301"/>
      <c r="I63" s="301"/>
      <c r="J63" s="1751"/>
      <c r="K63" s="1751"/>
      <c r="L63" s="1751"/>
      <c r="M63" s="1751"/>
      <c r="N63" s="1751"/>
      <c r="O63" s="1751"/>
      <c r="P63" s="1751"/>
      <c r="Q63" s="1751"/>
      <c r="R63" s="1751"/>
      <c r="S63" s="1751"/>
      <c r="T63" s="1751"/>
      <c r="U63" s="1751"/>
      <c r="V63" s="1751"/>
    </row>
    <row r="64" spans="1:22" ht="14.25" customHeight="1">
      <c r="A64" s="3838" t="s">
        <v>344</v>
      </c>
      <c r="B64" s="3839"/>
      <c r="C64" s="3839"/>
      <c r="D64" s="3839"/>
      <c r="E64" s="3839"/>
      <c r="F64" s="3839"/>
      <c r="G64" s="3840"/>
      <c r="H64" s="1156"/>
      <c r="I64" s="910"/>
      <c r="J64" s="1742"/>
      <c r="K64" s="1376" t="s">
        <v>343</v>
      </c>
      <c r="L64" s="9"/>
      <c r="M64" s="9"/>
      <c r="N64" s="9"/>
      <c r="O64" s="9"/>
      <c r="P64" s="301"/>
      <c r="Q64" s="1751"/>
      <c r="R64" s="1751"/>
      <c r="S64" s="1751"/>
      <c r="T64" s="1751"/>
      <c r="U64" s="1751"/>
      <c r="V64" s="1751"/>
    </row>
    <row r="65" spans="1:22" ht="12" customHeight="1">
      <c r="A65" s="334" t="s">
        <v>346</v>
      </c>
      <c r="B65" s="335"/>
      <c r="C65" s="336"/>
      <c r="D65" s="337" t="s">
        <v>347</v>
      </c>
      <c r="E65" s="51" t="s">
        <v>348</v>
      </c>
      <c r="F65" s="338" t="s">
        <v>349</v>
      </c>
      <c r="G65" s="339" t="s">
        <v>350</v>
      </c>
      <c r="H65" s="1156"/>
      <c r="I65" s="910"/>
      <c r="J65" s="1742"/>
      <c r="K65" s="1157"/>
      <c r="L65" s="1158"/>
      <c r="M65" s="1158"/>
      <c r="N65" s="1190" t="s">
        <v>345</v>
      </c>
      <c r="O65" s="1191"/>
      <c r="P65" s="1192"/>
      <c r="Q65" s="1751"/>
      <c r="R65" s="1751"/>
      <c r="S65" s="1751"/>
      <c r="T65" s="1751"/>
      <c r="U65" s="1751"/>
      <c r="V65" s="1751"/>
    </row>
    <row r="66" spans="1:22" ht="25.5">
      <c r="A66" s="3835" t="s">
        <v>352</v>
      </c>
      <c r="B66" s="3801"/>
      <c r="C66" s="3801"/>
      <c r="D66" s="251" t="b">
        <f>IF(H66="情况1",0,IF(H66="情况2",D70,IF(H66="情况3",D71,IF(H66="情况4",D72))))</f>
        <v>0</v>
      </c>
      <c r="E66" s="954" t="str">
        <f>IF(H66="情况4","(销售额-原购置价)×税（费）率","销售额×税（费）率")</f>
        <v>销售额×税（费）率</v>
      </c>
      <c r="F66" s="340">
        <f>IF(H66="情况1","免征",'数据-取费表'!B41)</f>
        <v>5.5000000000000007E-2</v>
      </c>
      <c r="G66" s="341" t="s">
        <v>353</v>
      </c>
      <c r="H66" s="184"/>
      <c r="I66" s="1156"/>
      <c r="J66" s="1757"/>
      <c r="K66" s="1159">
        <v>1</v>
      </c>
      <c r="L66" s="3762" t="s">
        <v>351</v>
      </c>
      <c r="M66" s="3763"/>
      <c r="N66" s="2109"/>
      <c r="O66" s="2110"/>
      <c r="P66" s="2111"/>
      <c r="Q66" s="1751"/>
      <c r="R66" s="1751"/>
      <c r="S66" s="1751"/>
      <c r="T66" s="1751"/>
      <c r="U66" s="1751"/>
      <c r="V66" s="1751"/>
    </row>
    <row r="67" spans="1:22" ht="25.5" customHeight="1">
      <c r="A67" s="342" t="s">
        <v>355</v>
      </c>
      <c r="B67" s="3813" t="s">
        <v>356</v>
      </c>
      <c r="C67" s="3813"/>
      <c r="D67" s="343">
        <v>0</v>
      </c>
      <c r="E67" s="39" t="s">
        <v>357</v>
      </c>
      <c r="F67" s="60" t="s">
        <v>15</v>
      </c>
      <c r="G67" s="3797"/>
      <c r="H67" s="2748" t="s">
        <v>2257</v>
      </c>
      <c r="I67" s="2750"/>
      <c r="J67" s="1758"/>
      <c r="K67" s="1730">
        <v>2</v>
      </c>
      <c r="L67" s="3767" t="s">
        <v>354</v>
      </c>
      <c r="M67" s="3767"/>
      <c r="N67" s="1193">
        <f>'数据-取费表'!B2</f>
        <v>45378</v>
      </c>
      <c r="O67" s="1193"/>
      <c r="P67" s="1193"/>
      <c r="Q67" s="1751"/>
      <c r="R67" s="1751"/>
      <c r="S67" s="1751"/>
      <c r="T67" s="1751"/>
      <c r="U67" s="1751"/>
      <c r="V67" s="1751"/>
    </row>
    <row r="68" spans="1:22" ht="25.5" customHeight="1">
      <c r="A68" s="344"/>
      <c r="B68" s="3813" t="s">
        <v>359</v>
      </c>
      <c r="C68" s="3813"/>
      <c r="D68" s="345"/>
      <c r="E68" s="75"/>
      <c r="F68" s="346"/>
      <c r="G68" s="3798"/>
      <c r="H68" s="2749" t="s">
        <v>2258</v>
      </c>
      <c r="I68" s="2750"/>
      <c r="J68" s="1758"/>
      <c r="K68" s="1730">
        <v>3</v>
      </c>
      <c r="L68" s="3767" t="s">
        <v>358</v>
      </c>
      <c r="M68" s="3767"/>
      <c r="N68" s="1161">
        <f ca="1">C42</f>
        <v>688</v>
      </c>
      <c r="O68" s="1161"/>
      <c r="P68" s="1161"/>
      <c r="Q68" s="1751"/>
      <c r="R68" s="1751"/>
      <c r="S68" s="1751"/>
      <c r="T68" s="1751"/>
      <c r="U68" s="1751"/>
      <c r="V68" s="1751"/>
    </row>
    <row r="69" spans="1:22" ht="23.45" customHeight="1">
      <c r="A69" s="347"/>
      <c r="B69" s="3813" t="s">
        <v>360</v>
      </c>
      <c r="C69" s="3813"/>
      <c r="D69" s="348"/>
      <c r="E69" s="71"/>
      <c r="F69" s="346"/>
      <c r="G69" s="3799"/>
      <c r="H69" s="2749" t="s">
        <v>2259</v>
      </c>
      <c r="I69" s="2750"/>
      <c r="J69" s="1758"/>
      <c r="K69" s="1162">
        <v>4</v>
      </c>
      <c r="L69" s="3768" t="s">
        <v>2157</v>
      </c>
      <c r="M69" s="3769"/>
      <c r="N69" s="1163">
        <f ca="1">C44</f>
        <v>688</v>
      </c>
      <c r="O69" s="1163"/>
      <c r="P69" s="1163"/>
      <c r="Q69" s="1751"/>
      <c r="R69" s="1751"/>
      <c r="S69" s="1751"/>
      <c r="T69" s="1751"/>
      <c r="U69" s="1751"/>
      <c r="V69" s="1751"/>
    </row>
    <row r="70" spans="1:22" ht="24" customHeight="1">
      <c r="A70" s="349" t="s">
        <v>361</v>
      </c>
      <c r="B70" s="3813" t="s">
        <v>362</v>
      </c>
      <c r="C70" s="3813"/>
      <c r="D70" s="348">
        <f ca="1">ROUND(D63*'数据-取费表'!B41/(1+'数据-取费表'!C42),0)</f>
        <v>36</v>
      </c>
      <c r="E70" s="15" t="s">
        <v>363</v>
      </c>
      <c r="F70" s="350">
        <f>'数据-取费表'!B41</f>
        <v>5.5000000000000007E-2</v>
      </c>
      <c r="G70" s="351"/>
      <c r="H70" s="301"/>
      <c r="I70" s="1160"/>
      <c r="J70" s="1758"/>
      <c r="K70" s="2521"/>
      <c r="L70" s="2522"/>
      <c r="M70" s="2522"/>
      <c r="N70" s="2523" t="s">
        <v>2161</v>
      </c>
      <c r="O70" s="2522"/>
      <c r="P70" s="2524"/>
      <c r="Q70" s="1751"/>
      <c r="R70" s="1751"/>
      <c r="S70" s="1751"/>
      <c r="T70" s="1751"/>
      <c r="U70" s="1751"/>
      <c r="V70" s="1751"/>
    </row>
    <row r="71" spans="1:22" ht="12" customHeight="1">
      <c r="A71" s="349" t="s">
        <v>369</v>
      </c>
      <c r="B71" s="3812" t="s">
        <v>2286</v>
      </c>
      <c r="C71" s="3829"/>
      <c r="D71" s="348">
        <f ca="1">ROUND(D63*'数据-取费表'!B41/(1+'数据-取费表'!C42),0)</f>
        <v>36</v>
      </c>
      <c r="E71" s="15" t="s">
        <v>363</v>
      </c>
      <c r="F71" s="350">
        <f>'数据-取费表'!B41</f>
        <v>5.5000000000000007E-2</v>
      </c>
      <c r="G71" s="351"/>
      <c r="H71" s="301"/>
      <c r="I71" s="1160"/>
      <c r="J71" s="1758"/>
      <c r="K71" s="2520" t="s">
        <v>364</v>
      </c>
      <c r="L71" s="3770" t="s">
        <v>365</v>
      </c>
      <c r="M71" s="3770"/>
      <c r="N71" s="2520" t="s">
        <v>366</v>
      </c>
      <c r="O71" s="2520" t="s">
        <v>367</v>
      </c>
      <c r="P71" s="2520" t="s">
        <v>368</v>
      </c>
      <c r="Q71" s="1751"/>
      <c r="R71" s="1751"/>
      <c r="S71" s="1751"/>
      <c r="T71" s="1751"/>
      <c r="U71" s="1751"/>
      <c r="V71" s="1751"/>
    </row>
    <row r="72" spans="1:22" ht="12" customHeight="1">
      <c r="A72" s="349" t="s">
        <v>371</v>
      </c>
      <c r="B72" s="3812" t="s">
        <v>2287</v>
      </c>
      <c r="C72" s="3829"/>
      <c r="D72" s="348">
        <f ca="1">C86</f>
        <v>36</v>
      </c>
      <c r="E72" s="71" t="s">
        <v>372</v>
      </c>
      <c r="F72" s="350">
        <f>'数据-取费表'!B41</f>
        <v>5.5000000000000007E-2</v>
      </c>
      <c r="G72" s="351"/>
      <c r="H72" s="1166"/>
      <c r="I72" s="1160"/>
      <c r="J72" s="1758"/>
      <c r="K72" s="1730">
        <v>1</v>
      </c>
      <c r="L72" s="3766" t="s">
        <v>370</v>
      </c>
      <c r="M72" s="3766"/>
      <c r="N72" s="1164" t="b">
        <f>D66</f>
        <v>0</v>
      </c>
      <c r="O72" s="1635" t="str">
        <f>E66</f>
        <v>销售额×税（费）率</v>
      </c>
      <c r="P72" s="1165">
        <f>F66</f>
        <v>5.5000000000000007E-2</v>
      </c>
      <c r="Q72" s="1751"/>
      <c r="R72" s="1751"/>
      <c r="S72" s="1751"/>
      <c r="T72" s="1751"/>
      <c r="U72" s="1751"/>
      <c r="V72" s="1751"/>
    </row>
    <row r="73" spans="1:22" ht="24" customHeight="1">
      <c r="A73" s="3800" t="s">
        <v>374</v>
      </c>
      <c r="B73" s="3801"/>
      <c r="C73" s="3801"/>
      <c r="D73" s="352">
        <f ca="1">IF(H73="个人住宅",0,ROUND(D63*I73,0))</f>
        <v>0</v>
      </c>
      <c r="E73" s="15" t="s">
        <v>375</v>
      </c>
      <c r="F73" s="350" t="str">
        <f>IF(H73="正常",I73,"免征")</f>
        <v>免征</v>
      </c>
      <c r="G73" s="351"/>
      <c r="H73" s="184"/>
      <c r="I73" s="350">
        <f>'数据-取费表'!B49</f>
        <v>5.0000000000000001E-4</v>
      </c>
      <c r="J73" s="1758"/>
      <c r="K73" s="1730">
        <v>2</v>
      </c>
      <c r="L73" s="3766" t="s">
        <v>373</v>
      </c>
      <c r="M73" s="3766"/>
      <c r="N73" s="1164">
        <f t="shared" ref="N73:P74" ca="1" si="0">D73</f>
        <v>0</v>
      </c>
      <c r="O73" s="1635" t="str">
        <f t="shared" si="0"/>
        <v>销售额×税（费）率</v>
      </c>
      <c r="P73" s="1165" t="str">
        <f t="shared" si="0"/>
        <v>免征</v>
      </c>
      <c r="Q73" s="1751"/>
      <c r="R73" s="1751"/>
      <c r="S73" s="1751"/>
      <c r="T73" s="1751"/>
      <c r="U73" s="1751"/>
      <c r="V73" s="1751"/>
    </row>
    <row r="74" spans="1:22" ht="24.75">
      <c r="A74" s="3800" t="s">
        <v>377</v>
      </c>
      <c r="B74" s="3801"/>
      <c r="C74" s="3801"/>
      <c r="D74" s="352">
        <f ca="1">IF(H74="个人住宅",D75,D76)</f>
        <v>390</v>
      </c>
      <c r="E74" s="15" t="s">
        <v>378</v>
      </c>
      <c r="F74" s="350" t="str">
        <f>IF(H74="正常",F76,"免征")</f>
        <v>免征</v>
      </c>
      <c r="G74" s="944" t="s">
        <v>379</v>
      </c>
      <c r="H74" s="353"/>
      <c r="I74" s="40"/>
      <c r="J74" s="1758"/>
      <c r="K74" s="1730">
        <v>3</v>
      </c>
      <c r="L74" s="3766" t="s">
        <v>376</v>
      </c>
      <c r="M74" s="3766"/>
      <c r="N74" s="1164">
        <f t="shared" ca="1" si="0"/>
        <v>390</v>
      </c>
      <c r="O74" s="1635" t="str">
        <f t="shared" si="0"/>
        <v>增值额×税（费）率</v>
      </c>
      <c r="P74" s="1167" t="str">
        <f t="shared" si="0"/>
        <v>免征</v>
      </c>
      <c r="Q74" s="1751"/>
      <c r="R74" s="1751"/>
      <c r="S74" s="1751"/>
      <c r="T74" s="1751"/>
      <c r="U74" s="1751"/>
      <c r="V74" s="1751"/>
    </row>
    <row r="75" spans="1:22" ht="12.75">
      <c r="A75" s="349" t="s">
        <v>380</v>
      </c>
      <c r="B75" s="3781" t="s">
        <v>381</v>
      </c>
      <c r="C75" s="3782"/>
      <c r="D75" s="354">
        <v>0</v>
      </c>
      <c r="E75" s="39" t="s">
        <v>382</v>
      </c>
      <c r="F75" s="355"/>
      <c r="G75" s="351"/>
      <c r="H75" s="40"/>
      <c r="I75" s="40"/>
      <c r="J75" s="1758"/>
      <c r="K75" s="2514">
        <f>IF(H77="非个人房产","",4)</f>
        <v>4</v>
      </c>
      <c r="L75" s="3766" t="str">
        <f>IF(H77="非个人房产","——","个人所得税")</f>
        <v>个人所得税</v>
      </c>
      <c r="M75" s="3766"/>
      <c r="N75" s="1168">
        <f>D77</f>
        <v>0</v>
      </c>
      <c r="O75" s="1636" t="str">
        <f>E77</f>
        <v>差额计税</v>
      </c>
      <c r="P75" s="1169">
        <f>F77</f>
        <v>0.01</v>
      </c>
      <c r="Q75" s="1751"/>
      <c r="R75" s="1751"/>
      <c r="S75" s="1751"/>
      <c r="T75" s="1751"/>
      <c r="U75" s="1751"/>
      <c r="V75" s="1751"/>
    </row>
    <row r="76" spans="1:22" ht="24.75">
      <c r="A76" s="349" t="s">
        <v>361</v>
      </c>
      <c r="B76" s="3781" t="s">
        <v>384</v>
      </c>
      <c r="C76" s="3823"/>
      <c r="D76" s="352">
        <f ca="1">IF(H76="转让取得",C99,C115)</f>
        <v>390</v>
      </c>
      <c r="E76" s="15" t="s">
        <v>385</v>
      </c>
      <c r="F76" s="51" t="s">
        <v>15</v>
      </c>
      <c r="G76" s="351"/>
      <c r="H76" s="353"/>
      <c r="I76" s="40"/>
      <c r="J76" s="1758"/>
      <c r="K76" s="2514" t="str">
        <f>IF(项目基本情况!K6="上海银行",IF(K75="",4,K75+1),"")</f>
        <v/>
      </c>
      <c r="L76" s="3777" t="str">
        <f>IF(项目基本情况!K6="上海银行","其他处置费用","")</f>
        <v/>
      </c>
      <c r="M76" s="3778"/>
      <c r="N76" s="1164" t="str">
        <f>IF(项目基本情况!K6="上海银行",N89,"")</f>
        <v/>
      </c>
      <c r="O76" s="3779" t="str">
        <f>IF(项目基本情况!K6="上海银行","包含处置中涉及的律师、诉讼、拍卖、评估等费用","")</f>
        <v/>
      </c>
      <c r="P76" s="3780"/>
      <c r="Q76" s="1751"/>
      <c r="R76" s="1751"/>
      <c r="S76" s="1751"/>
      <c r="T76" s="1751"/>
      <c r="U76" s="1751"/>
      <c r="V76" s="1751"/>
    </row>
    <row r="77" spans="1:22" ht="24.75" thickBot="1">
      <c r="A77" s="3792" t="s">
        <v>387</v>
      </c>
      <c r="B77" s="3793"/>
      <c r="C77" s="3793"/>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2260</v>
      </c>
      <c r="J77" s="1758"/>
      <c r="K77" s="3788">
        <f>IF(AND(K75="",K76=""),4,IF(项目基本情况!K6="上海银行",K76+1,K75+1))</f>
        <v>5</v>
      </c>
      <c r="L77" s="3766" t="s">
        <v>2158</v>
      </c>
      <c r="M77" s="2519" t="s">
        <v>383</v>
      </c>
      <c r="N77" s="1170"/>
      <c r="O77" s="1171">
        <f ca="1">SUMIF(N72:N76,"&lt;9e307")</f>
        <v>390</v>
      </c>
      <c r="P77" s="1172"/>
      <c r="Q77" s="2517">
        <f ca="1">O77/N69</f>
        <v>0.56686046511627908</v>
      </c>
      <c r="R77" s="1751"/>
      <c r="S77" s="1751"/>
      <c r="T77" s="1751"/>
      <c r="U77" s="1751"/>
      <c r="V77" s="1751"/>
    </row>
    <row r="78" spans="1:22" ht="12" customHeight="1">
      <c r="A78" s="1173"/>
      <c r="B78" s="301"/>
      <c r="C78" s="301"/>
      <c r="D78" s="301"/>
      <c r="E78" s="40"/>
      <c r="F78" s="40"/>
      <c r="G78" s="40"/>
      <c r="H78" s="964"/>
      <c r="I78" s="301"/>
      <c r="J78" s="1758"/>
      <c r="K78" s="3788"/>
      <c r="L78" s="3766"/>
      <c r="M78" s="2519" t="s">
        <v>386</v>
      </c>
      <c r="N78" s="1170"/>
      <c r="O78" s="1171" t="str">
        <f ca="1">NUMBERSTRING(INT(O77*10000),2)&amp;"元整"</f>
        <v>叁佰玖拾万元整</v>
      </c>
      <c r="P78" s="1172"/>
      <c r="Q78" s="1751"/>
      <c r="R78" s="1751"/>
      <c r="S78" s="1751"/>
      <c r="T78" s="1751"/>
      <c r="U78" s="1751"/>
      <c r="V78" s="1751"/>
    </row>
    <row r="79" spans="1:22" ht="13.5" thickBot="1">
      <c r="A79" s="3843" t="s">
        <v>388</v>
      </c>
      <c r="B79" s="3843"/>
      <c r="C79" s="3843"/>
      <c r="D79" s="3843"/>
      <c r="E79" s="3843"/>
      <c r="F79" s="40"/>
      <c r="G79" s="40"/>
      <c r="H79" s="964"/>
      <c r="I79" s="301"/>
      <c r="J79" s="1758"/>
      <c r="K79" s="3764">
        <f>K77+1</f>
        <v>6</v>
      </c>
      <c r="L79" s="3766" t="s">
        <v>2159</v>
      </c>
      <c r="M79" s="2519" t="s">
        <v>383</v>
      </c>
      <c r="N79" s="1170"/>
      <c r="O79" s="1171">
        <f ca="1">N69-O77</f>
        <v>298</v>
      </c>
      <c r="P79" s="1172"/>
      <c r="Q79" s="1751"/>
      <c r="R79" s="1751"/>
      <c r="S79" s="1751"/>
      <c r="T79" s="1751"/>
      <c r="U79" s="1751"/>
      <c r="V79" s="1751"/>
    </row>
    <row r="80" spans="1:22" ht="25.5">
      <c r="A80" s="3774" t="s">
        <v>389</v>
      </c>
      <c r="B80" s="3775"/>
      <c r="C80" s="955"/>
      <c r="D80" s="955" t="s">
        <v>390</v>
      </c>
      <c r="E80" s="356" t="s">
        <v>391</v>
      </c>
      <c r="F80" s="40"/>
      <c r="G80" s="40"/>
      <c r="H80" s="964"/>
      <c r="I80" s="301"/>
      <c r="J80" s="1751"/>
      <c r="K80" s="3765"/>
      <c r="L80" s="3766"/>
      <c r="M80" s="2519" t="s">
        <v>386</v>
      </c>
      <c r="N80" s="1170"/>
      <c r="O80" s="1171" t="str">
        <f ca="1">NUMBERSTRING(INT(O79*10000),2)&amp;"元整"</f>
        <v>贰佰玖拾捌万元整</v>
      </c>
      <c r="P80" s="1172"/>
      <c r="Q80" s="1751"/>
      <c r="R80" s="1751"/>
      <c r="S80" s="1751"/>
      <c r="T80" s="1751"/>
      <c r="U80" s="1751"/>
      <c r="V80" s="1751"/>
    </row>
    <row r="81" spans="1:26" ht="13.5" thickBot="1">
      <c r="A81" s="367" t="s">
        <v>1352</v>
      </c>
      <c r="B81" s="357" t="s">
        <v>392</v>
      </c>
      <c r="C81" s="358">
        <f ca="1">ROUND((C82+C83)/(1+'数据-取费表'!C42),0)</f>
        <v>655</v>
      </c>
      <c r="D81" s="359"/>
      <c r="E81" s="360"/>
      <c r="F81" s="40"/>
      <c r="G81" s="40"/>
      <c r="H81" s="964"/>
      <c r="I81" s="301"/>
      <c r="J81" s="1751"/>
      <c r="K81" s="2514">
        <f>K79+1</f>
        <v>7</v>
      </c>
      <c r="L81" s="3786" t="s">
        <v>2160</v>
      </c>
      <c r="M81" s="3787"/>
      <c r="N81" s="1174"/>
      <c r="O81" s="1175">
        <f ca="1">ROUND(O79*10000/'数据-汇总表'!E3,0)</f>
        <v>470</v>
      </c>
      <c r="P81" s="1176"/>
      <c r="Q81" s="1751"/>
      <c r="R81" s="1751"/>
      <c r="S81" s="1751"/>
      <c r="T81" s="1751"/>
      <c r="U81" s="1751"/>
      <c r="V81" s="1751"/>
    </row>
    <row r="82" spans="1:26" ht="13.5" thickTop="1">
      <c r="A82" s="361" t="s">
        <v>1353</v>
      </c>
      <c r="B82" s="362" t="s">
        <v>393</v>
      </c>
      <c r="C82" s="363">
        <f ca="1">D63</f>
        <v>688</v>
      </c>
      <c r="D82" s="364" t="s">
        <v>13</v>
      </c>
      <c r="E82" s="365"/>
      <c r="F82" s="40"/>
      <c r="G82" s="40"/>
      <c r="H82" s="964"/>
      <c r="I82" s="301"/>
      <c r="J82" s="1751"/>
      <c r="K82" s="1751"/>
      <c r="L82" s="1751"/>
      <c r="M82" s="1751"/>
      <c r="N82" s="1751"/>
      <c r="O82" s="1751"/>
      <c r="P82" s="1751"/>
      <c r="Q82" s="1751"/>
      <c r="R82" s="1751"/>
      <c r="S82" s="1751"/>
      <c r="T82" s="1751"/>
      <c r="U82" s="1751"/>
      <c r="V82" s="1751"/>
    </row>
    <row r="83" spans="1:26" ht="12.75">
      <c r="A83" s="361" t="s">
        <v>1354</v>
      </c>
      <c r="B83" s="362" t="s">
        <v>394</v>
      </c>
      <c r="C83" s="366"/>
      <c r="D83" s="364"/>
      <c r="E83" s="365"/>
      <c r="F83" s="40"/>
      <c r="G83" s="40"/>
      <c r="H83" s="964"/>
      <c r="I83" s="301"/>
      <c r="J83" s="1751"/>
      <c r="K83" s="3776" t="s">
        <v>2148</v>
      </c>
      <c r="L83" s="2525" t="s">
        <v>2149</v>
      </c>
      <c r="M83" s="2515">
        <f ca="1">IF(N69&gt;10000,N69*0.5%,IF(AND(N69&gt;1000,N69&lt;=10000),N69*1%,IF(AND(N69&gt;100,N69&lt;=1000),N69*3%,IF(AND(N69&gt;10,N69&lt;=100),N69*5%,N69*8%))))</f>
        <v>20.64</v>
      </c>
      <c r="N83" s="51">
        <f ca="1">ROUND(M83,1)</f>
        <v>20.6</v>
      </c>
      <c r="O83" s="2518"/>
      <c r="P83" s="1751"/>
      <c r="Q83" s="1751"/>
      <c r="R83" s="1751"/>
      <c r="S83" s="1751"/>
      <c r="T83" s="1751"/>
      <c r="U83" s="1751"/>
      <c r="V83" s="1751"/>
    </row>
    <row r="84" spans="1:26" ht="12.75">
      <c r="A84" s="367" t="s">
        <v>1355</v>
      </c>
      <c r="B84" s="368" t="s">
        <v>395</v>
      </c>
      <c r="C84" s="369"/>
      <c r="D84" s="370" t="s">
        <v>13</v>
      </c>
      <c r="E84" s="2541" t="s">
        <v>2203</v>
      </c>
      <c r="F84" s="40"/>
      <c r="G84" s="40"/>
      <c r="H84" s="964"/>
      <c r="I84" s="301"/>
      <c r="J84" s="1751"/>
      <c r="K84" s="3776"/>
      <c r="L84" s="2525" t="s">
        <v>2150</v>
      </c>
      <c r="M84" s="2515">
        <f ca="1">IF(N69&gt;2000,N69*0.5%,IF(AND(N69&gt;1000,N69&lt;=2000),N69*0.6%,IF(AND(N69&gt;500,N69&lt;=1000),N69*0.7%,IF(AND(N69&gt;200,N69&lt;=500),N69*0.8%,IF(AND(N69&gt;100,N69&lt;=200),N69*0.9%,IF(AND(N69&gt;50,N69&lt;=100),N69*1%,IF(AND(N69&gt;20,N69&lt;=50),N69*1.5%,IF(AND(N69&gt;10,N69&lt;=20),N69*2%,IF(AND(N69&gt;1,N69&lt;=10),N69*2.5%)))))))))</f>
        <v>4.8159999999999998</v>
      </c>
      <c r="N84" s="51">
        <f ca="1">ROUND(M84,1)</f>
        <v>4.8</v>
      </c>
      <c r="O84" s="1751" t="s">
        <v>2151</v>
      </c>
      <c r="P84" s="1751"/>
      <c r="Q84" s="1751"/>
      <c r="R84" s="1751"/>
      <c r="S84" s="1751"/>
      <c r="T84" s="1751"/>
      <c r="U84" s="1751"/>
      <c r="V84" s="1751"/>
    </row>
    <row r="85" spans="1:26" ht="12.75">
      <c r="A85" s="367" t="s">
        <v>1356</v>
      </c>
      <c r="B85" s="368" t="s">
        <v>396</v>
      </c>
      <c r="C85" s="371">
        <f ca="1">C81-C84</f>
        <v>655</v>
      </c>
      <c r="D85" s="364" t="s">
        <v>13</v>
      </c>
      <c r="E85" s="365"/>
      <c r="F85" s="40"/>
      <c r="G85" s="40"/>
      <c r="H85" s="964"/>
      <c r="I85" s="301"/>
      <c r="J85" s="1751"/>
      <c r="K85" s="3776"/>
      <c r="L85" s="2525" t="s">
        <v>2152</v>
      </c>
      <c r="M85" s="2515">
        <f ca="1">IF(N69&gt;1000,N69*0.1%,IF(AND(N69&gt;500,N69&lt;=1000),N69*0.5%,IF(AND(N69&gt;50,N69&lt;=500),N69*1%,IF(AND(N69&gt;1,N69&lt;=50),N69*1.5%))))</f>
        <v>3.44</v>
      </c>
      <c r="N85" s="51">
        <f ca="1">ROUND(M85,1)</f>
        <v>3.4</v>
      </c>
      <c r="O85" s="1751" t="s">
        <v>2151</v>
      </c>
      <c r="P85" s="1751"/>
      <c r="Q85" s="1751"/>
      <c r="R85" s="1751"/>
      <c r="S85" s="1751"/>
      <c r="T85" s="1751"/>
      <c r="U85" s="1751"/>
      <c r="V85" s="1751"/>
    </row>
    <row r="86" spans="1:26" ht="13.5" thickBot="1">
      <c r="A86" s="372" t="s">
        <v>1357</v>
      </c>
      <c r="B86" s="373" t="s">
        <v>397</v>
      </c>
      <c r="C86" s="374">
        <f ca="1">IF(C85&lt;=0,0,ROUND(C85*D86,0))</f>
        <v>36</v>
      </c>
      <c r="D86" s="375">
        <f>'数据-取费表'!B41</f>
        <v>5.5000000000000007E-2</v>
      </c>
      <c r="E86" s="376"/>
      <c r="F86" s="40"/>
      <c r="G86" s="40"/>
      <c r="H86" s="964"/>
      <c r="I86" s="301"/>
      <c r="J86" s="1751"/>
      <c r="K86" s="3776"/>
      <c r="L86" s="2525" t="s">
        <v>2153</v>
      </c>
      <c r="M86" s="2515">
        <f ca="1">N69*0.5%</f>
        <v>3.44</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1"/>
      <c r="J87" s="1751"/>
      <c r="K87" s="3776"/>
      <c r="L87" s="2525" t="s">
        <v>2155</v>
      </c>
      <c r="M87" s="2515">
        <f ca="1">IF(N69&gt;=10000,(8.25+(N69-10000)*0.01%),IF(AND(N69&gt;=8000,N69&lt;10000),(7.85+(N69-8000)*0.02%),IF(AND(N69&gt;=5000,N69&lt;8000),(6.65+(N69-5000)*0.04%),IF(AND(N69&gt;=2000,N69&lt;5000),(4.25+(PN69-2000)*0.08%),IF(AND(N69&gt;=1000,N69&lt;2000),(2.75+(N69-1000)*0.15%),IF(AND(N69&gt;=100,N69&lt;1000),(0.5+(N69-100)*0.25%),IF(AND(N69&gt;0,N69&lt;100),N69*0.5%)))))))</f>
        <v>1.97</v>
      </c>
      <c r="N87" s="51">
        <f ca="1">ROUND(M87*0.9,1)</f>
        <v>1.8</v>
      </c>
      <c r="O87" s="2518"/>
      <c r="P87" s="1751"/>
      <c r="Q87" s="1751"/>
      <c r="R87" s="1751"/>
      <c r="S87" s="1751"/>
      <c r="T87" s="1751"/>
      <c r="U87" s="1751"/>
      <c r="V87" s="1751"/>
      <c r="W87" s="282"/>
      <c r="X87" s="282"/>
      <c r="Y87" s="282"/>
      <c r="Z87" s="282"/>
    </row>
    <row r="88" spans="1:26" s="1182" customFormat="1" ht="15" thickBot="1">
      <c r="A88" s="3815" t="s">
        <v>398</v>
      </c>
      <c r="B88" s="3816"/>
      <c r="C88" s="3816"/>
      <c r="D88" s="3816"/>
      <c r="E88" s="3816"/>
      <c r="F88" s="3816"/>
      <c r="G88" s="3816"/>
      <c r="H88" s="3816"/>
      <c r="I88" s="1183"/>
      <c r="J88" s="1759"/>
      <c r="K88" s="3776"/>
      <c r="L88" s="2525" t="s">
        <v>2156</v>
      </c>
      <c r="M88" s="2515">
        <f ca="1">IF(N69&gt;10000,N69*0.5%,IF(AND(N69&gt;5000,N69&lt;=10000),N69*1%,IF(AND(N69&gt;1000,N69&lt;=5000),N69*2%,IF(AND(N69&gt;200,N69&lt;=1000),N69*3%,N69*5%))))</f>
        <v>20.64</v>
      </c>
      <c r="N88" s="51">
        <f ca="1">ROUND(M88,1)</f>
        <v>20.6</v>
      </c>
      <c r="O88" s="2518"/>
      <c r="P88" s="1756"/>
      <c r="Q88" s="1756"/>
      <c r="R88" s="1756"/>
      <c r="S88" s="1756"/>
      <c r="T88" s="1756"/>
      <c r="U88" s="1756"/>
      <c r="V88" s="1756"/>
      <c r="W88" s="1760"/>
      <c r="X88" s="1760"/>
      <c r="Y88" s="1760"/>
      <c r="Z88" s="1760"/>
    </row>
    <row r="89" spans="1:26" s="1182" customFormat="1" ht="14.25">
      <c r="A89" s="3774" t="s">
        <v>389</v>
      </c>
      <c r="B89" s="3775"/>
      <c r="C89" s="955"/>
      <c r="D89" s="955" t="s">
        <v>390</v>
      </c>
      <c r="E89" s="377" t="s">
        <v>399</v>
      </c>
      <c r="F89" s="378"/>
      <c r="G89" s="378"/>
      <c r="H89" s="379"/>
      <c r="I89" s="1184"/>
      <c r="J89" s="1761"/>
      <c r="K89" s="3776"/>
      <c r="L89" s="2525" t="s">
        <v>16</v>
      </c>
      <c r="M89" s="2516"/>
      <c r="N89" s="51">
        <f ca="1">ROUND(SUM(N83:N88),0)</f>
        <v>52</v>
      </c>
      <c r="O89" s="2526">
        <f ca="1">N89/N69</f>
        <v>7.5581395348837205E-2</v>
      </c>
      <c r="P89" s="1756"/>
      <c r="Q89" s="1756"/>
      <c r="R89" s="1756"/>
      <c r="S89" s="1756"/>
      <c r="T89" s="1756"/>
      <c r="U89" s="1756"/>
      <c r="V89" s="1756"/>
      <c r="W89" s="1760"/>
      <c r="X89" s="1760"/>
      <c r="Y89" s="1760"/>
      <c r="Z89" s="1760"/>
    </row>
    <row r="90" spans="1:26" s="1182" customFormat="1" ht="14.25">
      <c r="A90" s="367" t="s">
        <v>1352</v>
      </c>
      <c r="B90" s="368" t="s">
        <v>400</v>
      </c>
      <c r="C90" s="371">
        <f ca="1">ROUND(D63/(1+'数据-取费表'!C42),0)</f>
        <v>655</v>
      </c>
      <c r="D90" s="364" t="s">
        <v>13</v>
      </c>
      <c r="E90" s="952"/>
      <c r="F90" s="951"/>
      <c r="G90" s="951"/>
      <c r="H90" s="380"/>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7" t="s">
        <v>1358</v>
      </c>
      <c r="B91" s="338" t="s">
        <v>401</v>
      </c>
      <c r="C91" s="371">
        <f ca="1">C92+C96</f>
        <v>3</v>
      </c>
      <c r="D91" s="364" t="s">
        <v>13</v>
      </c>
      <c r="E91" s="952"/>
      <c r="F91" s="951"/>
      <c r="G91" s="951"/>
      <c r="H91" s="380"/>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1" t="s">
        <v>1359</v>
      </c>
      <c r="B92" s="362" t="s">
        <v>402</v>
      </c>
      <c r="C92" s="364">
        <f>ROUND(IF(G95="2016年5月1日后购买",C93/(1+'数据-取费表'!C30)+C94+C95,C93+C94+C95),0)</f>
        <v>0</v>
      </c>
      <c r="D92" s="364" t="s">
        <v>13</v>
      </c>
      <c r="E92" s="952"/>
      <c r="F92" s="951"/>
      <c r="G92" s="951"/>
      <c r="H92" s="380"/>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1" t="s">
        <v>1360</v>
      </c>
      <c r="B93" s="362" t="s">
        <v>403</v>
      </c>
      <c r="C93" s="382"/>
      <c r="D93" s="364" t="s">
        <v>13</v>
      </c>
      <c r="E93" s="383" t="s">
        <v>404</v>
      </c>
      <c r="F93" s="384"/>
      <c r="G93" s="383" t="s">
        <v>405</v>
      </c>
      <c r="H93" s="385">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1" t="s">
        <v>1361</v>
      </c>
      <c r="B94" s="386" t="s">
        <v>406</v>
      </c>
      <c r="C94" s="364">
        <f>IF(F93="购房发票",ROUND(C93*H93*5%,0),0)</f>
        <v>0</v>
      </c>
      <c r="D94" s="387">
        <v>0.05</v>
      </c>
      <c r="E94" s="3812" t="s">
        <v>407</v>
      </c>
      <c r="F94" s="3813"/>
      <c r="G94" s="3813"/>
      <c r="H94" s="3814"/>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1" t="s">
        <v>1363</v>
      </c>
      <c r="B96" s="362" t="s">
        <v>410</v>
      </c>
      <c r="C96" s="391">
        <f ca="1">ROUND(D63*D96/(1+'数据-取费表'!C42),0)</f>
        <v>3</v>
      </c>
      <c r="D96" s="392">
        <f>'数据-取费表'!B43</f>
        <v>5.000000000000001E-3</v>
      </c>
      <c r="E96" s="3771" t="s">
        <v>1780</v>
      </c>
      <c r="F96" s="3772"/>
      <c r="G96" s="3772"/>
      <c r="H96" s="3773"/>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8" t="s">
        <v>411</v>
      </c>
      <c r="C97" s="371">
        <f ca="1">C90-C91</f>
        <v>652</v>
      </c>
      <c r="D97" s="364" t="s">
        <v>13</v>
      </c>
      <c r="E97" s="952"/>
      <c r="F97" s="951"/>
      <c r="G97" s="951"/>
      <c r="H97" s="380"/>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8" t="s">
        <v>412</v>
      </c>
      <c r="C98" s="393">
        <f ca="1">IF(C97&lt;=0,0,C97/C91)</f>
        <v>217.33333333333334</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3" t="s">
        <v>413</v>
      </c>
      <c r="C99" s="394">
        <f ca="1">ROUND(IF(C97&lt;=0,0,IF(C98&gt;=200%,C97*60%-C91*35%,IF(C98&gt;=100%,C97*50%-C91*15%,IF(C98&gt;=50%,C97*40%-C91*5%,IF(C98&lt;50%,C97*30%,0))))),0)</f>
        <v>390</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15" t="s">
        <v>414</v>
      </c>
      <c r="B101" s="3816"/>
      <c r="C101" s="3816"/>
      <c r="D101" s="3816"/>
      <c r="E101" s="3816"/>
      <c r="F101" s="3816"/>
      <c r="G101" s="3816"/>
      <c r="H101" s="3816"/>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74" t="s">
        <v>389</v>
      </c>
      <c r="B102" s="3775"/>
      <c r="C102" s="955"/>
      <c r="D102" s="955" t="s">
        <v>390</v>
      </c>
      <c r="E102" s="377" t="s">
        <v>399</v>
      </c>
      <c r="F102" s="378"/>
      <c r="G102" s="378"/>
      <c r="H102" s="399"/>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7" t="s">
        <v>1352</v>
      </c>
      <c r="B103" s="368" t="s">
        <v>400</v>
      </c>
      <c r="C103" s="371">
        <f ca="1">ROUND(D63/(1+'数据-取费表'!C42),0)</f>
        <v>655</v>
      </c>
      <c r="D103" s="364" t="s">
        <v>13</v>
      </c>
      <c r="E103" s="952"/>
      <c r="F103" s="951"/>
      <c r="G103" s="951"/>
      <c r="H103" s="400"/>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7" t="s">
        <v>1358</v>
      </c>
      <c r="B104" s="338" t="s">
        <v>401</v>
      </c>
      <c r="C104" s="371">
        <f ca="1">IF(H106="仅含出让金",C105+C108+C109+C110+C111+C112,C105+C109+C110+C111+C112)</f>
        <v>3</v>
      </c>
      <c r="D104" s="401"/>
      <c r="E104" s="952"/>
      <c r="F104" s="951"/>
      <c r="G104" s="951"/>
      <c r="H104" s="400"/>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1" t="s">
        <v>1359</v>
      </c>
      <c r="B105" s="362" t="s">
        <v>415</v>
      </c>
      <c r="C105" s="391">
        <f>C106+C107</f>
        <v>0</v>
      </c>
      <c r="D105" s="392"/>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1" t="s">
        <v>1360</v>
      </c>
      <c r="B106" s="362" t="s">
        <v>416</v>
      </c>
      <c r="C106" s="402"/>
      <c r="D106" s="392"/>
      <c r="E106" s="403" t="s">
        <v>417</v>
      </c>
      <c r="F106" s="947"/>
      <c r="G106" s="404" t="s">
        <v>418</v>
      </c>
      <c r="H106" s="405"/>
      <c r="I106" s="9"/>
      <c r="J106" s="1756"/>
      <c r="K106" s="2985"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1" t="s">
        <v>1361</v>
      </c>
      <c r="B107" s="362" t="s">
        <v>408</v>
      </c>
      <c r="C107" s="391">
        <f>ROUND(C106*D107,0)</f>
        <v>0</v>
      </c>
      <c r="D107" s="392">
        <f>'数据-取费表'!B48+'数据-取费表'!B49</f>
        <v>3.0499999999999999E-2</v>
      </c>
      <c r="E107" s="403"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1" t="s">
        <v>1363</v>
      </c>
      <c r="B108" s="362" t="s">
        <v>420</v>
      </c>
      <c r="C108" s="402"/>
      <c r="D108" s="392"/>
      <c r="E108" s="403" t="str">
        <f>IF(H106="-","土地取得成本中已包含该笔费用"," ")</f>
        <v xml:space="preserve"> </v>
      </c>
      <c r="F108" s="947"/>
      <c r="G108" s="3827" t="s">
        <v>2252</v>
      </c>
      <c r="H108" s="3828"/>
      <c r="I108" s="2611"/>
      <c r="J108" s="1756"/>
      <c r="K108" s="2985"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2" t="s">
        <v>421</v>
      </c>
      <c r="C109" s="391">
        <f>IF(H109="——",IF(F1="现房",'剩余法-现房'!C18,0),I109)</f>
        <v>0</v>
      </c>
      <c r="D109" s="392"/>
      <c r="E109" s="3805" t="s">
        <v>422</v>
      </c>
      <c r="F109" s="3772"/>
      <c r="G109" s="377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2" t="s">
        <v>423</v>
      </c>
      <c r="C110" s="391">
        <f>ROUND((C105+C108+C109)*D110,0)</f>
        <v>0</v>
      </c>
      <c r="D110" s="3016">
        <v>0</v>
      </c>
      <c r="E110" s="3805" t="s">
        <v>424</v>
      </c>
      <c r="F110" s="3772"/>
      <c r="G110" s="3772"/>
      <c r="H110" s="3773"/>
      <c r="I110" s="9"/>
      <c r="J110" s="1756"/>
      <c r="K110" s="2986"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2" t="s">
        <v>410</v>
      </c>
      <c r="C111" s="391">
        <f ca="1">ROUND(D63*D111/(1+'数据-取费表'!C42),0)</f>
        <v>3</v>
      </c>
      <c r="D111" s="392">
        <f>'数据-取费表'!B43</f>
        <v>5.000000000000001E-3</v>
      </c>
      <c r="E111" s="3771" t="s">
        <v>1780</v>
      </c>
      <c r="F111" s="3772"/>
      <c r="G111" s="3772"/>
      <c r="H111" s="3773"/>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2" t="s">
        <v>425</v>
      </c>
      <c r="C112" s="391">
        <f>ROUND(C108*D112,0)</f>
        <v>0</v>
      </c>
      <c r="D112" s="392">
        <v>0.2</v>
      </c>
      <c r="E112" s="3805" t="s">
        <v>1799</v>
      </c>
      <c r="F112" s="3772"/>
      <c r="G112" s="3772"/>
      <c r="H112" s="3773"/>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8" t="s">
        <v>411</v>
      </c>
      <c r="C113" s="371">
        <f ca="1">ROUND(C103-C104,0)</f>
        <v>652</v>
      </c>
      <c r="D113" s="364" t="s">
        <v>13</v>
      </c>
      <c r="E113" s="952"/>
      <c r="F113" s="951"/>
      <c r="G113" s="951"/>
      <c r="H113" s="400"/>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8" t="s">
        <v>412</v>
      </c>
      <c r="C114" s="393">
        <f ca="1">IF(C113&lt;=0,0,C113/C104)</f>
        <v>217.33333333333334</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0"/>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3" t="s">
        <v>413</v>
      </c>
      <c r="C115" s="394">
        <f ca="1">ROUND(IF(C113&lt;=0,0,IF(C114&gt;=200%,C113*60%-C104*35%,IF(C114&gt;=100%,C113*50%-C104*15%,IF(C114&gt;=50%,C113*40%-C104*5%,IF(C114&lt;50%,C113*30%,0))))),0)</f>
        <v>390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7" customFormat="1" ht="21.75" customHeight="1">
      <c r="K185" s="1764"/>
      <c r="L185" s="1764"/>
      <c r="M185" s="1764"/>
      <c r="N185" s="1764"/>
      <c r="O185" s="1764"/>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54" sqref="H54:I5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t="s">
        <v>3277</v>
      </c>
      <c r="C1" s="1826"/>
      <c r="D1" s="1826"/>
      <c r="E1" s="1826"/>
      <c r="F1" s="1826"/>
      <c r="G1" s="1826"/>
      <c r="H1" s="1826"/>
      <c r="I1" s="1826"/>
      <c r="J1" s="1826"/>
      <c r="K1" s="408">
        <f>MATCH(B1,'数据-取费表'!A6:A16,0)+5</f>
        <v>6</v>
      </c>
      <c r="L1" s="282"/>
      <c r="M1" s="282"/>
      <c r="N1" s="282"/>
      <c r="O1" s="282"/>
      <c r="P1" s="282"/>
      <c r="Q1" s="282"/>
      <c r="R1" s="282"/>
      <c r="S1" s="282"/>
      <c r="T1" s="282"/>
      <c r="U1" s="282"/>
      <c r="V1" s="282"/>
      <c r="W1" s="282"/>
      <c r="X1" s="282"/>
      <c r="Y1" s="282"/>
      <c r="Z1" s="282"/>
    </row>
    <row r="2" spans="1:31" s="1764" customFormat="1" ht="18" customHeight="1">
      <c r="A2" s="1823" t="s">
        <v>427</v>
      </c>
      <c r="B2" s="1827">
        <f ca="1">C36</f>
        <v>621</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979</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1458</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97</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7" t="s">
        <v>1371</v>
      </c>
      <c r="B6" s="2308"/>
      <c r="C6" s="2309">
        <f ca="1">SUM(C10:K10)</f>
        <v>3234</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2" t="s">
        <v>3277</v>
      </c>
      <c r="D7" s="422"/>
      <c r="E7" s="422"/>
      <c r="F7" s="422"/>
      <c r="G7" s="422"/>
      <c r="H7" s="422"/>
      <c r="I7" s="422"/>
      <c r="J7" s="422"/>
      <c r="K7" s="423"/>
      <c r="AA7" s="1834"/>
      <c r="AB7" s="1834"/>
      <c r="AC7" s="1834"/>
      <c r="AD7" s="1834"/>
      <c r="AE7" s="1834"/>
    </row>
    <row r="8" spans="1:31" s="1837" customFormat="1" ht="13.5" customHeight="1">
      <c r="A8" s="768" t="s">
        <v>1374</v>
      </c>
      <c r="B8" s="251" t="s">
        <v>432</v>
      </c>
      <c r="C8" s="2313">
        <f ca="1">不动产收益法!B3</f>
        <v>5099</v>
      </c>
      <c r="D8" s="2313"/>
      <c r="E8" s="2313"/>
      <c r="F8" s="2313"/>
      <c r="G8" s="2313"/>
      <c r="H8" s="2313"/>
      <c r="I8" s="2313"/>
      <c r="J8" s="2313"/>
      <c r="K8" s="2314"/>
      <c r="AA8" s="1836"/>
      <c r="AB8" s="1836"/>
      <c r="AC8" s="1836"/>
      <c r="AD8" s="1836"/>
      <c r="AE8" s="1836"/>
    </row>
    <row r="9" spans="1:31" s="1837" customFormat="1" ht="13.5" customHeight="1">
      <c r="A9" s="768" t="s">
        <v>1375</v>
      </c>
      <c r="B9" s="251" t="s">
        <v>433</v>
      </c>
      <c r="C9" s="427">
        <f>SUMIF('数据-汇总表'!$C19:$C33,'剩余法-待开发'!C7,'数据-汇总表'!$E19:$E33)</f>
        <v>6342.01</v>
      </c>
      <c r="D9" s="427">
        <f>SUMIF('数据-汇总表'!$C19:$C33,'剩余法-待开发'!D7,'数据-汇总表'!$E19:$E33)</f>
        <v>0</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不动产收益法!B2</f>
        <v>3234</v>
      </c>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5">
        <f ca="1">IF(B1="",'数据-取费表'!P16,INDIRECT("'数据-取费表'!p"&amp;$K$1)+INDIRECT("'数据-取费表'!t"&amp;$K$1))</f>
        <v>1903</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57</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127</v>
      </c>
      <c r="D16" s="2323">
        <f ca="1">IF(B1="",'数据-汇总表'!E3,INDIRECT("'数据-取费表'!K"&amp;$K$1)+INDIRECT("'数据-取费表'!S"&amp;$K$1))</f>
        <v>6342.01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29</v>
      </c>
      <c r="D17" s="460"/>
      <c r="E17" s="2327"/>
      <c r="F17" s="2328">
        <f>'数据-取费表'!B36</f>
        <v>1.4999999999999999E-2</v>
      </c>
      <c r="G17" s="251" t="s">
        <v>446</v>
      </c>
      <c r="H17" s="2294"/>
      <c r="I17" s="2294"/>
      <c r="J17" s="2294"/>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2116</v>
      </c>
      <c r="D18" s="2332"/>
      <c r="E18" s="453"/>
      <c r="F18" s="453"/>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6342.01</v>
      </c>
      <c r="E19" s="2287">
        <f>'数据-取费表'!B32</f>
        <v>0</v>
      </c>
      <c r="F19" s="453"/>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t="s">
        <v>3289</v>
      </c>
      <c r="H20" s="2289">
        <v>0</v>
      </c>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127</v>
      </c>
      <c r="D22" s="2323">
        <f ca="1">IF(B1="",'数据-汇总表'!E6,IF(INDIRECT("'数据-取费表'!c"&amp;$K$1)="住宅",INDIRECT("'数据-取费表'!s"&amp;$K$1),INDIRECT("'数据-取费表'!k"&amp;$K$1)+INDIRECT("'数据-取费表'!s"&amp;$K$1)))</f>
        <v>6342.01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42</v>
      </c>
      <c r="D23" s="453"/>
      <c r="E23" s="453"/>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 ca="1">ROUND(C6*F24,0)</f>
        <v>65</v>
      </c>
      <c r="D24" s="460"/>
      <c r="E24" s="458"/>
      <c r="F24" s="2335">
        <f>'数据-取费表'!B38</f>
        <v>0.02</v>
      </c>
      <c r="G24" s="2300" t="s">
        <v>459</v>
      </c>
      <c r="H24" s="2294"/>
      <c r="I24" s="2294"/>
      <c r="J24" s="2294"/>
      <c r="K24" s="269"/>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2">
        <f>ROUND(F25/(1+'数据-取费表'!C42),4)</f>
        <v>2.9000000000000001E-2</v>
      </c>
      <c r="D25" s="447" t="s">
        <v>2105</v>
      </c>
      <c r="E25" s="454"/>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38</v>
      </c>
      <c r="D26" s="452">
        <f ca="1">C27</f>
        <v>3.5499999999999997E-2</v>
      </c>
      <c r="E26" s="454" t="s">
        <v>455</v>
      </c>
      <c r="F26" s="456">
        <f ca="1">'数据-取费表'!B40</f>
        <v>3.4500000000000003E-2</v>
      </c>
      <c r="G26" s="2187" t="str">
        <f>IF('数据-取费表'!B22&lt;=1,"单利计息。","复利计息。")&amp;"后续开发成本、管理费用及销售费用产生的利息。"</f>
        <v>单利计息。后续开发成本、管理费用及销售费用产生的利息。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8" t="s">
        <v>1385</v>
      </c>
      <c r="B27" s="2337" t="s">
        <v>456</v>
      </c>
      <c r="C27" s="2338">
        <f ca="1">ROUND(IF('数据-取费表'!B22&lt;=1,(1+C25)*F26*'数据-取费表'!B24,(1+C25)*(POWER((1+F26),'数据-取费表'!B24)-1)),4)</f>
        <v>3.5499999999999997E-2</v>
      </c>
      <c r="D27" s="457"/>
      <c r="E27" s="458"/>
      <c r="F27" s="459"/>
      <c r="G27" s="2187" t="str">
        <f>IF('数据-取费表'!B22&lt;=1,"（1+取得税费率/(1+5%)）×年利率×建设期","（1+取得税费率）/(1+5%)×((1+年利率)^建设期-1)")</f>
        <v>（1+取得税费率/(1+5%)）×年利率×建设期</v>
      </c>
      <c r="H27" s="2294"/>
      <c r="I27" s="2294"/>
      <c r="J27" s="2294"/>
      <c r="K27" s="269"/>
      <c r="L27" s="2943"/>
      <c r="M27" s="2943"/>
      <c r="N27" s="2943"/>
      <c r="O27" s="2943"/>
      <c r="P27" s="2943"/>
      <c r="Q27" s="2943"/>
      <c r="R27" s="2943"/>
      <c r="S27" s="2943"/>
      <c r="T27" s="2943"/>
      <c r="U27" s="2943"/>
      <c r="V27" s="2943"/>
      <c r="W27" s="2943"/>
      <c r="X27" s="2943"/>
      <c r="Y27" s="2943"/>
      <c r="Z27" s="2943"/>
    </row>
    <row r="28" spans="1:26" s="1842" customFormat="1" ht="13.5" customHeight="1">
      <c r="A28" s="768" t="s">
        <v>1386</v>
      </c>
      <c r="B28" s="2337" t="s">
        <v>2113</v>
      </c>
      <c r="C28" s="2339">
        <f ca="1">ROUND(IF('数据-取费表'!B22&lt;=1,(C18+C19+C20+C23+C24)*F26*'数据-取费表'!B24/2,(C18+C19+C20+C23+C24)*(POWER((1+F26),'数据-取费表'!B24/2)-1)),0)</f>
        <v>38</v>
      </c>
      <c r="D28" s="457"/>
      <c r="E28" s="458"/>
      <c r="F28" s="459"/>
      <c r="G28" s="2187" t="str">
        <f>IF('数据-取费表'!B22&lt;=1,"（1）-（4）项×年利率×建设期÷2","（1）-（4）项×((1+年利率)^(建设期÷2)-1)")</f>
        <v>（1）-（4）项×年利率×建设期÷2</v>
      </c>
      <c r="H28" s="2294"/>
      <c r="I28" s="2294"/>
      <c r="J28" s="2294"/>
      <c r="K28" s="269"/>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 ca="1">ROUND(C6*F29/(1+'数据-取费表'!C42),0)</f>
        <v>169</v>
      </c>
      <c r="D29" s="453"/>
      <c r="E29" s="453"/>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2430</v>
      </c>
      <c r="D30" s="462">
        <f ca="1">C32</f>
        <v>6.4500000000000002E-2</v>
      </c>
      <c r="E30" s="454" t="s">
        <v>455</v>
      </c>
      <c r="F30" s="456"/>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8" t="s">
        <v>1385</v>
      </c>
      <c r="B31" s="2337"/>
      <c r="C31" s="435">
        <f ca="1">C18+C19+C20+C23+C24+C26+C29</f>
        <v>2430</v>
      </c>
      <c r="D31" s="457"/>
      <c r="E31" s="458"/>
      <c r="F31" s="459"/>
      <c r="G31" s="251"/>
      <c r="H31" s="2294"/>
      <c r="I31" s="2294"/>
      <c r="J31" s="2294"/>
      <c r="K31" s="269"/>
      <c r="L31" s="2943"/>
      <c r="M31" s="2943"/>
      <c r="N31" s="2943"/>
      <c r="O31" s="2943"/>
      <c r="P31" s="2943"/>
      <c r="Q31" s="2943"/>
      <c r="R31" s="2943"/>
      <c r="S31" s="2943"/>
      <c r="T31" s="2943"/>
      <c r="U31" s="2943"/>
      <c r="V31" s="2943"/>
      <c r="W31" s="2943"/>
      <c r="X31" s="2943"/>
      <c r="Y31" s="2943"/>
      <c r="Z31" s="2943"/>
    </row>
    <row r="32" spans="1:26" s="1842" customFormat="1" ht="13.5" customHeight="1">
      <c r="A32" s="768" t="s">
        <v>1386</v>
      </c>
      <c r="B32" s="2337"/>
      <c r="C32" s="51">
        <f ca="1">ROUND(C25+D26,4)</f>
        <v>6.4500000000000002E-2</v>
      </c>
      <c r="D32" s="457"/>
      <c r="E32" s="458"/>
      <c r="F32" s="459"/>
      <c r="G32" s="251"/>
      <c r="H32" s="2294"/>
      <c r="I32" s="2294"/>
      <c r="J32" s="2294"/>
      <c r="K32" s="269"/>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3">
        <f ca="1">C35</f>
        <v>111</v>
      </c>
      <c r="D33" s="452">
        <f ca="1">C34</f>
        <v>5.1499999999999997E-2</v>
      </c>
      <c r="E33" s="454" t="s">
        <v>455</v>
      </c>
      <c r="F33" s="464">
        <f ca="1">IF(B1="",'数据-取费表'!Q16,INDIRECT("'数据-取费表'!q"&amp;$K$1))</f>
        <v>0.05</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1" t="s">
        <v>1385</v>
      </c>
      <c r="B34" s="2342" t="s">
        <v>461</v>
      </c>
      <c r="C34" s="457">
        <f ca="1">ROUND((1+C25)*F33,4)</f>
        <v>5.1499999999999997E-2</v>
      </c>
      <c r="D34" s="457"/>
      <c r="E34" s="458"/>
      <c r="F34" s="465"/>
      <c r="G34" s="251" t="s">
        <v>1648</v>
      </c>
      <c r="H34" s="2294"/>
      <c r="I34" s="2294"/>
      <c r="J34" s="2294"/>
      <c r="K34" s="269"/>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111</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4" t="s">
        <v>1373</v>
      </c>
      <c r="B36" s="2305"/>
      <c r="C36" s="2344">
        <f ca="1">ROUND((C6-C30-C33)/(1+D30+D33),0)</f>
        <v>621</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7" t="s">
        <v>426</v>
      </c>
      <c r="B1" s="2288"/>
      <c r="C1" s="1826"/>
      <c r="D1" s="1826"/>
      <c r="E1" s="1826"/>
      <c r="F1" s="1826"/>
      <c r="G1" s="1826"/>
      <c r="H1" s="1826"/>
      <c r="I1" s="1826"/>
      <c r="J1" s="1826"/>
      <c r="K1" s="408">
        <f>MATCH(B1,'数据-取费表'!A6:A16,0)+5</f>
        <v>7</v>
      </c>
      <c r="L1" s="282"/>
      <c r="M1" s="282"/>
      <c r="N1" s="282"/>
      <c r="O1" s="282"/>
      <c r="P1" s="282"/>
      <c r="Q1" s="282"/>
      <c r="R1" s="282"/>
      <c r="S1" s="282"/>
      <c r="T1" s="282"/>
      <c r="U1" s="282"/>
      <c r="V1" s="282"/>
      <c r="W1" s="282"/>
      <c r="X1" s="282"/>
      <c r="Y1" s="282"/>
      <c r="Z1" s="282"/>
    </row>
    <row r="2" spans="1:41" s="1764" customFormat="1" ht="18" customHeight="1">
      <c r="A2" s="409" t="s">
        <v>427</v>
      </c>
      <c r="B2" s="410">
        <f ca="1">C27</f>
        <v>0</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41" s="1764" customFormat="1" ht="18" customHeight="1">
      <c r="A3" s="1236" t="s">
        <v>1217</v>
      </c>
      <c r="B3" s="411">
        <f ca="1">ROUND(B2*10000/IF(B1="",'数据-汇总表'!E3,INDIRECT("'数据-取费表'!K"&amp;$K$1)),0)</f>
        <v>0</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41" s="1764" customFormat="1" ht="18" customHeight="1">
      <c r="A4" s="412" t="s">
        <v>428</v>
      </c>
      <c r="B4" s="413">
        <f ca="1">ROUND(B2*10000/IF(B1="",'数据-汇总表'!D3,INDIRECT("'数据-取费表'!R"&amp;$K$1)),0)</f>
        <v>0</v>
      </c>
      <c r="C4" s="1784"/>
      <c r="D4" s="1826"/>
      <c r="E4" s="1826"/>
      <c r="F4" s="1826"/>
      <c r="G4" s="1826"/>
      <c r="H4" s="1826"/>
      <c r="I4" s="1826"/>
      <c r="J4" s="1826"/>
      <c r="K4" s="1826"/>
      <c r="L4" s="282"/>
      <c r="M4" s="282"/>
      <c r="N4" s="282"/>
      <c r="O4" s="282"/>
      <c r="P4" s="282"/>
      <c r="Q4" s="282"/>
      <c r="R4" s="282"/>
      <c r="S4" s="282"/>
      <c r="T4" s="282"/>
      <c r="U4" s="282"/>
      <c r="V4" s="282"/>
      <c r="W4" s="282"/>
      <c r="X4" s="282"/>
      <c r="Y4" s="282"/>
      <c r="Z4" s="282"/>
    </row>
    <row r="5" spans="1:41" s="1764" customFormat="1" ht="18" customHeight="1" thickBot="1">
      <c r="A5" s="415"/>
      <c r="B5" s="416">
        <f ca="1">ROUND(B2/(IF(B1="",'数据-汇总表'!D3,INDIRECT("'数据-取费表'!R"&amp;$K$1))/666.67),0)</f>
        <v>0</v>
      </c>
      <c r="C5" s="417" t="s">
        <v>429</v>
      </c>
      <c r="D5" s="1826"/>
      <c r="E5" s="1826"/>
      <c r="F5" s="1826"/>
      <c r="G5" s="1826"/>
      <c r="H5" s="1826"/>
      <c r="I5" s="1826"/>
      <c r="J5" s="1826"/>
      <c r="K5" s="1826"/>
      <c r="L5" s="282"/>
      <c r="M5" s="282"/>
      <c r="N5" s="282"/>
      <c r="O5" s="282"/>
      <c r="P5" s="282"/>
      <c r="Q5" s="282"/>
      <c r="R5" s="282"/>
      <c r="S5" s="282"/>
      <c r="T5" s="282"/>
      <c r="U5" s="282"/>
      <c r="V5" s="282"/>
      <c r="W5" s="282"/>
      <c r="X5" s="282"/>
      <c r="Y5" s="282"/>
      <c r="Z5" s="282"/>
    </row>
    <row r="6" spans="1:41" s="1833" customFormat="1" ht="16.5" customHeight="1">
      <c r="A6" s="418" t="s">
        <v>1934</v>
      </c>
      <c r="B6" s="419"/>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0" t="s">
        <v>430</v>
      </c>
      <c r="B7" s="421" t="s">
        <v>431</v>
      </c>
      <c r="C7" s="3056"/>
      <c r="D7" s="422"/>
      <c r="E7" s="422"/>
      <c r="F7" s="422"/>
      <c r="G7" s="422"/>
      <c r="H7" s="422"/>
      <c r="I7" s="422"/>
      <c r="J7" s="422"/>
      <c r="K7" s="423"/>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4" t="s">
        <v>432</v>
      </c>
      <c r="C8" s="425"/>
      <c r="D8" s="425"/>
      <c r="E8" s="425"/>
      <c r="F8" s="425"/>
      <c r="G8" s="425"/>
      <c r="H8" s="425"/>
      <c r="I8" s="425"/>
      <c r="J8" s="425"/>
      <c r="K8" s="426"/>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0" t="s">
        <v>430</v>
      </c>
      <c r="B12" s="429" t="s">
        <v>431</v>
      </c>
      <c r="C12" s="430" t="s">
        <v>435</v>
      </c>
      <c r="D12" s="431" t="s">
        <v>436</v>
      </c>
      <c r="E12" s="431" t="s">
        <v>437</v>
      </c>
      <c r="F12" s="431" t="s">
        <v>438</v>
      </c>
      <c r="G12" s="429"/>
      <c r="H12" s="432"/>
      <c r="I12" s="432"/>
      <c r="J12" s="432"/>
      <c r="K12" s="433"/>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4" t="s">
        <v>439</v>
      </c>
      <c r="C13" s="435">
        <f ca="1">IF(B1="",'数据-取费表'!M16,INDIRECT("'数据-取费表'!M"&amp;$K$1)+INDIRECT("'数据-取费表'!t"&amp;$K$1))</f>
        <v>1903</v>
      </c>
      <c r="D13" s="436"/>
      <c r="E13" s="355"/>
      <c r="F13" s="437"/>
      <c r="G13" s="429"/>
      <c r="H13" s="432"/>
      <c r="I13" s="432"/>
      <c r="J13" s="432"/>
      <c r="K13" s="433"/>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4" t="s">
        <v>440</v>
      </c>
      <c r="C14" s="51">
        <f ca="1">ROUND(C13*F14,0)</f>
        <v>57</v>
      </c>
      <c r="D14" s="436"/>
      <c r="E14" s="355"/>
      <c r="F14" s="441">
        <f>'数据-取费表'!B33</f>
        <v>0.03</v>
      </c>
      <c r="G14" s="429" t="s">
        <v>462</v>
      </c>
      <c r="H14" s="432"/>
      <c r="I14" s="432"/>
      <c r="J14" s="432"/>
      <c r="K14" s="433"/>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4" t="s">
        <v>442</v>
      </c>
      <c r="C15" s="51">
        <f ca="1">ROUND(IF(B1="",SUMIF('数据-取费表'!C:C,"住宅",'数据-取费表'!M:M)*F15,IF(INDIRECT("'数据-取费表'!c"&amp;$K$1)="住宅",INDIRECT("'数据-取费表'!M"&amp;$K$1)*F15,0)),0)</f>
        <v>0</v>
      </c>
      <c r="D15" s="436"/>
      <c r="E15" s="355"/>
      <c r="F15" s="441">
        <f>'数据-取费表'!B34</f>
        <v>0</v>
      </c>
      <c r="G15" s="429" t="s">
        <v>462</v>
      </c>
      <c r="H15" s="432"/>
      <c r="I15" s="432"/>
      <c r="J15" s="432"/>
      <c r="K15" s="433"/>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4" t="s">
        <v>444</v>
      </c>
      <c r="C16" s="51">
        <f ca="1">ROUND(D16*E16/10000,0)</f>
        <v>127</v>
      </c>
      <c r="D16" s="436">
        <f ca="1">IF(B1="",'数据-汇总表'!E3,INDIRECT("'数据-取费表'!K"&amp;$K$1)+INDIRECT("'数据-取费表'!S"&amp;$K$1))</f>
        <v>6342.01</v>
      </c>
      <c r="E16" s="51">
        <f>'数据-取费表'!B35</f>
        <v>200</v>
      </c>
      <c r="F16" s="438"/>
      <c r="G16" s="429"/>
      <c r="H16" s="432"/>
      <c r="I16" s="432"/>
      <c r="J16" s="432"/>
      <c r="K16" s="433"/>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4" t="s">
        <v>445</v>
      </c>
      <c r="C17" s="439">
        <f ca="1">ROUND(C13*F17,0)</f>
        <v>29</v>
      </c>
      <c r="D17" s="440"/>
      <c r="E17" s="439"/>
      <c r="F17" s="441">
        <f>'数据-取费表'!B36</f>
        <v>1.4999999999999999E-2</v>
      </c>
      <c r="G17" s="429" t="s">
        <v>462</v>
      </c>
      <c r="H17" s="442"/>
      <c r="I17" s="442"/>
      <c r="J17" s="442"/>
      <c r="K17" s="443"/>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4" t="s">
        <v>447</v>
      </c>
      <c r="C18" s="445">
        <f ca="1">SUM(C13:C17)</f>
        <v>2116</v>
      </c>
      <c r="D18" s="446"/>
      <c r="E18" s="447"/>
      <c r="F18" s="447"/>
      <c r="G18" s="1194" t="s">
        <v>1783</v>
      </c>
      <c r="H18" s="432"/>
      <c r="I18" s="432"/>
      <c r="J18" s="432"/>
      <c r="K18" s="433"/>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4" t="s">
        <v>453</v>
      </c>
      <c r="C19" s="445">
        <f ca="1">ROUND(C18*F19,0)</f>
        <v>42</v>
      </c>
      <c r="D19" s="446"/>
      <c r="E19" s="447"/>
      <c r="F19" s="451">
        <f>'数据-取费表'!B37</f>
        <v>0.02</v>
      </c>
      <c r="G19" s="429" t="s">
        <v>463</v>
      </c>
      <c r="H19" s="432"/>
      <c r="I19" s="432"/>
      <c r="J19" s="432"/>
      <c r="K19" s="433"/>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6" t="s">
        <v>454</v>
      </c>
      <c r="C20" s="455">
        <f ca="1">ROUND(IF('数据-取费表'!B22&lt;=1,(C18+C19)*F20*'数据-取费表'!B20/2,(C18+C19)*(POWER((1+F20),'数据-取费表'!B20/2)-1)),0)</f>
        <v>37</v>
      </c>
      <c r="D20" s="447">
        <f ca="1">ROUND(((1+F20)^'数据-取费表'!B20)-1,4)</f>
        <v>3.4500000000000003E-2</v>
      </c>
      <c r="E20" s="447"/>
      <c r="F20" s="456">
        <f ca="1">'数据-取费表'!B40</f>
        <v>3.4500000000000003E-2</v>
      </c>
      <c r="G20" s="1194" t="str">
        <f>IF('数据-取费表'!B22&lt;=1,"单利计息。","复利计息。")&amp;"建造成本、管理费用产生的利息 / 地价及税费产生的利息。"</f>
        <v>单利计息。建造成本、管理费用产生的利息 / 地价及税费产生的利息。</v>
      </c>
      <c r="H20" s="432"/>
      <c r="I20" s="432"/>
      <c r="J20" s="432"/>
      <c r="K20" s="433"/>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2299</v>
      </c>
      <c r="B21" s="2502" t="s">
        <v>2107</v>
      </c>
      <c r="C21" s="463">
        <f ca="1">ROUND((C18+C19)*F21,0)</f>
        <v>108</v>
      </c>
      <c r="D21" s="3028"/>
      <c r="E21" s="447"/>
      <c r="F21" s="464">
        <f ca="1">IF(B1="",'数据-取费表'!Q16,INDIRECT("'数据-取费表'!q"&amp;$K$1))</f>
        <v>0.05</v>
      </c>
      <c r="G21" s="429"/>
      <c r="H21" s="432"/>
      <c r="I21" s="432"/>
      <c r="J21" s="432"/>
      <c r="K21" s="433"/>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1" t="s">
        <v>464</v>
      </c>
      <c r="C22" s="468"/>
      <c r="D22" s="468"/>
      <c r="E22" s="469"/>
      <c r="F22" s="3030">
        <f ca="1">IF(B1="",'数据-取费表'!N16,INDIRECT("'数据-取费表'!N"&amp;$K$1))</f>
        <v>0</v>
      </c>
      <c r="G22" s="429"/>
      <c r="H22" s="432"/>
      <c r="I22" s="432"/>
      <c r="J22" s="432"/>
      <c r="K22" s="433"/>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2300</v>
      </c>
      <c r="C23" s="3033">
        <f ca="1">ROUND((C18+C19+C20+C21)*F22,0)</f>
        <v>0</v>
      </c>
      <c r="D23" s="3034"/>
      <c r="E23" s="3035"/>
      <c r="F23" s="470"/>
      <c r="G23" s="421"/>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44" t="s">
        <v>1394</v>
      </c>
      <c r="B24" s="3845"/>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44" t="s">
        <v>2297</v>
      </c>
      <c r="B25" s="3845"/>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44" t="s">
        <v>2298</v>
      </c>
      <c r="B26" s="3845"/>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46" t="s">
        <v>2296</v>
      </c>
      <c r="B27" s="3847"/>
      <c r="C27" s="3046">
        <f ca="1">(C6-C23-C24-C25)/((1+F26)*(1+D20+F21))</f>
        <v>0</v>
      </c>
      <c r="D27" s="3047"/>
      <c r="E27" s="3047"/>
      <c r="F27" s="3047"/>
      <c r="G27" s="3048" t="s">
        <v>2231</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73" t="str">
        <f>项目基本情况!B1</f>
        <v>北京市出让国有建设用地使用权抵押价格预评估</v>
      </c>
      <c r="C37" s="3673"/>
      <c r="D37" s="3673"/>
      <c r="E37" s="3673"/>
      <c r="F37" s="3673"/>
      <c r="G37" s="3673"/>
      <c r="H37" s="3673"/>
      <c r="I37" s="3673"/>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465</v>
      </c>
      <c r="B1" s="472"/>
      <c r="C1" s="473" t="s">
        <v>466</v>
      </c>
      <c r="D1" s="474" t="s">
        <v>467</v>
      </c>
      <c r="E1" s="475"/>
      <c r="F1" s="414"/>
      <c r="G1" s="475"/>
      <c r="H1" s="475"/>
      <c r="I1" s="475"/>
      <c r="J1" s="475"/>
      <c r="K1" s="476"/>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09" t="s">
        <v>427</v>
      </c>
      <c r="B2" s="477" t="e">
        <f>F67</f>
        <v>#DIV/0!</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79" t="e">
        <f>ROUND(B2*10000/'数据-汇总表'!E3,0)</f>
        <v>#DIV/0!</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0" t="s">
        <v>469</v>
      </c>
      <c r="B4" s="413" t="e">
        <f>IF(B48="单位面积地价",C50,ROUND(B2*10000/'数据-汇总表'!D3,0))</f>
        <v>#DIV/0!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5"/>
      <c r="B5" s="416" t="e">
        <f>ROUND(B2/('数据-汇总表'!D3/666.67),0)</f>
        <v>#DIV/0!</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1" t="s">
        <v>470</v>
      </c>
      <c r="B6" s="482"/>
      <c r="C6" s="3871" t="s">
        <v>471</v>
      </c>
      <c r="D6" s="3872"/>
      <c r="E6" s="3871" t="s">
        <v>472</v>
      </c>
      <c r="F6" s="3872"/>
      <c r="G6" s="3871" t="s">
        <v>473</v>
      </c>
      <c r="H6" s="3872"/>
      <c r="I6" s="3871" t="s">
        <v>474</v>
      </c>
      <c r="J6" s="3872"/>
      <c r="K6" s="483" t="s">
        <v>475</v>
      </c>
      <c r="L6" s="1855"/>
      <c r="M6" s="1854"/>
      <c r="N6" s="1854"/>
      <c r="O6" s="1856"/>
      <c r="P6" s="3873" t="s">
        <v>476</v>
      </c>
      <c r="Q6" s="3874"/>
      <c r="R6" s="3857" t="s">
        <v>472</v>
      </c>
      <c r="S6" s="3858"/>
      <c r="T6" s="3857" t="s">
        <v>473</v>
      </c>
      <c r="U6" s="3858"/>
      <c r="V6" s="3879" t="s">
        <v>474</v>
      </c>
      <c r="W6" s="3879"/>
      <c r="X6" s="1379"/>
      <c r="Y6" s="3857" t="s">
        <v>476</v>
      </c>
      <c r="Z6" s="3858"/>
      <c r="AA6" s="3852" t="s">
        <v>472</v>
      </c>
      <c r="AB6" s="3853" t="s">
        <v>473</v>
      </c>
      <c r="AC6" s="3852" t="s">
        <v>474</v>
      </c>
    </row>
    <row r="7" spans="1:30" ht="20.25">
      <c r="A7" s="484"/>
      <c r="B7" s="485"/>
      <c r="C7" s="3882" t="s">
        <v>2192</v>
      </c>
      <c r="D7" s="3883"/>
      <c r="E7" s="3882" t="s">
        <v>2193</v>
      </c>
      <c r="F7" s="3883"/>
      <c r="G7" s="3882" t="s">
        <v>2194</v>
      </c>
      <c r="H7" s="3883"/>
      <c r="I7" s="3882" t="s">
        <v>2195</v>
      </c>
      <c r="J7" s="3883"/>
      <c r="K7" s="483"/>
      <c r="L7" s="1855"/>
      <c r="M7" s="1854"/>
      <c r="N7" s="1854"/>
      <c r="O7" s="1856"/>
      <c r="P7" s="3875"/>
      <c r="Q7" s="3876"/>
      <c r="R7" s="3859"/>
      <c r="S7" s="3860"/>
      <c r="T7" s="3859"/>
      <c r="U7" s="3860"/>
      <c r="V7" s="3879"/>
      <c r="W7" s="3879"/>
      <c r="X7" s="1379"/>
      <c r="Y7" s="3859"/>
      <c r="Z7" s="3860"/>
      <c r="AA7" s="3853"/>
      <c r="AB7" s="3853"/>
      <c r="AC7" s="3853"/>
    </row>
    <row r="8" spans="1:30" ht="21" thickBot="1">
      <c r="A8" s="484"/>
      <c r="B8" s="485"/>
      <c r="C8" s="3884" t="s">
        <v>2196</v>
      </c>
      <c r="D8" s="3885"/>
      <c r="E8" s="3884" t="s">
        <v>2196</v>
      </c>
      <c r="F8" s="3885"/>
      <c r="G8" s="3880" t="s">
        <v>2196</v>
      </c>
      <c r="H8" s="3881"/>
      <c r="I8" s="3880" t="s">
        <v>2196</v>
      </c>
      <c r="J8" s="3881"/>
      <c r="K8" s="483" t="s">
        <v>477</v>
      </c>
      <c r="L8" s="1855"/>
      <c r="M8" s="1854"/>
      <c r="N8" s="1854"/>
      <c r="O8" s="1856"/>
      <c r="P8" s="3877"/>
      <c r="Q8" s="3878"/>
      <c r="R8" s="3859"/>
      <c r="S8" s="3860"/>
      <c r="T8" s="3861"/>
      <c r="U8" s="3862"/>
      <c r="V8" s="3879"/>
      <c r="W8" s="3879"/>
      <c r="X8" s="1379"/>
      <c r="Y8" s="3861"/>
      <c r="Z8" s="3862"/>
      <c r="AA8" s="3854"/>
      <c r="AB8" s="3854"/>
      <c r="AC8" s="3854"/>
    </row>
    <row r="9" spans="1:30" s="1117" customFormat="1" ht="21" thickBot="1">
      <c r="A9" s="2391"/>
      <c r="B9" s="2398" t="s">
        <v>478</v>
      </c>
      <c r="C9" s="2390">
        <f>'数据-取费表'!B2</f>
        <v>45378</v>
      </c>
      <c r="D9" s="489">
        <v>100</v>
      </c>
      <c r="E9" s="490"/>
      <c r="F9" s="491">
        <f>SUMIF(71:71,YEAR(E9)&amp;"-"&amp;INT((MONTH(E9)+2)/3),72:72)</f>
        <v>0</v>
      </c>
      <c r="G9" s="492"/>
      <c r="H9" s="489">
        <f>SUMIF(71:71,YEAR(G9)&amp;"-"&amp;INT((MONTH(G9)+2)/3),72:72)</f>
        <v>0</v>
      </c>
      <c r="I9" s="492"/>
      <c r="J9" s="489">
        <f>SUMIF(71:71,YEAR(I9)&amp;"-"&amp;INT((MONTH(I9)+2)/3),72:72)</f>
        <v>0</v>
      </c>
      <c r="K9" s="493"/>
      <c r="L9" s="1857"/>
      <c r="M9" s="1854"/>
      <c r="N9" s="1854"/>
      <c r="O9" s="1858"/>
      <c r="P9" s="3855" t="s">
        <v>479</v>
      </c>
      <c r="Q9" s="3864"/>
      <c r="R9" s="1380" t="s">
        <v>5</v>
      </c>
      <c r="S9" s="1381">
        <f t="shared" ref="S9:S17" si="0">F9</f>
        <v>0</v>
      </c>
      <c r="T9" s="1380" t="s">
        <v>5</v>
      </c>
      <c r="U9" s="1381">
        <f t="shared" ref="U9:U17" si="1">H9</f>
        <v>0</v>
      </c>
      <c r="V9" s="1380" t="s">
        <v>5</v>
      </c>
      <c r="W9" s="1381">
        <f t="shared" ref="W9:W17" si="2">J9</f>
        <v>0</v>
      </c>
      <c r="X9" s="1382"/>
      <c r="Y9" s="3855" t="s">
        <v>479</v>
      </c>
      <c r="Z9" s="3856"/>
      <c r="AA9" s="1383" t="e">
        <f>D9/F9</f>
        <v>#DIV/0!</v>
      </c>
      <c r="AB9" s="1383" t="e">
        <f>D9/H9</f>
        <v>#DIV/0!</v>
      </c>
      <c r="AC9" s="1383" t="e">
        <f>D9/J9</f>
        <v>#DIV/0!</v>
      </c>
    </row>
    <row r="10" spans="1:30" s="1117" customFormat="1" ht="21" thickBot="1">
      <c r="A10" s="2392"/>
      <c r="B10" s="2399" t="s">
        <v>480</v>
      </c>
      <c r="C10" s="820" t="s">
        <v>481</v>
      </c>
      <c r="D10" s="489">
        <v>100</v>
      </c>
      <c r="E10" s="494"/>
      <c r="F10" s="491">
        <f>SUMIF(74:74,E10,75:75)-SUMIF(74:74,C10,75:75)+100</f>
        <v>0</v>
      </c>
      <c r="G10" s="494"/>
      <c r="H10" s="489">
        <f>SUMIF(74:74,G10,75:75)-SUMIF(74:74,C10,75:75)+100</f>
        <v>0</v>
      </c>
      <c r="I10" s="494"/>
      <c r="J10" s="489">
        <f>SUMIF(74:74,I10,75:75)-SUMIF(74:74,C10,75:75)+100</f>
        <v>0</v>
      </c>
      <c r="K10" s="493"/>
      <c r="L10" s="1857"/>
      <c r="M10" s="1854"/>
      <c r="N10" s="1854"/>
      <c r="O10" s="1858"/>
      <c r="P10" s="3855" t="s">
        <v>482</v>
      </c>
      <c r="Q10" s="3856"/>
      <c r="R10" s="1380" t="s">
        <v>5</v>
      </c>
      <c r="S10" s="1381">
        <f t="shared" si="0"/>
        <v>0</v>
      </c>
      <c r="T10" s="1380" t="s">
        <v>5</v>
      </c>
      <c r="U10" s="1381">
        <f t="shared" si="1"/>
        <v>0</v>
      </c>
      <c r="V10" s="1380" t="s">
        <v>5</v>
      </c>
      <c r="W10" s="1381">
        <f t="shared" si="2"/>
        <v>0</v>
      </c>
      <c r="X10" s="1382"/>
      <c r="Y10" s="3855" t="s">
        <v>482</v>
      </c>
      <c r="Z10" s="3856"/>
      <c r="AA10" s="1383" t="e">
        <f t="shared" ref="AA10:AA47" si="3">D10/F10</f>
        <v>#DIV/0!</v>
      </c>
      <c r="AB10" s="1383" t="e">
        <f t="shared" ref="AB10:AB47" si="4">D10/H10</f>
        <v>#DIV/0!</v>
      </c>
      <c r="AC10" s="1383" t="e">
        <f t="shared" ref="AC10:AC47" si="5">D10/J10</f>
        <v>#DIV/0!</v>
      </c>
    </row>
    <row r="11" spans="1:30" s="1117" customFormat="1" ht="20.25">
      <c r="A11" s="2393"/>
      <c r="B11" s="2400" t="s">
        <v>2038</v>
      </c>
      <c r="C11" s="2387"/>
      <c r="D11" s="244">
        <v>100</v>
      </c>
      <c r="E11" s="495"/>
      <c r="F11" s="244">
        <f>SUMIF(76:76,E11,77:77)-SUMIF(76:76,C11,77:77)+100</f>
        <v>100</v>
      </c>
      <c r="G11" s="495"/>
      <c r="H11" s="244">
        <f>SUMIF(76:76,G11,77:77)-SUMIF(76:76,C11,77:77)+100</f>
        <v>100</v>
      </c>
      <c r="I11" s="495"/>
      <c r="J11" s="244">
        <f>SUMIF(76:76,I11,77:77)-SUMIF(76:76,C11,77:77)+100</f>
        <v>100</v>
      </c>
      <c r="K11" s="493"/>
      <c r="L11" s="1857"/>
      <c r="M11" s="1854"/>
      <c r="N11" s="1854"/>
      <c r="O11" s="1859"/>
      <c r="P11" s="3863" t="s">
        <v>484</v>
      </c>
      <c r="Q11" s="1049" t="str">
        <f t="shared" ref="Q11:Q17" si="6">B11</f>
        <v>用途</v>
      </c>
      <c r="R11" s="1380" t="s">
        <v>5</v>
      </c>
      <c r="S11" s="1381">
        <f t="shared" si="0"/>
        <v>100</v>
      </c>
      <c r="T11" s="1380" t="s">
        <v>5</v>
      </c>
      <c r="U11" s="1381">
        <f t="shared" si="1"/>
        <v>100</v>
      </c>
      <c r="V11" s="1380" t="s">
        <v>5</v>
      </c>
      <c r="W11" s="1381">
        <f t="shared" si="2"/>
        <v>100</v>
      </c>
      <c r="X11" s="1382"/>
      <c r="Y11" s="3811" t="s">
        <v>485</v>
      </c>
      <c r="Z11" s="1048" t="str">
        <f t="shared" ref="Z11:Z17" si="7">Q11</f>
        <v>用途</v>
      </c>
      <c r="AA11" s="1383">
        <f t="shared" si="3"/>
        <v>1</v>
      </c>
      <c r="AB11" s="1383">
        <f t="shared" si="4"/>
        <v>1</v>
      </c>
      <c r="AC11" s="1383">
        <f t="shared" si="5"/>
        <v>1</v>
      </c>
    </row>
    <row r="12" spans="1:30" s="1198" customFormat="1" ht="27">
      <c r="A12" s="2394"/>
      <c r="B12" s="2399" t="s">
        <v>2039</v>
      </c>
      <c r="C12" s="872"/>
      <c r="D12" s="245">
        <v>100</v>
      </c>
      <c r="E12" s="498"/>
      <c r="F12" s="245">
        <f>ROUND(100/'数据-取费表'!G16,0)</f>
        <v>107</v>
      </c>
      <c r="G12" s="499"/>
      <c r="H12" s="245">
        <f>ROUND(100/'数据-取费表'!G16,0)</f>
        <v>107</v>
      </c>
      <c r="I12" s="499"/>
      <c r="J12" s="245">
        <f>ROUND(100/'数据-取费表'!G16,0)</f>
        <v>107</v>
      </c>
      <c r="K12" s="500"/>
      <c r="L12" s="1860"/>
      <c r="M12" s="1854"/>
      <c r="N12" s="1854"/>
      <c r="O12" s="1861"/>
      <c r="P12" s="3863"/>
      <c r="Q12" s="1049" t="str">
        <f t="shared" si="6"/>
        <v>土地使用年限（年）</v>
      </c>
      <c r="R12" s="1380" t="s">
        <v>5</v>
      </c>
      <c r="S12" s="1381">
        <f t="shared" si="0"/>
        <v>107</v>
      </c>
      <c r="T12" s="1380" t="s">
        <v>5</v>
      </c>
      <c r="U12" s="1381">
        <f t="shared" si="1"/>
        <v>107</v>
      </c>
      <c r="V12" s="1380" t="s">
        <v>5</v>
      </c>
      <c r="W12" s="1381">
        <f t="shared" si="2"/>
        <v>107</v>
      </c>
      <c r="X12" s="1382"/>
      <c r="Y12" s="3811"/>
      <c r="Z12" s="1048" t="str">
        <f t="shared" si="7"/>
        <v>土地使用年限（年）</v>
      </c>
      <c r="AA12" s="1383">
        <f t="shared" si="3"/>
        <v>0.93457943925233644</v>
      </c>
      <c r="AB12" s="1383">
        <f t="shared" si="4"/>
        <v>0.93457943925233644</v>
      </c>
      <c r="AC12" s="1383">
        <f t="shared" si="5"/>
        <v>0.93457943925233644</v>
      </c>
    </row>
    <row r="13" spans="1:30" ht="20.25">
      <c r="A13" s="2395"/>
      <c r="B13" s="2399" t="s">
        <v>2040</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2"/>
      <c r="M13" s="1854"/>
      <c r="N13" s="1854"/>
      <c r="O13" s="1863"/>
      <c r="P13" s="3863"/>
      <c r="Q13" s="1049" t="str">
        <f t="shared" si="6"/>
        <v>容积率</v>
      </c>
      <c r="R13" s="1380" t="s">
        <v>5</v>
      </c>
      <c r="S13" s="1381" t="e">
        <f t="shared" si="0"/>
        <v>#N/A</v>
      </c>
      <c r="T13" s="1380" t="s">
        <v>5</v>
      </c>
      <c r="U13" s="1381" t="e">
        <f t="shared" si="1"/>
        <v>#N/A</v>
      </c>
      <c r="V13" s="1380" t="s">
        <v>5</v>
      </c>
      <c r="W13" s="1381" t="e">
        <f t="shared" si="2"/>
        <v>#N/A</v>
      </c>
      <c r="X13" s="1382"/>
      <c r="Y13" s="3811"/>
      <c r="Z13" s="1048" t="str">
        <f t="shared" si="7"/>
        <v>容积率</v>
      </c>
      <c r="AA13" s="1383" t="e">
        <f t="shared" si="3"/>
        <v>#N/A</v>
      </c>
      <c r="AB13" s="1383" t="e">
        <f t="shared" si="4"/>
        <v>#N/A</v>
      </c>
      <c r="AC13" s="1383" t="e">
        <f t="shared" si="5"/>
        <v>#N/A</v>
      </c>
    </row>
    <row r="14" spans="1:30" s="1117" customFormat="1" ht="20.25">
      <c r="A14" s="2392"/>
      <c r="B14" s="2401" t="s">
        <v>2041</v>
      </c>
      <c r="C14" s="2388"/>
      <c r="D14" s="507">
        <v>100</v>
      </c>
      <c r="E14" s="1231"/>
      <c r="F14" s="245">
        <f>SUMIF(83:83,E14,84:84)-SUMIF(83:83,C14,84:84)+100</f>
        <v>100</v>
      </c>
      <c r="G14" s="499"/>
      <c r="H14" s="245">
        <f>SUMIF(83:83,G14,84:84)-SUMIF(83:83,C14,84:84)+100</f>
        <v>100</v>
      </c>
      <c r="I14" s="498"/>
      <c r="J14" s="245">
        <f>SUMIF(83:83,I14,84:84)-SUMIF(83:83,C14,84:84)+100</f>
        <v>100</v>
      </c>
      <c r="K14" s="500"/>
      <c r="L14" s="1857"/>
      <c r="M14" s="1854"/>
      <c r="N14" s="1854"/>
      <c r="O14" s="1859"/>
      <c r="P14" s="3863"/>
      <c r="Q14" s="1049" t="str">
        <f t="shared" si="6"/>
        <v>配建</v>
      </c>
      <c r="R14" s="1380" t="s">
        <v>5</v>
      </c>
      <c r="S14" s="1381">
        <f t="shared" si="0"/>
        <v>100</v>
      </c>
      <c r="T14" s="1380" t="s">
        <v>5</v>
      </c>
      <c r="U14" s="1381">
        <f t="shared" si="1"/>
        <v>100</v>
      </c>
      <c r="V14" s="1380" t="s">
        <v>5</v>
      </c>
      <c r="W14" s="1381">
        <f t="shared" si="2"/>
        <v>100</v>
      </c>
      <c r="X14" s="1382"/>
      <c r="Y14" s="3811"/>
      <c r="Z14" s="1048" t="str">
        <f t="shared" si="7"/>
        <v>配建</v>
      </c>
      <c r="AA14" s="1383">
        <f>D14/F14</f>
        <v>1</v>
      </c>
      <c r="AB14" s="1383">
        <f>D14/H14</f>
        <v>1</v>
      </c>
      <c r="AC14" s="1383">
        <f>D14/J14</f>
        <v>1</v>
      </c>
    </row>
    <row r="15" spans="1:30" ht="20.25">
      <c r="A15" s="2396"/>
      <c r="B15" s="2402">
        <v>111</v>
      </c>
      <c r="C15" s="874"/>
      <c r="D15" s="509">
        <v>100</v>
      </c>
      <c r="E15" s="510"/>
      <c r="F15" s="245">
        <f>SUMIF(85:85,E15,86:86)-SUMIF(85:85,C15,86:86)+100</f>
        <v>100</v>
      </c>
      <c r="G15" s="511"/>
      <c r="H15" s="509">
        <f>SUMIF(85:85,G15,86:86)-SUMIF(85:85,C15,86:86)+100</f>
        <v>100</v>
      </c>
      <c r="I15" s="511"/>
      <c r="J15" s="509">
        <f>SUMIF(85:85,I15,86:86)-SUMIF(85:85,C15,86:86)+100</f>
        <v>100</v>
      </c>
      <c r="K15" s="500"/>
      <c r="L15" s="1864"/>
      <c r="M15" s="1854"/>
      <c r="N15" s="1854"/>
      <c r="O15" s="1863"/>
      <c r="P15" s="3863"/>
      <c r="Q15" s="1049">
        <f t="shared" si="6"/>
        <v>111</v>
      </c>
      <c r="R15" s="1380" t="s">
        <v>5</v>
      </c>
      <c r="S15" s="1381">
        <f t="shared" si="0"/>
        <v>100</v>
      </c>
      <c r="T15" s="1380" t="s">
        <v>5</v>
      </c>
      <c r="U15" s="1381">
        <f t="shared" si="1"/>
        <v>100</v>
      </c>
      <c r="V15" s="1380" t="s">
        <v>5</v>
      </c>
      <c r="W15" s="1381">
        <f t="shared" si="2"/>
        <v>100</v>
      </c>
      <c r="X15" s="1382"/>
      <c r="Y15" s="3811"/>
      <c r="Z15" s="1048">
        <f t="shared" si="7"/>
        <v>111</v>
      </c>
      <c r="AA15" s="1383">
        <f>D15/F15</f>
        <v>1</v>
      </c>
      <c r="AB15" s="1383">
        <f>D15/H15</f>
        <v>1</v>
      </c>
      <c r="AC15" s="1383">
        <f>D15/J15</f>
        <v>1</v>
      </c>
    </row>
    <row r="16" spans="1:30" ht="21" thickBot="1">
      <c r="A16" s="2397"/>
      <c r="B16" s="2403">
        <v>111</v>
      </c>
      <c r="C16" s="877"/>
      <c r="D16" s="515">
        <v>100</v>
      </c>
      <c r="E16" s="510"/>
      <c r="F16" s="515">
        <f>SUMIF(87:87,E16,88:88)-SUMIF(87:87,C16,88:88)+100</f>
        <v>100</v>
      </c>
      <c r="G16" s="511"/>
      <c r="H16" s="515">
        <f>SUMIF(87:87,G16,88:88)-SUMIF(87:87,C16,88:88)+100</f>
        <v>100</v>
      </c>
      <c r="I16" s="511"/>
      <c r="J16" s="515">
        <f>SUMIF(87:87,I16,88:88)-SUMIF(87:87,C16,88:88)+100</f>
        <v>100</v>
      </c>
      <c r="K16" s="500"/>
      <c r="L16" s="1864"/>
      <c r="M16" s="1854"/>
      <c r="N16" s="1854"/>
      <c r="O16" s="1863"/>
      <c r="P16" s="3863"/>
      <c r="Q16" s="1049">
        <f t="shared" si="6"/>
        <v>111</v>
      </c>
      <c r="R16" s="1380" t="s">
        <v>5</v>
      </c>
      <c r="S16" s="1381">
        <f t="shared" si="0"/>
        <v>100</v>
      </c>
      <c r="T16" s="1380" t="s">
        <v>5</v>
      </c>
      <c r="U16" s="1381">
        <f t="shared" si="1"/>
        <v>100</v>
      </c>
      <c r="V16" s="1380" t="s">
        <v>5</v>
      </c>
      <c r="W16" s="1381">
        <f t="shared" si="2"/>
        <v>100</v>
      </c>
      <c r="X16" s="1382"/>
      <c r="Y16" s="3811"/>
      <c r="Z16" s="1048">
        <f t="shared" si="7"/>
        <v>111</v>
      </c>
      <c r="AA16" s="1383">
        <f>D16/F16</f>
        <v>1</v>
      </c>
      <c r="AB16" s="1383">
        <f>D16/H16</f>
        <v>1</v>
      </c>
      <c r="AC16" s="1383">
        <f>D16/J16</f>
        <v>1</v>
      </c>
    </row>
    <row r="17" spans="1:29" ht="99.75">
      <c r="A17" s="2389"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100</v>
      </c>
      <c r="G17" s="519"/>
      <c r="H17" s="518">
        <f>SUMIF(89:89,G18,90:90)-SUMIF(89:89,C18,90:90)+100</f>
        <v>100</v>
      </c>
      <c r="I17" s="521"/>
      <c r="J17" s="518">
        <f>SUMIF(89:89,I18,90:90)-SUMIF(89:89,C18,90:90)+100</f>
        <v>100</v>
      </c>
      <c r="K17" s="504"/>
      <c r="L17" s="1864"/>
      <c r="M17" s="1854"/>
      <c r="N17" s="1854"/>
      <c r="O17" s="1863"/>
      <c r="P17" s="3865" t="s">
        <v>489</v>
      </c>
      <c r="Q17" s="1384" t="str">
        <f t="shared" si="6"/>
        <v>居住社区成熟度</v>
      </c>
      <c r="R17" s="1385" t="s">
        <v>5</v>
      </c>
      <c r="S17" s="1386">
        <f t="shared" si="0"/>
        <v>100</v>
      </c>
      <c r="T17" s="1385" t="s">
        <v>5</v>
      </c>
      <c r="U17" s="1386">
        <f t="shared" si="1"/>
        <v>100</v>
      </c>
      <c r="V17" s="1385" t="s">
        <v>5</v>
      </c>
      <c r="W17" s="1386">
        <f t="shared" si="2"/>
        <v>100</v>
      </c>
      <c r="X17" s="1379"/>
      <c r="Y17" s="3865" t="s">
        <v>489</v>
      </c>
      <c r="Z17" s="1387" t="str">
        <f t="shared" si="7"/>
        <v>居住社区成熟度</v>
      </c>
      <c r="AA17" s="1388">
        <f t="shared" si="3"/>
        <v>1</v>
      </c>
      <c r="AB17" s="1388">
        <f t="shared" si="4"/>
        <v>1</v>
      </c>
      <c r="AC17" s="1388">
        <f t="shared" si="5"/>
        <v>1</v>
      </c>
    </row>
    <row r="18" spans="1:29" ht="20.25">
      <c r="A18" s="501"/>
      <c r="B18" s="522"/>
      <c r="C18" s="523"/>
      <c r="D18" s="526"/>
      <c r="E18" s="527"/>
      <c r="F18" s="524"/>
      <c r="G18" s="525"/>
      <c r="H18" s="528"/>
      <c r="I18" s="527"/>
      <c r="J18" s="524"/>
      <c r="K18" s="500"/>
      <c r="L18" s="1864"/>
      <c r="M18" s="1854"/>
      <c r="N18" s="1854"/>
      <c r="O18" s="1863"/>
      <c r="P18" s="3866"/>
      <c r="Q18" s="1384"/>
      <c r="R18" s="1385"/>
      <c r="S18" s="1386"/>
      <c r="T18" s="1385"/>
      <c r="U18" s="1386"/>
      <c r="V18" s="1385"/>
      <c r="W18" s="1386"/>
      <c r="X18" s="1379"/>
      <c r="Y18" s="3866"/>
      <c r="Z18" s="1387"/>
      <c r="AA18" s="1388">
        <v>1</v>
      </c>
      <c r="AB18" s="1388">
        <v>1</v>
      </c>
      <c r="AC18" s="1388">
        <v>1</v>
      </c>
    </row>
    <row r="19" spans="1:29" ht="71.25">
      <c r="A19" s="501"/>
      <c r="B19" s="529" t="s">
        <v>490</v>
      </c>
      <c r="C19" s="530" t="str">
        <f>估价对象房地状况!C16</f>
        <v>估价对象位于XX商圈，周边商业氛围成熟，人流量大，商业繁华度好</v>
      </c>
      <c r="D19" s="532">
        <v>100</v>
      </c>
      <c r="E19" s="533"/>
      <c r="F19" s="528">
        <f>SUMIF(91:91,E20,92:92)-SUMIF(91:91,C20,92:92)+100</f>
        <v>100</v>
      </c>
      <c r="G19" s="531"/>
      <c r="H19" s="534">
        <f>SUMIF(91:91,G20,92:92)-SUMIF(91:91,C20,92:92)+100</f>
        <v>100</v>
      </c>
      <c r="I19" s="533"/>
      <c r="J19" s="534">
        <f>SUMIF(91:91,I20,92:92)-SUMIF(91:91,C20,92:92)+100</f>
        <v>100</v>
      </c>
      <c r="K19" s="504"/>
      <c r="L19" s="1864"/>
      <c r="M19" s="1854"/>
      <c r="N19" s="1854"/>
      <c r="O19" s="1863"/>
      <c r="P19" s="3866"/>
      <c r="Q19" s="1384" t="str">
        <f>B19</f>
        <v>商业繁华度</v>
      </c>
      <c r="R19" s="1385" t="s">
        <v>5</v>
      </c>
      <c r="S19" s="1386">
        <f>F19</f>
        <v>100</v>
      </c>
      <c r="T19" s="1385" t="s">
        <v>5</v>
      </c>
      <c r="U19" s="1386">
        <f>H19</f>
        <v>100</v>
      </c>
      <c r="V19" s="1385" t="s">
        <v>5</v>
      </c>
      <c r="W19" s="1386">
        <f>J19</f>
        <v>100</v>
      </c>
      <c r="X19" s="1379"/>
      <c r="Y19" s="3866"/>
      <c r="Z19" s="1387" t="str">
        <f>Q19</f>
        <v>商业繁华度</v>
      </c>
      <c r="AA19" s="1388">
        <f t="shared" si="3"/>
        <v>1</v>
      </c>
      <c r="AB19" s="1388">
        <f t="shared" si="4"/>
        <v>1</v>
      </c>
      <c r="AC19" s="1388">
        <f t="shared" si="5"/>
        <v>1</v>
      </c>
    </row>
    <row r="20" spans="1:29" ht="20.25">
      <c r="A20" s="501"/>
      <c r="B20" s="535"/>
      <c r="C20" s="536"/>
      <c r="D20" s="532"/>
      <c r="E20" s="538"/>
      <c r="F20" s="528"/>
      <c r="G20" s="537"/>
      <c r="H20" s="524"/>
      <c r="I20" s="538"/>
      <c r="J20" s="524"/>
      <c r="K20" s="500"/>
      <c r="L20" s="1864"/>
      <c r="M20" s="1854"/>
      <c r="N20" s="1854"/>
      <c r="O20" s="1863"/>
      <c r="P20" s="3866"/>
      <c r="Q20" s="1384"/>
      <c r="R20" s="1385"/>
      <c r="S20" s="1386"/>
      <c r="T20" s="1385"/>
      <c r="U20" s="1386"/>
      <c r="V20" s="1385"/>
      <c r="W20" s="1386"/>
      <c r="X20" s="1379"/>
      <c r="Y20" s="3866"/>
      <c r="Z20" s="1387"/>
      <c r="AA20" s="1388">
        <v>1</v>
      </c>
      <c r="AB20" s="1388">
        <v>1</v>
      </c>
      <c r="AC20" s="1388">
        <v>1</v>
      </c>
    </row>
    <row r="21" spans="1:29" ht="71.25">
      <c r="A21" s="501"/>
      <c r="B21" s="529" t="s">
        <v>491</v>
      </c>
      <c r="C21" s="530" t="str">
        <f>估价对象房地状况!C17</f>
        <v>估价对象位于XX商圈，周边办公楼项目较多，入驻率高，办公集聚程度较好</v>
      </c>
      <c r="D21" s="540">
        <v>100</v>
      </c>
      <c r="E21" s="541"/>
      <c r="F21" s="534">
        <f>SUMIF(93:93,E22,94:94)-SUMIF(93:93,C22,94:94)+100</f>
        <v>100</v>
      </c>
      <c r="G21" s="539"/>
      <c r="H21" s="528">
        <f>SUMIF(93:93,G22,94:94)-SUMIF(93:93,C22,94:94)+100</f>
        <v>100</v>
      </c>
      <c r="I21" s="541"/>
      <c r="J21" s="528">
        <f>SUMIF(93:93,I22,94:94)-SUMIF(93:93,C22,94:94)+100</f>
        <v>100</v>
      </c>
      <c r="K21" s="504"/>
      <c r="L21" s="1864"/>
      <c r="M21" s="1854"/>
      <c r="N21" s="1854"/>
      <c r="O21" s="1863"/>
      <c r="P21" s="3866"/>
      <c r="Q21" s="1384" t="str">
        <f>B21</f>
        <v>办公集聚程度</v>
      </c>
      <c r="R21" s="1385" t="s">
        <v>5</v>
      </c>
      <c r="S21" s="1386">
        <f>F21</f>
        <v>100</v>
      </c>
      <c r="T21" s="1385" t="s">
        <v>5</v>
      </c>
      <c r="U21" s="1386">
        <f>H21</f>
        <v>100</v>
      </c>
      <c r="V21" s="1385" t="s">
        <v>5</v>
      </c>
      <c r="W21" s="1386">
        <f>J21</f>
        <v>100</v>
      </c>
      <c r="X21" s="1379"/>
      <c r="Y21" s="3866"/>
      <c r="Z21" s="1387" t="str">
        <f>Q21</f>
        <v>办公集聚程度</v>
      </c>
      <c r="AA21" s="1388">
        <f t="shared" si="3"/>
        <v>1</v>
      </c>
      <c r="AB21" s="1388">
        <f t="shared" si="4"/>
        <v>1</v>
      </c>
      <c r="AC21" s="1388">
        <f t="shared" si="5"/>
        <v>1</v>
      </c>
    </row>
    <row r="22" spans="1:29" ht="20.25">
      <c r="A22" s="501"/>
      <c r="B22" s="535"/>
      <c r="C22" s="523"/>
      <c r="D22" s="526"/>
      <c r="E22" s="527"/>
      <c r="F22" s="524"/>
      <c r="G22" s="525"/>
      <c r="H22" s="524"/>
      <c r="I22" s="527"/>
      <c r="J22" s="524"/>
      <c r="K22" s="500"/>
      <c r="L22" s="1864"/>
      <c r="M22" s="1854"/>
      <c r="N22" s="1854"/>
      <c r="O22" s="1863"/>
      <c r="P22" s="3866"/>
      <c r="Q22" s="1384"/>
      <c r="R22" s="1385"/>
      <c r="S22" s="1386"/>
      <c r="T22" s="1385"/>
      <c r="U22" s="1386"/>
      <c r="V22" s="1385"/>
      <c r="W22" s="1386"/>
      <c r="X22" s="1379"/>
      <c r="Y22" s="3866"/>
      <c r="Z22" s="1387"/>
      <c r="AA22" s="1388">
        <v>1</v>
      </c>
      <c r="AB22" s="1388">
        <v>1</v>
      </c>
      <c r="AC22" s="1388">
        <v>1</v>
      </c>
    </row>
    <row r="23" spans="1:29" ht="85.5">
      <c r="A23" s="501"/>
      <c r="B23" s="529" t="s">
        <v>492</v>
      </c>
      <c r="C23" s="542" t="str">
        <f>估价对象房地状况!C18</f>
        <v>估价对象周边道路状况、公共交通通达情况、停车便捷程度，综合评价交通便捷度较好</v>
      </c>
      <c r="D23" s="532">
        <v>100</v>
      </c>
      <c r="E23" s="533"/>
      <c r="F23" s="534">
        <f>SUMIF(95:95,E24,96:96)-SUMIF(95:95,C24,96:96)+100</f>
        <v>100</v>
      </c>
      <c r="G23" s="531"/>
      <c r="H23" s="528">
        <f>SUMIF(95:95,G24,96:96)-SUMIF(95:95,C24,96:96)+100</f>
        <v>100</v>
      </c>
      <c r="I23" s="533"/>
      <c r="J23" s="528">
        <f>SUMIF(95:95,I24,96:96)-SUMIF(95:95,C24,96:96)+100</f>
        <v>100</v>
      </c>
      <c r="K23" s="504"/>
      <c r="L23" s="1864"/>
      <c r="M23" s="1854"/>
      <c r="N23" s="1854"/>
      <c r="O23" s="1863"/>
      <c r="P23" s="3866"/>
      <c r="Q23" s="1384" t="str">
        <f>B23</f>
        <v>交通便捷度</v>
      </c>
      <c r="R23" s="1385" t="s">
        <v>5</v>
      </c>
      <c r="S23" s="1386">
        <f>F23</f>
        <v>100</v>
      </c>
      <c r="T23" s="1385" t="s">
        <v>5</v>
      </c>
      <c r="U23" s="1386">
        <f>H23</f>
        <v>100</v>
      </c>
      <c r="V23" s="1385" t="s">
        <v>5</v>
      </c>
      <c r="W23" s="1386">
        <f>J23</f>
        <v>100</v>
      </c>
      <c r="X23" s="1379"/>
      <c r="Y23" s="3866"/>
      <c r="Z23" s="1387" t="str">
        <f>Q23</f>
        <v>交通便捷度</v>
      </c>
      <c r="AA23" s="1388">
        <f t="shared" si="3"/>
        <v>1</v>
      </c>
      <c r="AB23" s="1388">
        <f t="shared" si="4"/>
        <v>1</v>
      </c>
      <c r="AC23" s="1388">
        <f t="shared" si="5"/>
        <v>1</v>
      </c>
    </row>
    <row r="24" spans="1:29" ht="20.25">
      <c r="A24" s="501"/>
      <c r="B24" s="547"/>
      <c r="C24" s="523"/>
      <c r="D24" s="526"/>
      <c r="E24" s="527"/>
      <c r="F24" s="524"/>
      <c r="G24" s="525"/>
      <c r="H24" s="524"/>
      <c r="I24" s="527"/>
      <c r="J24" s="524"/>
      <c r="K24" s="500"/>
      <c r="L24" s="1864"/>
      <c r="M24" s="1854"/>
      <c r="N24" s="1854"/>
      <c r="O24" s="1863"/>
      <c r="P24" s="3866"/>
      <c r="Q24" s="1384"/>
      <c r="R24" s="1385"/>
      <c r="S24" s="1386"/>
      <c r="T24" s="1385"/>
      <c r="U24" s="1386"/>
      <c r="V24" s="1385"/>
      <c r="W24" s="1386"/>
      <c r="X24" s="1379"/>
      <c r="Y24" s="3866"/>
      <c r="Z24" s="1387"/>
      <c r="AA24" s="1388">
        <v>1</v>
      </c>
      <c r="AB24" s="1388">
        <v>1</v>
      </c>
      <c r="AC24" s="1388">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4"/>
      <c r="M25" s="1854"/>
      <c r="N25" s="1854"/>
      <c r="O25" s="1863"/>
      <c r="P25" s="3866"/>
      <c r="Q25" s="1384" t="str">
        <f t="shared" ref="Q25:Q39" si="8">B25</f>
        <v>区域土地利用方向</v>
      </c>
      <c r="R25" s="1385" t="s">
        <v>5</v>
      </c>
      <c r="S25" s="1386">
        <f>F25</f>
        <v>100</v>
      </c>
      <c r="T25" s="1385" t="s">
        <v>5</v>
      </c>
      <c r="U25" s="1386">
        <f>H25</f>
        <v>100</v>
      </c>
      <c r="V25" s="1385" t="s">
        <v>5</v>
      </c>
      <c r="W25" s="1386">
        <f>J25</f>
        <v>100</v>
      </c>
      <c r="X25" s="1379"/>
      <c r="Y25" s="3866"/>
      <c r="Z25" s="1387" t="str">
        <f>Q25</f>
        <v>区域土地利用方向</v>
      </c>
      <c r="AA25" s="1388">
        <f t="shared" si="3"/>
        <v>1</v>
      </c>
      <c r="AB25" s="1388">
        <f t="shared" si="4"/>
        <v>1</v>
      </c>
      <c r="AC25" s="1388">
        <f t="shared" si="5"/>
        <v>1</v>
      </c>
    </row>
    <row r="26" spans="1:29" ht="20.25">
      <c r="A26" s="484"/>
      <c r="B26" s="967"/>
      <c r="C26" s="523"/>
      <c r="D26" s="526"/>
      <c r="E26" s="527"/>
      <c r="F26" s="524"/>
      <c r="G26" s="525"/>
      <c r="H26" s="524"/>
      <c r="I26" s="527"/>
      <c r="J26" s="524"/>
      <c r="K26" s="500"/>
      <c r="L26" s="1864"/>
      <c r="M26" s="1854"/>
      <c r="N26" s="1854"/>
      <c r="O26" s="1863"/>
      <c r="P26" s="3866"/>
      <c r="Q26" s="1384"/>
      <c r="R26" s="1385"/>
      <c r="S26" s="1386"/>
      <c r="T26" s="1385"/>
      <c r="U26" s="1386"/>
      <c r="V26" s="1385"/>
      <c r="W26" s="1386"/>
      <c r="X26" s="1379"/>
      <c r="Y26" s="3866"/>
      <c r="Z26" s="1387"/>
      <c r="AA26" s="1388"/>
      <c r="AB26" s="1388"/>
      <c r="AC26" s="1388"/>
    </row>
    <row r="27" spans="1:29" ht="57">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c r="L27" s="1864"/>
      <c r="M27" s="1854"/>
      <c r="N27" s="1854"/>
      <c r="O27" s="1863"/>
      <c r="P27" s="3866"/>
      <c r="Q27" s="1384" t="str">
        <f t="shared" si="8"/>
        <v>自然及人文环境状况</v>
      </c>
      <c r="R27" s="1385" t="s">
        <v>5</v>
      </c>
      <c r="S27" s="1386">
        <f>F27</f>
        <v>100</v>
      </c>
      <c r="T27" s="1385" t="s">
        <v>5</v>
      </c>
      <c r="U27" s="1386">
        <f>H27</f>
        <v>100</v>
      </c>
      <c r="V27" s="1385" t="s">
        <v>5</v>
      </c>
      <c r="W27" s="1386">
        <f>J27</f>
        <v>100</v>
      </c>
      <c r="X27" s="1379"/>
      <c r="Y27" s="3866"/>
      <c r="Z27" s="1387" t="str">
        <f>Q27</f>
        <v>自然及人文环境状况</v>
      </c>
      <c r="AA27" s="1388">
        <f t="shared" si="3"/>
        <v>1</v>
      </c>
      <c r="AB27" s="1388">
        <f t="shared" si="4"/>
        <v>1</v>
      </c>
      <c r="AC27" s="1388">
        <f t="shared" si="5"/>
        <v>1</v>
      </c>
    </row>
    <row r="28" spans="1:29" ht="20.25">
      <c r="A28" s="484"/>
      <c r="B28" s="535"/>
      <c r="C28" s="523"/>
      <c r="D28" s="526"/>
      <c r="E28" s="545"/>
      <c r="F28" s="524"/>
      <c r="G28" s="523"/>
      <c r="H28" s="524"/>
      <c r="I28" s="545"/>
      <c r="J28" s="524"/>
      <c r="K28" s="500"/>
      <c r="L28" s="1864"/>
      <c r="M28" s="1854"/>
      <c r="N28" s="1854"/>
      <c r="O28" s="1863"/>
      <c r="P28" s="3866"/>
      <c r="Q28" s="1384"/>
      <c r="R28" s="1385"/>
      <c r="S28" s="1386"/>
      <c r="T28" s="1385"/>
      <c r="U28" s="1386"/>
      <c r="V28" s="1385"/>
      <c r="W28" s="1386"/>
      <c r="X28" s="1379"/>
      <c r="Y28" s="3866"/>
      <c r="Z28" s="1387"/>
      <c r="AA28" s="1388">
        <v>1</v>
      </c>
      <c r="AB28" s="1388">
        <v>1</v>
      </c>
      <c r="AC28" s="1388">
        <v>1</v>
      </c>
    </row>
    <row r="29" spans="1:29" s="1117" customFormat="1" ht="42.75">
      <c r="A29" s="546"/>
      <c r="B29" s="2198"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7"/>
      <c r="M29" s="1854"/>
      <c r="N29" s="1854"/>
      <c r="O29" s="1859"/>
      <c r="P29" s="3866"/>
      <c r="Q29" s="1049" t="str">
        <f t="shared" si="8"/>
        <v>公共配套设施</v>
      </c>
      <c r="R29" s="1380" t="s">
        <v>5</v>
      </c>
      <c r="S29" s="1381">
        <f>F29</f>
        <v>100</v>
      </c>
      <c r="T29" s="1380" t="s">
        <v>5</v>
      </c>
      <c r="U29" s="1381">
        <f>H29</f>
        <v>100</v>
      </c>
      <c r="V29" s="1380" t="s">
        <v>5</v>
      </c>
      <c r="W29" s="1381">
        <f>J29</f>
        <v>100</v>
      </c>
      <c r="X29" s="1382"/>
      <c r="Y29" s="3866"/>
      <c r="Z29" s="1048" t="str">
        <f>Q29</f>
        <v>公共配套设施</v>
      </c>
      <c r="AA29" s="1388">
        <f>D29/F29</f>
        <v>1</v>
      </c>
      <c r="AB29" s="1388">
        <f>D29/H29</f>
        <v>1</v>
      </c>
      <c r="AC29" s="1388">
        <f>D29/J29</f>
        <v>1</v>
      </c>
    </row>
    <row r="30" spans="1:29" s="1117" customFormat="1" ht="20.25">
      <c r="A30" s="546"/>
      <c r="B30" s="535"/>
      <c r="C30" s="548"/>
      <c r="D30" s="526"/>
      <c r="E30" s="545"/>
      <c r="F30" s="524"/>
      <c r="G30" s="523"/>
      <c r="H30" s="524"/>
      <c r="I30" s="545"/>
      <c r="J30" s="524"/>
      <c r="K30" s="500"/>
      <c r="L30" s="1857"/>
      <c r="M30" s="1854"/>
      <c r="N30" s="1854"/>
      <c r="O30" s="1859"/>
      <c r="P30" s="3866"/>
      <c r="Q30" s="1049"/>
      <c r="R30" s="1380"/>
      <c r="S30" s="1381"/>
      <c r="T30" s="1380"/>
      <c r="U30" s="1381"/>
      <c r="V30" s="1380"/>
      <c r="W30" s="1381"/>
      <c r="X30" s="1382"/>
      <c r="Y30" s="3866"/>
      <c r="Z30" s="1048"/>
      <c r="AA30" s="1388">
        <v>1</v>
      </c>
      <c r="AB30" s="1388">
        <v>1</v>
      </c>
      <c r="AC30" s="1388">
        <v>1</v>
      </c>
    </row>
    <row r="31" spans="1:29" s="1117" customFormat="1" ht="28.5">
      <c r="A31" s="546"/>
      <c r="B31" s="2198"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7"/>
      <c r="M31" s="1854"/>
      <c r="N31" s="1854"/>
      <c r="O31" s="1859"/>
      <c r="P31" s="3866"/>
      <c r="Q31" s="2191" t="str">
        <f>B31</f>
        <v>基础设施水平</v>
      </c>
      <c r="R31" s="1380" t="s">
        <v>5</v>
      </c>
      <c r="S31" s="1381">
        <f>F31</f>
        <v>100</v>
      </c>
      <c r="T31" s="1380" t="s">
        <v>5</v>
      </c>
      <c r="U31" s="1381">
        <f>H31</f>
        <v>100</v>
      </c>
      <c r="V31" s="1380" t="s">
        <v>5</v>
      </c>
      <c r="W31" s="1381">
        <f>J31</f>
        <v>100</v>
      </c>
      <c r="X31" s="1382"/>
      <c r="Y31" s="3866"/>
      <c r="Z31" s="2190" t="str">
        <f>Q31</f>
        <v>基础设施水平</v>
      </c>
      <c r="AA31" s="1388">
        <f>D31/F31</f>
        <v>1</v>
      </c>
      <c r="AB31" s="1388">
        <f>D31/H31</f>
        <v>1</v>
      </c>
      <c r="AC31" s="1388">
        <f>D31/J31</f>
        <v>1</v>
      </c>
    </row>
    <row r="32" spans="1:29" s="1117" customFormat="1" ht="20.25">
      <c r="A32" s="546"/>
      <c r="B32" s="535"/>
      <c r="C32" s="548"/>
      <c r="D32" s="526"/>
      <c r="E32" s="2199"/>
      <c r="F32" s="524"/>
      <c r="G32" s="548"/>
      <c r="H32" s="524"/>
      <c r="I32" s="548"/>
      <c r="J32" s="524"/>
      <c r="K32" s="500"/>
      <c r="L32" s="1857"/>
      <c r="M32" s="1854"/>
      <c r="N32" s="1854"/>
      <c r="O32" s="1859"/>
      <c r="P32" s="3866"/>
      <c r="Q32" s="2191"/>
      <c r="R32" s="1380"/>
      <c r="S32" s="1381"/>
      <c r="T32" s="1380"/>
      <c r="U32" s="1381"/>
      <c r="V32" s="1380"/>
      <c r="W32" s="1381"/>
      <c r="X32" s="1382"/>
      <c r="Y32" s="3866"/>
      <c r="Z32" s="2190"/>
      <c r="AA32" s="1388">
        <v>1</v>
      </c>
      <c r="AB32" s="1388">
        <v>1</v>
      </c>
      <c r="AC32" s="1388">
        <v>1</v>
      </c>
    </row>
    <row r="33" spans="1:29" ht="20.25">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4"/>
      <c r="M33" s="1854"/>
      <c r="N33" s="1854"/>
      <c r="O33" s="1863"/>
      <c r="P33" s="386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66"/>
      <c r="Z33" s="1387" t="str">
        <f t="shared" ref="Z33:Z47" si="12">Q33</f>
        <v>临街状况</v>
      </c>
      <c r="AA33" s="1388">
        <f t="shared" si="3"/>
        <v>1</v>
      </c>
      <c r="AB33" s="1388">
        <f t="shared" si="4"/>
        <v>1</v>
      </c>
      <c r="AC33" s="1388">
        <f t="shared" si="5"/>
        <v>1</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4"/>
      <c r="M34" s="1854"/>
      <c r="N34" s="1854"/>
      <c r="O34" s="1863"/>
      <c r="P34" s="3866"/>
      <c r="Q34" s="1384" t="str">
        <f t="shared" si="8"/>
        <v>毗邻道路的类型与等级</v>
      </c>
      <c r="R34" s="1385" t="s">
        <v>5</v>
      </c>
      <c r="S34" s="1386">
        <f t="shared" si="9"/>
        <v>100</v>
      </c>
      <c r="T34" s="1385" t="s">
        <v>5</v>
      </c>
      <c r="U34" s="1386">
        <f t="shared" si="10"/>
        <v>100</v>
      </c>
      <c r="V34" s="1385" t="s">
        <v>5</v>
      </c>
      <c r="W34" s="1386">
        <f t="shared" si="11"/>
        <v>100</v>
      </c>
      <c r="X34" s="1379"/>
      <c r="Y34" s="3866"/>
      <c r="Z34" s="1387" t="str">
        <f t="shared" si="12"/>
        <v>毗邻道路的类型与等级</v>
      </c>
      <c r="AA34" s="1388">
        <f t="shared" si="3"/>
        <v>1</v>
      </c>
      <c r="AB34" s="1388">
        <f t="shared" si="4"/>
        <v>1</v>
      </c>
      <c r="AC34" s="1388">
        <f t="shared" si="5"/>
        <v>1</v>
      </c>
    </row>
    <row r="35" spans="1:29" ht="20.25">
      <c r="A35" s="501"/>
      <c r="B35" s="535"/>
      <c r="C35" s="523"/>
      <c r="D35" s="526"/>
      <c r="E35" s="545"/>
      <c r="F35" s="524"/>
      <c r="G35" s="523"/>
      <c r="H35" s="524"/>
      <c r="I35" s="545"/>
      <c r="J35" s="524"/>
      <c r="K35" s="550"/>
      <c r="L35" s="1864"/>
      <c r="M35" s="1854"/>
      <c r="N35" s="1854"/>
      <c r="O35" s="1863"/>
      <c r="P35" s="3866"/>
      <c r="Q35" s="1384"/>
      <c r="R35" s="1385"/>
      <c r="S35" s="1386"/>
      <c r="T35" s="1385"/>
      <c r="U35" s="1386"/>
      <c r="V35" s="1385"/>
      <c r="W35" s="1386"/>
      <c r="X35" s="1379"/>
      <c r="Y35" s="3866"/>
      <c r="Z35" s="1387"/>
      <c r="AA35" s="1388">
        <v>1</v>
      </c>
      <c r="AB35" s="1388">
        <v>1</v>
      </c>
      <c r="AC35" s="1388">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4"/>
      <c r="M36" s="1854"/>
      <c r="N36" s="1854"/>
      <c r="O36" s="1863"/>
      <c r="P36" s="3866"/>
      <c r="Q36" s="1384" t="str">
        <f t="shared" si="8"/>
        <v>土地级别</v>
      </c>
      <c r="R36" s="1385" t="s">
        <v>5</v>
      </c>
      <c r="S36" s="1386">
        <f t="shared" si="9"/>
        <v>100</v>
      </c>
      <c r="T36" s="1385" t="s">
        <v>5</v>
      </c>
      <c r="U36" s="1386">
        <f t="shared" si="10"/>
        <v>100</v>
      </c>
      <c r="V36" s="1385" t="s">
        <v>5</v>
      </c>
      <c r="W36" s="1386">
        <f t="shared" si="11"/>
        <v>100</v>
      </c>
      <c r="X36" s="1379"/>
      <c r="Y36" s="3866"/>
      <c r="Z36" s="1387" t="str">
        <f t="shared" si="12"/>
        <v>土地级别</v>
      </c>
      <c r="AA36" s="1388">
        <f t="shared" si="3"/>
        <v>1</v>
      </c>
      <c r="AB36" s="1388">
        <f t="shared" si="4"/>
        <v>1</v>
      </c>
      <c r="AC36" s="1388">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4"/>
      <c r="M37" s="1854"/>
      <c r="N37" s="1854"/>
      <c r="O37" s="1863"/>
      <c r="P37" s="3866"/>
      <c r="Q37" s="1384">
        <f t="shared" si="8"/>
        <v>111</v>
      </c>
      <c r="R37" s="1385" t="s">
        <v>5</v>
      </c>
      <c r="S37" s="1386">
        <f t="shared" si="9"/>
        <v>100</v>
      </c>
      <c r="T37" s="1385" t="s">
        <v>5</v>
      </c>
      <c r="U37" s="1386">
        <f t="shared" si="10"/>
        <v>100</v>
      </c>
      <c r="V37" s="1385" t="s">
        <v>5</v>
      </c>
      <c r="W37" s="1386">
        <f t="shared" si="11"/>
        <v>100</v>
      </c>
      <c r="X37" s="1379"/>
      <c r="Y37" s="3866"/>
      <c r="Z37" s="1387">
        <f t="shared" si="12"/>
        <v>111</v>
      </c>
      <c r="AA37" s="1388">
        <f t="shared" si="3"/>
        <v>1</v>
      </c>
      <c r="AB37" s="1388">
        <f t="shared" si="4"/>
        <v>1</v>
      </c>
      <c r="AC37" s="1388">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4"/>
      <c r="M38" s="1854"/>
      <c r="N38" s="1854"/>
      <c r="O38" s="1863"/>
      <c r="P38" s="3867" t="s">
        <v>499</v>
      </c>
      <c r="Q38" s="1384">
        <f t="shared" si="8"/>
        <v>111</v>
      </c>
      <c r="R38" s="1385" t="s">
        <v>5</v>
      </c>
      <c r="S38" s="1386">
        <f t="shared" si="9"/>
        <v>100</v>
      </c>
      <c r="T38" s="1385" t="s">
        <v>5</v>
      </c>
      <c r="U38" s="1386">
        <f t="shared" si="10"/>
        <v>100</v>
      </c>
      <c r="V38" s="1385" t="s">
        <v>5</v>
      </c>
      <c r="W38" s="1386">
        <f t="shared" si="11"/>
        <v>100</v>
      </c>
      <c r="X38" s="1379"/>
      <c r="Y38" s="3868" t="s">
        <v>499</v>
      </c>
      <c r="Z38" s="1387">
        <f t="shared" si="12"/>
        <v>111</v>
      </c>
      <c r="AA38" s="1388">
        <f t="shared" si="3"/>
        <v>1</v>
      </c>
      <c r="AB38" s="1388">
        <f t="shared" si="4"/>
        <v>1</v>
      </c>
      <c r="AC38" s="1388">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2"/>
      <c r="M39" s="1854"/>
      <c r="N39" s="1854"/>
      <c r="O39" s="1865"/>
      <c r="P39" s="3868"/>
      <c r="Q39" s="1384">
        <f t="shared" si="8"/>
        <v>111</v>
      </c>
      <c r="R39" s="1389" t="s">
        <v>5</v>
      </c>
      <c r="S39" s="1390">
        <f t="shared" si="9"/>
        <v>100</v>
      </c>
      <c r="T39" s="1389" t="s">
        <v>5</v>
      </c>
      <c r="U39" s="1390">
        <f t="shared" si="10"/>
        <v>100</v>
      </c>
      <c r="V39" s="1389" t="s">
        <v>5</v>
      </c>
      <c r="W39" s="1390">
        <f t="shared" si="11"/>
        <v>100</v>
      </c>
      <c r="X39" s="1391"/>
      <c r="Y39" s="3868"/>
      <c r="Z39" s="1392">
        <f t="shared" si="12"/>
        <v>111</v>
      </c>
      <c r="AA39" s="1388">
        <f t="shared" si="3"/>
        <v>1</v>
      </c>
      <c r="AB39" s="1388">
        <f t="shared" si="4"/>
        <v>1</v>
      </c>
      <c r="AC39" s="1388">
        <f t="shared" si="5"/>
        <v>1</v>
      </c>
    </row>
    <row r="40" spans="1:29" ht="20.25">
      <c r="A40" s="2386" t="s">
        <v>2037</v>
      </c>
      <c r="B40" s="564" t="s">
        <v>501</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4"/>
      <c r="M40" s="1854"/>
      <c r="N40" s="1854"/>
      <c r="O40" s="1863"/>
      <c r="P40" s="3868"/>
      <c r="Q40" s="1384" t="str">
        <f>B40</f>
        <v>宗地面积</v>
      </c>
      <c r="R40" s="1385" t="s">
        <v>5</v>
      </c>
      <c r="S40" s="1386" t="e">
        <f t="shared" si="9"/>
        <v>#N/A</v>
      </c>
      <c r="T40" s="1385" t="s">
        <v>5</v>
      </c>
      <c r="U40" s="1386" t="e">
        <f t="shared" si="10"/>
        <v>#N/A</v>
      </c>
      <c r="V40" s="1385" t="s">
        <v>5</v>
      </c>
      <c r="W40" s="1386" t="e">
        <f t="shared" si="11"/>
        <v>#N/A</v>
      </c>
      <c r="X40" s="1379"/>
      <c r="Y40" s="3868"/>
      <c r="Z40" s="1387" t="str">
        <f t="shared" si="12"/>
        <v>宗地面积</v>
      </c>
      <c r="AA40" s="1388" t="e">
        <f t="shared" si="3"/>
        <v>#N/A</v>
      </c>
      <c r="AB40" s="1388" t="e">
        <f t="shared" si="4"/>
        <v>#N/A</v>
      </c>
      <c r="AC40" s="1388" t="e">
        <f t="shared" si="5"/>
        <v>#N/A</v>
      </c>
    </row>
    <row r="41" spans="1:29" ht="20.25">
      <c r="A41" s="563"/>
      <c r="B41" s="496" t="s">
        <v>502</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4"/>
      <c r="M41" s="1854"/>
      <c r="N41" s="1854"/>
      <c r="O41" s="1863"/>
      <c r="P41" s="3868"/>
      <c r="Q41" s="1384" t="str">
        <f t="shared" ref="Q41:Q47" si="13">B41</f>
        <v>宗地形状</v>
      </c>
      <c r="R41" s="1385" t="s">
        <v>5</v>
      </c>
      <c r="S41" s="1386">
        <f t="shared" si="9"/>
        <v>100</v>
      </c>
      <c r="T41" s="1385" t="s">
        <v>5</v>
      </c>
      <c r="U41" s="1386">
        <f t="shared" si="10"/>
        <v>100</v>
      </c>
      <c r="V41" s="1385" t="s">
        <v>5</v>
      </c>
      <c r="W41" s="1386">
        <f t="shared" si="11"/>
        <v>100</v>
      </c>
      <c r="X41" s="1379"/>
      <c r="Y41" s="3868"/>
      <c r="Z41" s="1387" t="str">
        <f t="shared" si="12"/>
        <v>宗地形状</v>
      </c>
      <c r="AA41" s="1388">
        <f t="shared" si="3"/>
        <v>1</v>
      </c>
      <c r="AB41" s="1388">
        <f t="shared" si="4"/>
        <v>1</v>
      </c>
      <c r="AC41" s="1388">
        <f t="shared" si="5"/>
        <v>1</v>
      </c>
    </row>
    <row r="42" spans="1:29" ht="20.25">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4"/>
      <c r="M42" s="1854"/>
      <c r="N42" s="1854"/>
      <c r="O42" s="1863"/>
      <c r="P42" s="3868"/>
      <c r="Q42" s="1384" t="str">
        <f t="shared" si="13"/>
        <v>临街宽度及深度</v>
      </c>
      <c r="R42" s="1385" t="s">
        <v>5</v>
      </c>
      <c r="S42" s="1386">
        <f t="shared" si="9"/>
        <v>100</v>
      </c>
      <c r="T42" s="1385" t="s">
        <v>5</v>
      </c>
      <c r="U42" s="1386">
        <f t="shared" si="10"/>
        <v>100</v>
      </c>
      <c r="V42" s="1385" t="s">
        <v>5</v>
      </c>
      <c r="W42" s="1386">
        <f t="shared" si="11"/>
        <v>100</v>
      </c>
      <c r="X42" s="1379"/>
      <c r="Y42" s="3868"/>
      <c r="Z42" s="1387" t="str">
        <f t="shared" si="12"/>
        <v>临街宽度及深度</v>
      </c>
      <c r="AA42" s="1388">
        <f t="shared" si="3"/>
        <v>1</v>
      </c>
      <c r="AB42" s="1388">
        <f t="shared" si="4"/>
        <v>1</v>
      </c>
      <c r="AC42" s="1388">
        <f t="shared" si="5"/>
        <v>1</v>
      </c>
    </row>
    <row r="43" spans="1:29" s="1117" customFormat="1" ht="20.25">
      <c r="A43" s="569"/>
      <c r="B43" s="1650" t="s">
        <v>1776</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7"/>
      <c r="M43" s="1854"/>
      <c r="N43" s="1854"/>
      <c r="O43" s="1859"/>
      <c r="P43" s="3868"/>
      <c r="Q43" s="1384" t="str">
        <f t="shared" si="13"/>
        <v>宗地开发程度</v>
      </c>
      <c r="R43" s="1380" t="s">
        <v>5</v>
      </c>
      <c r="S43" s="1381">
        <f t="shared" si="9"/>
        <v>100</v>
      </c>
      <c r="T43" s="1380" t="s">
        <v>5</v>
      </c>
      <c r="U43" s="1381">
        <f t="shared" si="10"/>
        <v>100</v>
      </c>
      <c r="V43" s="1380" t="s">
        <v>5</v>
      </c>
      <c r="W43" s="1381">
        <f t="shared" si="11"/>
        <v>100</v>
      </c>
      <c r="X43" s="1382"/>
      <c r="Y43" s="3868"/>
      <c r="Z43" s="1048" t="str">
        <f t="shared" si="12"/>
        <v>宗地开发程度</v>
      </c>
      <c r="AA43" s="1383">
        <f t="shared" si="3"/>
        <v>1</v>
      </c>
      <c r="AB43" s="1383">
        <f t="shared" si="4"/>
        <v>1</v>
      </c>
      <c r="AC43" s="1383">
        <f t="shared" si="5"/>
        <v>1</v>
      </c>
    </row>
    <row r="44" spans="1:29" ht="20.25">
      <c r="A44" s="563"/>
      <c r="B44" s="496" t="s">
        <v>504</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4"/>
      <c r="M44" s="1854"/>
      <c r="N44" s="1854"/>
      <c r="O44" s="1863"/>
      <c r="P44" s="3868" t="s">
        <v>499</v>
      </c>
      <c r="Q44" s="1384" t="str">
        <f t="shared" si="13"/>
        <v>工程地质条件</v>
      </c>
      <c r="R44" s="1385" t="s">
        <v>5</v>
      </c>
      <c r="S44" s="1386">
        <f t="shared" si="9"/>
        <v>100</v>
      </c>
      <c r="T44" s="1385" t="s">
        <v>5</v>
      </c>
      <c r="U44" s="1386">
        <f t="shared" si="10"/>
        <v>100</v>
      </c>
      <c r="V44" s="1385" t="s">
        <v>5</v>
      </c>
      <c r="W44" s="1386">
        <f t="shared" si="11"/>
        <v>100</v>
      </c>
      <c r="X44" s="1379"/>
      <c r="Y44" s="3868" t="s">
        <v>499</v>
      </c>
      <c r="Z44" s="1387" t="str">
        <f t="shared" si="12"/>
        <v>工程地质条件</v>
      </c>
      <c r="AA44" s="1388">
        <f t="shared" si="3"/>
        <v>1</v>
      </c>
      <c r="AB44" s="1388">
        <f t="shared" si="4"/>
        <v>1</v>
      </c>
      <c r="AC44" s="1388">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4"/>
      <c r="M45" s="1854"/>
      <c r="N45" s="1854"/>
      <c r="O45" s="1863"/>
      <c r="P45" s="3868"/>
      <c r="Q45" s="1384">
        <f t="shared" si="13"/>
        <v>111</v>
      </c>
      <c r="R45" s="1385" t="s">
        <v>5</v>
      </c>
      <c r="S45" s="1386">
        <f t="shared" si="9"/>
        <v>100</v>
      </c>
      <c r="T45" s="1385" t="s">
        <v>5</v>
      </c>
      <c r="U45" s="1386">
        <f t="shared" si="10"/>
        <v>100</v>
      </c>
      <c r="V45" s="1385" t="s">
        <v>5</v>
      </c>
      <c r="W45" s="1386">
        <f t="shared" si="11"/>
        <v>100</v>
      </c>
      <c r="X45" s="1379"/>
      <c r="Y45" s="3868"/>
      <c r="Z45" s="1387">
        <f t="shared" si="12"/>
        <v>111</v>
      </c>
      <c r="AA45" s="1388">
        <f t="shared" si="3"/>
        <v>1</v>
      </c>
      <c r="AB45" s="1388">
        <f t="shared" si="4"/>
        <v>1</v>
      </c>
      <c r="AC45" s="1388">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4"/>
      <c r="M46" s="1854"/>
      <c r="N46" s="1854"/>
      <c r="O46" s="1863"/>
      <c r="P46" s="3868"/>
      <c r="Q46" s="1384">
        <f t="shared" si="13"/>
        <v>111</v>
      </c>
      <c r="R46" s="1385" t="s">
        <v>5</v>
      </c>
      <c r="S46" s="1386">
        <f t="shared" si="9"/>
        <v>100</v>
      </c>
      <c r="T46" s="1385" t="s">
        <v>5</v>
      </c>
      <c r="U46" s="1386">
        <f t="shared" si="10"/>
        <v>100</v>
      </c>
      <c r="V46" s="1385" t="s">
        <v>5</v>
      </c>
      <c r="W46" s="1386">
        <f t="shared" si="11"/>
        <v>100</v>
      </c>
      <c r="X46" s="1379"/>
      <c r="Y46" s="3868"/>
      <c r="Z46" s="1387">
        <f t="shared" si="12"/>
        <v>111</v>
      </c>
      <c r="AA46" s="1388">
        <f t="shared" si="3"/>
        <v>1</v>
      </c>
      <c r="AB46" s="1388">
        <f t="shared" si="4"/>
        <v>1</v>
      </c>
      <c r="AC46" s="1388">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2"/>
      <c r="M47" s="1854"/>
      <c r="N47" s="1854"/>
      <c r="O47" s="1865"/>
      <c r="P47" s="3868"/>
      <c r="Q47" s="1384">
        <f t="shared" si="13"/>
        <v>111</v>
      </c>
      <c r="R47" s="1389" t="s">
        <v>5</v>
      </c>
      <c r="S47" s="1390">
        <f t="shared" si="9"/>
        <v>100</v>
      </c>
      <c r="T47" s="1389" t="s">
        <v>5</v>
      </c>
      <c r="U47" s="1390">
        <f t="shared" si="10"/>
        <v>100</v>
      </c>
      <c r="V47" s="1389" t="s">
        <v>5</v>
      </c>
      <c r="W47" s="1390">
        <f t="shared" si="11"/>
        <v>100</v>
      </c>
      <c r="X47" s="1391"/>
      <c r="Y47" s="3868"/>
      <c r="Z47" s="1392">
        <f t="shared" si="12"/>
        <v>111</v>
      </c>
      <c r="AA47" s="1388">
        <f t="shared" si="3"/>
        <v>1</v>
      </c>
      <c r="AB47" s="1388">
        <f t="shared" si="4"/>
        <v>1</v>
      </c>
      <c r="AC47" s="1388">
        <f t="shared" si="5"/>
        <v>1</v>
      </c>
    </row>
    <row r="48" spans="1:29" ht="20.25">
      <c r="A48" s="576" t="s">
        <v>505</v>
      </c>
      <c r="B48" s="577" t="s">
        <v>2197</v>
      </c>
      <c r="C48" s="578" t="s">
        <v>0</v>
      </c>
      <c r="D48" s="579"/>
      <c r="E48" s="580"/>
      <c r="F48" s="581"/>
      <c r="G48" s="582"/>
      <c r="H48" s="583"/>
      <c r="I48" s="580"/>
      <c r="J48" s="583"/>
      <c r="K48" s="1200"/>
      <c r="L48" s="1866"/>
      <c r="M48" s="1854"/>
      <c r="N48" s="1854"/>
      <c r="O48" s="1867"/>
      <c r="P48" s="3863" t="str">
        <f>A48</f>
        <v>成交单价</v>
      </c>
      <c r="Q48" s="3863"/>
      <c r="R48" s="3879">
        <f>E48</f>
        <v>0</v>
      </c>
      <c r="S48" s="3879"/>
      <c r="T48" s="3879">
        <f>G48</f>
        <v>0</v>
      </c>
      <c r="U48" s="3879"/>
      <c r="V48" s="3879">
        <f>I48</f>
        <v>0</v>
      </c>
      <c r="W48" s="3879"/>
      <c r="X48" s="1374"/>
      <c r="Y48" s="1393"/>
      <c r="Z48" s="1374"/>
      <c r="AA48" s="1374"/>
      <c r="AB48" s="1374"/>
      <c r="AC48" s="1374"/>
    </row>
    <row r="49" spans="1:29" ht="21" thickBot="1">
      <c r="A49" s="584" t="s">
        <v>1975</v>
      </c>
      <c r="B49" s="585"/>
      <c r="C49" s="586" t="e">
        <f>R50</f>
        <v>#DIV/0!</v>
      </c>
      <c r="D49" s="2756" t="s">
        <v>2261</v>
      </c>
      <c r="E49" s="586" t="e">
        <f>R49</f>
        <v>#DIV/0!</v>
      </c>
      <c r="F49" s="2757"/>
      <c r="G49" s="587" t="e">
        <f>T49</f>
        <v>#DIV/0!</v>
      </c>
      <c r="H49" s="2757"/>
      <c r="I49" s="586" t="e">
        <f>V49</f>
        <v>#DIV/0!</v>
      </c>
      <c r="J49" s="2757"/>
      <c r="K49" s="2758">
        <f>F49+H49+J49</f>
        <v>0</v>
      </c>
      <c r="L49" s="1866"/>
      <c r="M49" s="1854"/>
      <c r="N49" s="1854"/>
      <c r="O49" s="1867"/>
      <c r="P49" s="3863" t="str">
        <f>A49</f>
        <v>比较价格（元/平方米）</v>
      </c>
      <c r="Q49" s="3863"/>
      <c r="R49" s="3887" t="e">
        <f>ROUND(PRODUCT(R48,AA9:AA47),0)</f>
        <v>#DIV/0!</v>
      </c>
      <c r="S49" s="3887"/>
      <c r="T49" s="3887" t="e">
        <f>ROUND(PRODUCT(T48,AB9:AB47),0)</f>
        <v>#DIV/0!</v>
      </c>
      <c r="U49" s="3887"/>
      <c r="V49" s="3887" t="e">
        <f>ROUND(PRODUCT(V48,AC9:AC47),0)</f>
        <v>#DIV/0!</v>
      </c>
      <c r="W49" s="3887"/>
      <c r="X49" s="1374"/>
      <c r="Y49" s="1374"/>
      <c r="Z49" s="1374"/>
      <c r="AA49" s="1374"/>
      <c r="AB49" s="1374"/>
      <c r="AC49" s="1374"/>
    </row>
    <row r="50" spans="1:29" ht="21" thickBot="1">
      <c r="A50" s="588" t="s">
        <v>2198</v>
      </c>
      <c r="B50" s="589"/>
      <c r="C50" s="590" t="e">
        <f>R50</f>
        <v>#DIV/0!</v>
      </c>
      <c r="D50" s="590"/>
      <c r="E50" s="590"/>
      <c r="F50" s="590"/>
      <c r="G50" s="590"/>
      <c r="H50" s="590"/>
      <c r="I50" s="590"/>
      <c r="J50" s="590"/>
      <c r="K50" s="1201"/>
      <c r="L50" s="1866"/>
      <c r="M50" s="1854"/>
      <c r="N50" s="1854"/>
      <c r="O50" s="1867"/>
      <c r="P50" s="3869" t="str">
        <f>A50</f>
        <v>估价对象XX用房的比较价格（楼面单价，元/平方米）</v>
      </c>
      <c r="Q50" s="3870"/>
      <c r="R50" s="3886" t="e">
        <f>ROUND(IF(D49="简单平均",AVERAGE(R49:W49),R49*F49+T49*H49+V49*J49),0)</f>
        <v>#DIV/0!</v>
      </c>
      <c r="S50" s="3886"/>
      <c r="T50" s="3886"/>
      <c r="U50" s="3886"/>
      <c r="V50" s="3886"/>
      <c r="W50" s="3886"/>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6" t="s">
        <v>509</v>
      </c>
      <c r="B57" s="597" t="s">
        <v>510</v>
      </c>
      <c r="C57" s="1375" t="s">
        <v>1253</v>
      </c>
      <c r="D57" s="1945" t="s">
        <v>1650</v>
      </c>
      <c r="E57" s="598" t="s">
        <v>511</v>
      </c>
      <c r="F57" s="599" t="s">
        <v>512</v>
      </c>
      <c r="G57" s="3848" t="s">
        <v>1639</v>
      </c>
      <c r="H57" s="3849"/>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0" t="s">
        <v>513</v>
      </c>
      <c r="B58" s="601" t="e">
        <f>C50</f>
        <v>#DIV/0!</v>
      </c>
      <c r="C58" s="602">
        <v>1</v>
      </c>
      <c r="D58" s="1946">
        <v>1</v>
      </c>
      <c r="E58" s="602">
        <f>'数据-汇总表'!E8+'数据-汇总表'!E9</f>
        <v>4519.1100000000006</v>
      </c>
      <c r="F58" s="603" t="e">
        <f t="shared" ref="F58:F66" si="14">ROUND(B58*E58/10000,0)</f>
        <v>#DIV/0!</v>
      </c>
      <c r="G58" s="3850"/>
      <c r="H58" s="3851"/>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514</v>
      </c>
      <c r="B59" s="605" t="e">
        <f>ROUND($C$50*C59*D59,0)</f>
        <v>#DIV/0!</v>
      </c>
      <c r="C59" s="364">
        <f t="shared" ref="C59:C66" si="15">IF($C$57="北京市系数",I59,J59)</f>
        <v>0</v>
      </c>
      <c r="D59" s="1947">
        <v>0.25</v>
      </c>
      <c r="E59" s="606">
        <v>0</v>
      </c>
      <c r="F59" s="603" t="e">
        <f t="shared" si="14"/>
        <v>#DIV/0!</v>
      </c>
      <c r="G59" s="3276" t="s">
        <v>1640</v>
      </c>
      <c r="H59" s="1703">
        <f>项目基本情况!B43</f>
        <v>0</v>
      </c>
      <c r="I59" s="1372">
        <f>SUMIF(修正!$A$57:$A$68,H59,修正!B57:B68)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515</v>
      </c>
      <c r="B60" s="605" t="e">
        <f t="shared" ref="B60:B66" si="16">ROUND($C$50*C60*D60,0)</f>
        <v>#DIV/0!</v>
      </c>
      <c r="C60" s="364">
        <f t="shared" si="15"/>
        <v>0</v>
      </c>
      <c r="D60" s="1947">
        <v>0.25</v>
      </c>
      <c r="E60" s="606">
        <v>0</v>
      </c>
      <c r="F60" s="603" t="e">
        <f t="shared" si="14"/>
        <v>#DIV/0!</v>
      </c>
      <c r="G60" s="3277"/>
      <c r="H60" s="1703">
        <f>项目基本情况!B43</f>
        <v>0</v>
      </c>
      <c r="I60" s="1372">
        <f>SUMIF(修正!$A$57:$A$68,H60,修正!C57:C68)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4" t="s">
        <v>516</v>
      </c>
      <c r="B61" s="605" t="e">
        <f t="shared" si="16"/>
        <v>#DIV/0!</v>
      </c>
      <c r="C61" s="364">
        <f t="shared" si="15"/>
        <v>0</v>
      </c>
      <c r="D61" s="1947">
        <v>0.25</v>
      </c>
      <c r="E61" s="606">
        <v>0</v>
      </c>
      <c r="F61" s="603" t="e">
        <f t="shared" si="14"/>
        <v>#DIV/0!</v>
      </c>
      <c r="G61" s="3277"/>
      <c r="H61" s="1703">
        <f>项目基本情况!B43</f>
        <v>0</v>
      </c>
      <c r="I61" s="1372">
        <f>SUMIF(修正!$A$57:$A$68,H61,修正!D57:D68)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5" t="e">
        <f t="shared" si="16"/>
        <v>#DIV/0!</v>
      </c>
      <c r="C62" s="364">
        <f t="shared" si="15"/>
        <v>0</v>
      </c>
      <c r="D62" s="1947">
        <v>0.25</v>
      </c>
      <c r="E62" s="608">
        <f>'数据-汇总表'!E11</f>
        <v>0</v>
      </c>
      <c r="F62" s="603" t="e">
        <f t="shared" si="14"/>
        <v>#DIV/0!</v>
      </c>
      <c r="G62" s="1700" t="s">
        <v>1641</v>
      </c>
      <c r="H62" s="1703">
        <f>项目基本情况!C43</f>
        <v>0</v>
      </c>
      <c r="I62" s="1372">
        <f>SUMIF(修正!$A$57:$A$68,H62,修正!E57:E68)</f>
        <v>0</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4" t="s">
        <v>517</v>
      </c>
      <c r="B63" s="605" t="e">
        <f t="shared" si="16"/>
        <v>#DIV/0!</v>
      </c>
      <c r="C63" s="364">
        <f t="shared" si="15"/>
        <v>0</v>
      </c>
      <c r="D63" s="1947">
        <v>0.25</v>
      </c>
      <c r="E63" s="608">
        <f>'数据-汇总表'!E12</f>
        <v>0</v>
      </c>
      <c r="F63" s="603" t="e">
        <f t="shared" si="14"/>
        <v>#DIV/0!</v>
      </c>
      <c r="G63" s="1701" t="s">
        <v>1212</v>
      </c>
      <c r="H63" s="1699">
        <f>IF(G63="商业",项目基本情况!B43,IF(G63="办公",项目基本情况!C43,IF(G63="住宅",项目基本情况!D43,项目基本情况!E43)))</f>
        <v>0</v>
      </c>
      <c r="I63" s="1372">
        <f>SUMIF(修正!$A$57:$A$68,H63,修正!F57:F68)</f>
        <v>0</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4" t="s">
        <v>518</v>
      </c>
      <c r="B64" s="605" t="e">
        <f t="shared" si="16"/>
        <v>#DIV/0!</v>
      </c>
      <c r="C64" s="364">
        <f t="shared" si="15"/>
        <v>0</v>
      </c>
      <c r="D64" s="1947">
        <v>0.25</v>
      </c>
      <c r="E64" s="608">
        <f>'数据-汇总表'!E13</f>
        <v>0</v>
      </c>
      <c r="F64" s="603" t="e">
        <f t="shared" si="14"/>
        <v>#DIV/0!</v>
      </c>
      <c r="G64" s="1701" t="s">
        <v>851</v>
      </c>
      <c r="H64" s="1699">
        <f>IF(G64="商业",项目基本情况!B43,IF(G64="办公",项目基本情况!C43,IF(G64="住宅",项目基本情况!D43,项目基本情况!E43)))</f>
        <v>0</v>
      </c>
      <c r="I64" s="1372">
        <f>SUMIF(修正!$A$57:$A$68,H64,修正!G57:G68)</f>
        <v>0</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4" t="s">
        <v>519</v>
      </c>
      <c r="B65" s="605" t="e">
        <f t="shared" si="16"/>
        <v>#DIV/0!</v>
      </c>
      <c r="C65" s="364">
        <f t="shared" si="15"/>
        <v>0</v>
      </c>
      <c r="D65" s="1947">
        <v>0.25</v>
      </c>
      <c r="E65" s="608">
        <f>'数据-汇总表'!E14</f>
        <v>0</v>
      </c>
      <c r="F65" s="603" t="e">
        <f t="shared" si="14"/>
        <v>#DIV/0!</v>
      </c>
      <c r="G65" s="1700" t="s">
        <v>1640</v>
      </c>
      <c r="H65" s="1703">
        <f>项目基本情况!B43</f>
        <v>0</v>
      </c>
      <c r="I65" s="1372">
        <f>SUMIF(修正!$A$57:$A$68,H65,修正!G57:G68)</f>
        <v>0</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4" t="s">
        <v>520</v>
      </c>
      <c r="B66" s="605" t="e">
        <f t="shared" si="16"/>
        <v>#DIV/0!</v>
      </c>
      <c r="C66" s="364">
        <f t="shared" si="15"/>
        <v>0</v>
      </c>
      <c r="D66" s="1947">
        <v>0.25</v>
      </c>
      <c r="E66" s="608">
        <f>'数据-汇总表'!E15</f>
        <v>0</v>
      </c>
      <c r="F66" s="603" t="e">
        <f t="shared" si="14"/>
        <v>#DIV/0!</v>
      </c>
      <c r="G66" s="1702" t="s">
        <v>1641</v>
      </c>
      <c r="H66" s="1704">
        <f>项目基本情况!C43</f>
        <v>0</v>
      </c>
      <c r="I66" s="1372">
        <f>SUMIF(修正!$A$57:$A$68,H66,修正!G57:G68)</f>
        <v>0</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09" t="s">
        <v>521</v>
      </c>
      <c r="B67" s="610" t="s">
        <v>11</v>
      </c>
      <c r="C67" s="610" t="s">
        <v>12</v>
      </c>
      <c r="D67" s="610" t="s">
        <v>1651</v>
      </c>
      <c r="E67" s="610">
        <f>IF(B48="楼面地价",SUM(E58:E66),'数据-汇总表'!D3)</f>
        <v>4259.9399999999996</v>
      </c>
      <c r="F67" s="611"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2024-3-1</v>
      </c>
      <c r="D69" s="2278">
        <f>EDATE(C69,-3)</f>
        <v>45261</v>
      </c>
      <c r="E69" s="2278">
        <f t="shared" ref="E69:N69" si="17">EDATE(D69,-3)</f>
        <v>45170</v>
      </c>
      <c r="F69" s="2278">
        <f t="shared" si="17"/>
        <v>45078</v>
      </c>
      <c r="G69" s="2278">
        <f t="shared" si="17"/>
        <v>44986</v>
      </c>
      <c r="H69" s="2278">
        <f t="shared" si="17"/>
        <v>44896</v>
      </c>
      <c r="I69" s="2278">
        <f t="shared" si="17"/>
        <v>44805</v>
      </c>
      <c r="J69" s="2278">
        <f t="shared" si="17"/>
        <v>44713</v>
      </c>
      <c r="K69" s="2278">
        <f t="shared" si="17"/>
        <v>44621</v>
      </c>
      <c r="L69" s="2278">
        <f t="shared" si="17"/>
        <v>44531</v>
      </c>
      <c r="M69" s="2278">
        <f t="shared" si="17"/>
        <v>44440</v>
      </c>
      <c r="N69" s="2278">
        <f t="shared" si="17"/>
        <v>44348</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2024-1</v>
      </c>
      <c r="D71" s="2280" t="str">
        <f>YEAR(D69)&amp;"-"&amp;ROUNDUP(MONTH(D69)/3,0)</f>
        <v>2023-4</v>
      </c>
      <c r="E71" s="2280" t="str">
        <f t="shared" ref="E71:N71" si="18">YEAR(E69)&amp;"-"&amp;ROUNDUP(MONTH(E69)/3,0)</f>
        <v>2023-3</v>
      </c>
      <c r="F71" s="2280" t="str">
        <f t="shared" si="18"/>
        <v>2023-2</v>
      </c>
      <c r="G71" s="2280" t="str">
        <f t="shared" si="18"/>
        <v>2023-1</v>
      </c>
      <c r="H71" s="2280" t="str">
        <f t="shared" si="18"/>
        <v>2022-4</v>
      </c>
      <c r="I71" s="2280" t="str">
        <f t="shared" si="18"/>
        <v>2022-3</v>
      </c>
      <c r="J71" s="2280" t="str">
        <f t="shared" si="18"/>
        <v>2022-2</v>
      </c>
      <c r="K71" s="2280" t="str">
        <f t="shared" si="18"/>
        <v>2022-1</v>
      </c>
      <c r="L71" s="2280" t="str">
        <f t="shared" si="18"/>
        <v>2021-4</v>
      </c>
      <c r="M71" s="2280" t="str">
        <f t="shared" si="18"/>
        <v>2021-3</v>
      </c>
      <c r="N71" s="2280" t="str">
        <f t="shared" si="18"/>
        <v>2021-2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4" t="str">
        <f>"北京市平均增长率"&amp;TEXT(SUMIF(基准地价!N25:N29,A72,基准地价!P25:P29),"0.00%")</f>
        <v>北京市平均增长率0.00%</v>
      </c>
      <c r="C72" s="856">
        <v>100</v>
      </c>
      <c r="D72" s="697"/>
      <c r="E72" s="697"/>
      <c r="F72" s="697"/>
      <c r="G72" s="697"/>
      <c r="H72" s="697"/>
      <c r="I72" s="697"/>
      <c r="J72" s="697"/>
      <c r="K72" s="697"/>
      <c r="L72" s="697"/>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6" t="s">
        <v>480</v>
      </c>
      <c r="B74" s="615"/>
      <c r="C74" s="627" t="s">
        <v>524</v>
      </c>
      <c r="D74" s="628"/>
      <c r="E74" s="628"/>
      <c r="F74" s="628"/>
      <c r="G74" s="628"/>
      <c r="H74" s="628"/>
      <c r="I74" s="628"/>
      <c r="J74" s="628"/>
      <c r="K74" s="628"/>
      <c r="L74" s="629"/>
      <c r="M74" s="630"/>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6"/>
      <c r="B75" s="615"/>
      <c r="C75" s="616">
        <v>100</v>
      </c>
      <c r="D75" s="617"/>
      <c r="E75" s="617"/>
      <c r="F75" s="617"/>
      <c r="G75" s="617"/>
      <c r="H75" s="617"/>
      <c r="I75" s="617"/>
      <c r="J75" s="617"/>
      <c r="K75" s="617"/>
      <c r="L75" s="617"/>
      <c r="M75" s="619"/>
      <c r="N75" s="1883"/>
      <c r="O75" s="1883"/>
      <c r="P75" s="1879"/>
      <c r="Q75" s="1879"/>
      <c r="R75" s="1745"/>
      <c r="S75" s="1745"/>
      <c r="T75" s="1745"/>
      <c r="U75" s="1745"/>
      <c r="V75" s="1745"/>
      <c r="W75" s="1745"/>
      <c r="X75" s="1745"/>
      <c r="Y75" s="1745"/>
      <c r="Z75" s="1745"/>
      <c r="AA75" s="1745"/>
      <c r="AB75" s="1745"/>
      <c r="AC75" s="1745"/>
    </row>
    <row r="76" spans="1:29">
      <c r="A76" s="631" t="s">
        <v>525</v>
      </c>
      <c r="B76" s="632" t="s">
        <v>483</v>
      </c>
      <c r="C76" s="567"/>
      <c r="D76" s="567"/>
      <c r="E76" s="567"/>
      <c r="F76" s="567"/>
      <c r="G76" s="567"/>
      <c r="H76" s="567"/>
      <c r="I76" s="567"/>
      <c r="J76" s="567"/>
      <c r="K76" s="633"/>
      <c r="L76" s="634"/>
      <c r="M76" s="635"/>
      <c r="N76" s="1885"/>
      <c r="O76" s="1885"/>
      <c r="P76" s="1886"/>
      <c r="Q76" s="1879"/>
      <c r="R76" s="1867"/>
      <c r="S76" s="1867"/>
      <c r="T76" s="1867"/>
      <c r="U76" s="1867"/>
      <c r="V76" s="1867"/>
      <c r="W76" s="1867"/>
      <c r="X76" s="1867"/>
      <c r="Y76" s="1867"/>
      <c r="Z76" s="1867"/>
      <c r="AA76" s="1867"/>
      <c r="AB76" s="1867"/>
      <c r="AC76" s="1867"/>
    </row>
    <row r="77" spans="1:29" ht="15.75" thickBot="1">
      <c r="A77" s="636"/>
      <c r="B77" s="637"/>
      <c r="C77" s="638"/>
      <c r="D77" s="638"/>
      <c r="E77" s="638"/>
      <c r="F77" s="638"/>
      <c r="G77" s="638"/>
      <c r="H77" s="638"/>
      <c r="I77" s="638"/>
      <c r="J77" s="638"/>
      <c r="K77" s="638"/>
      <c r="L77" s="638"/>
      <c r="M77" s="639"/>
      <c r="N77" s="1887"/>
      <c r="O77" s="1887"/>
      <c r="P77" s="1886"/>
      <c r="Q77" s="1879"/>
      <c r="R77" s="1867"/>
      <c r="S77" s="1867"/>
      <c r="T77" s="1867"/>
      <c r="U77" s="1867"/>
      <c r="V77" s="1867"/>
      <c r="W77" s="1867"/>
      <c r="X77" s="1867"/>
      <c r="Y77" s="1867"/>
      <c r="Z77" s="1867"/>
      <c r="AA77" s="1867"/>
      <c r="AB77" s="1867"/>
      <c r="AC77" s="1867"/>
    </row>
    <row r="78" spans="1:29" ht="27.75" thickTop="1">
      <c r="A78" s="636"/>
      <c r="B78" s="640" t="s">
        <v>486</v>
      </c>
      <c r="C78" s="641"/>
      <c r="D78" s="641"/>
      <c r="E78" s="641"/>
      <c r="F78" s="641"/>
      <c r="G78" s="641"/>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c r="D79" s="646"/>
      <c r="E79" s="646"/>
      <c r="F79" s="646"/>
      <c r="G79" s="646"/>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648" t="s">
        <v>487</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6"/>
      <c r="B81" s="650"/>
      <c r="C81" s="510"/>
      <c r="D81" s="510"/>
      <c r="E81" s="510"/>
      <c r="F81" s="510"/>
      <c r="G81" s="510"/>
      <c r="H81" s="510"/>
      <c r="I81" s="510"/>
      <c r="J81" s="510"/>
      <c r="K81" s="651"/>
      <c r="L81" s="652"/>
      <c r="M81" s="653"/>
      <c r="N81" s="1885"/>
      <c r="O81" s="1885"/>
      <c r="P81" s="1886"/>
      <c r="Q81" s="1879"/>
      <c r="R81" s="1867"/>
      <c r="S81" s="1867"/>
      <c r="T81" s="1867"/>
      <c r="U81" s="1867"/>
      <c r="V81" s="1867"/>
      <c r="W81" s="1867"/>
      <c r="X81" s="1867"/>
      <c r="Y81" s="1867"/>
      <c r="Z81" s="1867"/>
      <c r="AA81" s="1867"/>
      <c r="AB81" s="1867"/>
      <c r="AC81" s="1867"/>
    </row>
    <row r="82" spans="1:29" ht="15.75"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4"/>
      <c r="B83" s="640" t="str">
        <f>B14</f>
        <v>配建</v>
      </c>
      <c r="C83" s="655"/>
      <c r="D83" s="1232"/>
      <c r="E83" s="1233"/>
      <c r="F83" s="655"/>
      <c r="G83" s="655"/>
      <c r="H83" s="656"/>
      <c r="I83" s="656"/>
      <c r="J83" s="656"/>
      <c r="K83" s="656"/>
      <c r="L83" s="657"/>
      <c r="M83" s="658"/>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4"/>
      <c r="B84" s="645"/>
      <c r="C84" s="659"/>
      <c r="D84" s="638"/>
      <c r="E84" s="638"/>
      <c r="F84" s="638"/>
      <c r="G84" s="638"/>
      <c r="H84" s="638"/>
      <c r="I84" s="638"/>
      <c r="J84" s="638"/>
      <c r="K84" s="638"/>
      <c r="L84" s="638"/>
      <c r="M84" s="639"/>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4"/>
      <c r="B85" s="640">
        <f>B15</f>
        <v>111</v>
      </c>
      <c r="C85" s="655"/>
      <c r="D85" s="655"/>
      <c r="E85" s="655"/>
      <c r="F85" s="655"/>
      <c r="G85" s="655"/>
      <c r="H85" s="656"/>
      <c r="I85" s="656"/>
      <c r="J85" s="656"/>
      <c r="K85" s="656"/>
      <c r="L85" s="657"/>
      <c r="M85" s="658"/>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4"/>
      <c r="B86" s="645"/>
      <c r="C86" s="659"/>
      <c r="D86" s="659"/>
      <c r="E86" s="659"/>
      <c r="F86" s="659"/>
      <c r="G86" s="659"/>
      <c r="H86" s="660"/>
      <c r="I86" s="660"/>
      <c r="J86" s="660"/>
      <c r="K86" s="660"/>
      <c r="L86" s="660"/>
      <c r="M86" s="661"/>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4"/>
      <c r="B87" s="648">
        <f>B16</f>
        <v>111</v>
      </c>
      <c r="C87" s="628"/>
      <c r="D87" s="628"/>
      <c r="E87" s="628"/>
      <c r="F87" s="628"/>
      <c r="G87" s="628"/>
      <c r="H87" s="662"/>
      <c r="I87" s="662"/>
      <c r="J87" s="662"/>
      <c r="K87" s="662"/>
      <c r="L87" s="663"/>
      <c r="M87" s="664"/>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5"/>
      <c r="B88" s="666"/>
      <c r="C88" s="667"/>
      <c r="D88" s="667"/>
      <c r="E88" s="667"/>
      <c r="F88" s="667"/>
      <c r="G88" s="667"/>
      <c r="H88" s="668"/>
      <c r="I88" s="668"/>
      <c r="J88" s="668"/>
      <c r="K88" s="668"/>
      <c r="L88" s="668"/>
      <c r="M88" s="669"/>
      <c r="N88" s="1888"/>
      <c r="O88" s="1888"/>
      <c r="P88" s="1889"/>
      <c r="Q88" s="1890"/>
      <c r="R88" s="1891"/>
      <c r="S88" s="1891"/>
      <c r="T88" s="1891"/>
      <c r="U88" s="1891"/>
      <c r="V88" s="1891"/>
      <c r="W88" s="1891"/>
      <c r="X88" s="1891"/>
      <c r="Y88" s="1891"/>
      <c r="Z88" s="1891"/>
      <c r="AA88" s="1891"/>
      <c r="AB88" s="1891"/>
      <c r="AC88" s="1891"/>
    </row>
    <row r="89" spans="1:29">
      <c r="A89" s="631" t="s">
        <v>488</v>
      </c>
      <c r="B89" s="632" t="s">
        <v>526</v>
      </c>
      <c r="C89" s="670" t="s">
        <v>527</v>
      </c>
      <c r="D89" s="670" t="s">
        <v>528</v>
      </c>
      <c r="E89" s="670" t="s">
        <v>529</v>
      </c>
      <c r="F89" s="670" t="s">
        <v>530</v>
      </c>
      <c r="G89" s="670" t="s">
        <v>531</v>
      </c>
      <c r="H89" s="671"/>
      <c r="I89" s="671"/>
      <c r="J89" s="671"/>
      <c r="K89" s="672"/>
      <c r="L89" s="673"/>
      <c r="M89" s="674"/>
      <c r="N89" s="1885"/>
      <c r="O89" s="1885"/>
      <c r="P89" s="1895"/>
      <c r="Q89" s="1879"/>
      <c r="R89" s="1867"/>
      <c r="S89" s="1867"/>
      <c r="T89" s="1867"/>
      <c r="U89" s="1867"/>
      <c r="V89" s="1867"/>
      <c r="W89" s="1867"/>
      <c r="X89" s="1867"/>
      <c r="Y89" s="1867"/>
      <c r="Z89" s="1867"/>
      <c r="AA89" s="1867"/>
      <c r="AB89" s="1867"/>
      <c r="AC89" s="1867"/>
    </row>
    <row r="90" spans="1:29" ht="15.75" thickBot="1">
      <c r="A90" s="636"/>
      <c r="B90" s="645"/>
      <c r="C90" s="646">
        <v>100</v>
      </c>
      <c r="D90" s="646">
        <f>C90-$K17</f>
        <v>100</v>
      </c>
      <c r="E90" s="646">
        <f>D90-$K17</f>
        <v>100</v>
      </c>
      <c r="F90" s="646">
        <f>E90-$K17</f>
        <v>100</v>
      </c>
      <c r="G90" s="646">
        <f>F90-$K17</f>
        <v>100</v>
      </c>
      <c r="H90" s="646"/>
      <c r="I90" s="646"/>
      <c r="J90" s="646"/>
      <c r="K90" s="646"/>
      <c r="L90" s="646"/>
      <c r="M90" s="647"/>
      <c r="N90" s="1887"/>
      <c r="O90" s="1887"/>
      <c r="P90" s="1886"/>
      <c r="Q90" s="1879"/>
      <c r="R90" s="1867"/>
      <c r="S90" s="1867"/>
      <c r="T90" s="1867"/>
      <c r="U90" s="1867"/>
      <c r="V90" s="1867"/>
      <c r="W90" s="1867"/>
      <c r="X90" s="1867"/>
      <c r="Y90" s="1867"/>
      <c r="Z90" s="1867"/>
      <c r="AA90" s="1867"/>
      <c r="AB90" s="1867"/>
      <c r="AC90" s="1867"/>
    </row>
    <row r="91" spans="1:29" ht="15.75" thickTop="1">
      <c r="A91" s="636"/>
      <c r="B91" s="640" t="s">
        <v>532</v>
      </c>
      <c r="C91" s="675" t="s">
        <v>527</v>
      </c>
      <c r="D91" s="675" t="s">
        <v>528</v>
      </c>
      <c r="E91" s="675" t="s">
        <v>529</v>
      </c>
      <c r="F91" s="675" t="s">
        <v>530</v>
      </c>
      <c r="G91" s="675" t="s">
        <v>531</v>
      </c>
      <c r="H91" s="641"/>
      <c r="I91" s="641"/>
      <c r="J91" s="641"/>
      <c r="K91" s="642"/>
      <c r="L91" s="643"/>
      <c r="M91" s="644"/>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7"/>
      <c r="O92" s="1887"/>
      <c r="P92" s="1886"/>
      <c r="Q92" s="1879"/>
      <c r="R92" s="1867"/>
      <c r="S92" s="1867"/>
      <c r="T92" s="1867"/>
      <c r="U92" s="1867"/>
      <c r="V92" s="1867"/>
      <c r="W92" s="1867"/>
      <c r="X92" s="1867"/>
      <c r="Y92" s="1867"/>
      <c r="Z92" s="1867"/>
      <c r="AA92" s="1867"/>
      <c r="AB92" s="1867"/>
      <c r="AC92" s="1867"/>
    </row>
    <row r="93" spans="1:29" ht="15.75" thickTop="1">
      <c r="A93" s="636"/>
      <c r="B93" s="640" t="s">
        <v>533</v>
      </c>
      <c r="C93" s="675" t="s">
        <v>527</v>
      </c>
      <c r="D93" s="675" t="s">
        <v>528</v>
      </c>
      <c r="E93" s="675" t="s">
        <v>529</v>
      </c>
      <c r="F93" s="675" t="s">
        <v>530</v>
      </c>
      <c r="G93" s="675" t="s">
        <v>531</v>
      </c>
      <c r="H93" s="641"/>
      <c r="I93" s="641"/>
      <c r="J93" s="641"/>
      <c r="K93" s="642"/>
      <c r="L93" s="643"/>
      <c r="M93" s="644"/>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7"/>
      <c r="O94" s="1887"/>
      <c r="P94" s="1886"/>
      <c r="Q94" s="1879"/>
      <c r="R94" s="1867"/>
      <c r="S94" s="1867"/>
      <c r="T94" s="1867"/>
      <c r="U94" s="1867"/>
      <c r="V94" s="1867"/>
      <c r="W94" s="1867"/>
      <c r="X94" s="1867"/>
      <c r="Y94" s="1867"/>
      <c r="Z94" s="1867"/>
      <c r="AA94" s="1867"/>
      <c r="AB94" s="1867"/>
      <c r="AC94" s="1867"/>
    </row>
    <row r="95" spans="1:29" ht="15.75" thickTop="1">
      <c r="A95" s="636"/>
      <c r="B95" s="640" t="s">
        <v>534</v>
      </c>
      <c r="C95" s="675" t="s">
        <v>527</v>
      </c>
      <c r="D95" s="675" t="s">
        <v>528</v>
      </c>
      <c r="E95" s="675" t="s">
        <v>529</v>
      </c>
      <c r="F95" s="675" t="s">
        <v>530</v>
      </c>
      <c r="G95" s="675" t="s">
        <v>531</v>
      </c>
      <c r="H95" s="641"/>
      <c r="I95" s="641"/>
      <c r="J95" s="641"/>
      <c r="K95" s="642"/>
      <c r="L95" s="643"/>
      <c r="M95" s="644"/>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6"/>
      <c r="B97" s="640" t="s">
        <v>535</v>
      </c>
      <c r="C97" s="675" t="s">
        <v>527</v>
      </c>
      <c r="D97" s="675" t="s">
        <v>528</v>
      </c>
      <c r="E97" s="675" t="s">
        <v>529</v>
      </c>
      <c r="F97" s="675" t="s">
        <v>530</v>
      </c>
      <c r="G97" s="675" t="s">
        <v>531</v>
      </c>
      <c r="H97" s="675"/>
      <c r="I97" s="675"/>
      <c r="J97" s="675"/>
      <c r="K97" s="675"/>
      <c r="L97" s="677"/>
      <c r="M97" s="678"/>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6"/>
      <c r="B98" s="645"/>
      <c r="C98" s="679">
        <v>100</v>
      </c>
      <c r="D98" s="646">
        <f>C98-$K25</f>
        <v>100</v>
      </c>
      <c r="E98" s="646">
        <f>D98-$K25</f>
        <v>100</v>
      </c>
      <c r="F98" s="646">
        <f>E98-$K25</f>
        <v>100</v>
      </c>
      <c r="G98" s="646">
        <f>F98-$K25</f>
        <v>100</v>
      </c>
      <c r="H98" s="646"/>
      <c r="I98" s="646"/>
      <c r="J98" s="646"/>
      <c r="K98" s="646"/>
      <c r="L98" s="646"/>
      <c r="M98" s="647"/>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6"/>
      <c r="B99" s="640" t="s">
        <v>536</v>
      </c>
      <c r="C99" s="670" t="s">
        <v>527</v>
      </c>
      <c r="D99" s="670" t="s">
        <v>528</v>
      </c>
      <c r="E99" s="670" t="s">
        <v>529</v>
      </c>
      <c r="F99" s="670" t="s">
        <v>530</v>
      </c>
      <c r="G99" s="670" t="s">
        <v>531</v>
      </c>
      <c r="H99" s="675"/>
      <c r="I99" s="675"/>
      <c r="J99" s="675"/>
      <c r="K99" s="675"/>
      <c r="L99" s="675"/>
      <c r="M99" s="678"/>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4"/>
      <c r="B101" s="1651" t="s">
        <v>1831</v>
      </c>
      <c r="C101" s="670" t="s">
        <v>527</v>
      </c>
      <c r="D101" s="670" t="s">
        <v>528</v>
      </c>
      <c r="E101" s="670" t="s">
        <v>529</v>
      </c>
      <c r="F101" s="670" t="s">
        <v>530</v>
      </c>
      <c r="G101" s="670" t="s">
        <v>531</v>
      </c>
      <c r="H101" s="680"/>
      <c r="I101" s="680"/>
      <c r="J101" s="680"/>
      <c r="K101" s="680"/>
      <c r="L101" s="681"/>
      <c r="M101" s="682"/>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4"/>
      <c r="B103" s="2204" t="s">
        <v>1833</v>
      </c>
      <c r="C103" s="2205" t="s">
        <v>1834</v>
      </c>
      <c r="D103" s="2205" t="s">
        <v>1835</v>
      </c>
      <c r="E103" s="2205" t="s">
        <v>1836</v>
      </c>
      <c r="F103" s="2205" t="s">
        <v>1837</v>
      </c>
      <c r="G103" s="2205" t="s">
        <v>1838</v>
      </c>
      <c r="H103" s="680"/>
      <c r="I103" s="680"/>
      <c r="J103" s="680"/>
      <c r="K103" s="680"/>
      <c r="L103" s="680"/>
      <c r="M103" s="682"/>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8"/>
      <c r="C104" s="646">
        <v>100</v>
      </c>
      <c r="D104" s="646">
        <f>C104-$K31</f>
        <v>100</v>
      </c>
      <c r="E104" s="646">
        <f>D104-$K31</f>
        <v>100</v>
      </c>
      <c r="F104" s="646">
        <f>E104-$K31</f>
        <v>100</v>
      </c>
      <c r="G104" s="646">
        <f>F104-$K31</f>
        <v>100</v>
      </c>
      <c r="H104" s="650"/>
      <c r="I104" s="650"/>
      <c r="J104" s="650"/>
      <c r="K104" s="650"/>
      <c r="L104" s="650"/>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6"/>
      <c r="B107" s="640" t="s">
        <v>497</v>
      </c>
      <c r="C107" s="655"/>
      <c r="D107" s="655"/>
      <c r="E107" s="655"/>
      <c r="F107" s="655"/>
      <c r="G107" s="65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6"/>
      <c r="B109" s="640" t="s">
        <v>498</v>
      </c>
      <c r="C109" s="685"/>
      <c r="D109" s="685"/>
      <c r="E109" s="68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6"/>
      <c r="B111" s="648">
        <f>B37</f>
        <v>111</v>
      </c>
      <c r="C111" s="655"/>
      <c r="D111" s="655"/>
      <c r="E111" s="655"/>
      <c r="F111" s="655"/>
      <c r="G111" s="689"/>
      <c r="H111" s="689"/>
      <c r="I111" s="689"/>
      <c r="J111" s="689"/>
      <c r="K111" s="690"/>
      <c r="L111" s="691"/>
      <c r="M111" s="692"/>
      <c r="N111" s="1885"/>
      <c r="O111" s="1885"/>
      <c r="P111" s="1886"/>
      <c r="Q111" s="1879"/>
      <c r="R111" s="1867"/>
      <c r="S111" s="1867"/>
      <c r="T111" s="1867"/>
      <c r="U111" s="1867"/>
      <c r="V111" s="1867"/>
      <c r="W111" s="1867"/>
      <c r="X111" s="1867"/>
      <c r="Y111" s="1867"/>
      <c r="Z111" s="1867"/>
      <c r="AA111" s="1867"/>
      <c r="AB111" s="1867"/>
      <c r="AC111" s="1867"/>
    </row>
    <row r="112" spans="1:29" ht="15.75" thickBot="1">
      <c r="A112" s="636"/>
      <c r="B112" s="666"/>
      <c r="C112" s="659"/>
      <c r="D112" s="659"/>
      <c r="E112" s="659"/>
      <c r="F112" s="659"/>
      <c r="G112" s="693"/>
      <c r="H112" s="693"/>
      <c r="I112" s="693"/>
      <c r="J112" s="693"/>
      <c r="K112" s="693"/>
      <c r="L112" s="693"/>
      <c r="M112" s="694"/>
      <c r="N112" s="1887"/>
      <c r="O112" s="1887"/>
      <c r="P112" s="1886"/>
      <c r="Q112" s="1879"/>
      <c r="R112" s="1867"/>
      <c r="S112" s="1867"/>
      <c r="T112" s="1867"/>
      <c r="U112" s="1867"/>
      <c r="V112" s="1867"/>
      <c r="W112" s="1867"/>
      <c r="X112" s="1867"/>
      <c r="Y112" s="1867"/>
      <c r="Z112" s="1867"/>
      <c r="AA112" s="1867"/>
      <c r="AB112" s="1867"/>
      <c r="AC112" s="1867"/>
    </row>
    <row r="113" spans="1:29" ht="15" thickTop="1">
      <c r="A113" s="556"/>
      <c r="B113" s="640">
        <f>B38</f>
        <v>111</v>
      </c>
      <c r="C113" s="628"/>
      <c r="D113" s="628"/>
      <c r="E113" s="628"/>
      <c r="F113" s="628"/>
      <c r="G113" s="685"/>
      <c r="H113" s="685"/>
      <c r="I113" s="685"/>
      <c r="J113" s="685"/>
      <c r="K113" s="686"/>
      <c r="L113" s="687"/>
      <c r="M113" s="688"/>
      <c r="N113" s="1885"/>
      <c r="O113" s="1885"/>
      <c r="P113" s="1886"/>
      <c r="Q113" s="1879"/>
      <c r="R113" s="1867"/>
      <c r="S113" s="1867"/>
      <c r="T113" s="1867"/>
      <c r="U113" s="1867"/>
      <c r="V113" s="1867"/>
      <c r="W113" s="1867"/>
      <c r="X113" s="1867"/>
      <c r="Y113" s="1867"/>
      <c r="Z113" s="1867"/>
      <c r="AA113" s="1867"/>
      <c r="AB113" s="1867"/>
      <c r="AC113" s="1867"/>
    </row>
    <row r="114" spans="1:29" ht="15.75" thickBot="1">
      <c r="A114" s="636"/>
      <c r="B114" s="645"/>
      <c r="C114" s="667"/>
      <c r="D114" s="667"/>
      <c r="E114" s="667"/>
      <c r="F114" s="667"/>
      <c r="G114" s="638"/>
      <c r="H114" s="638"/>
      <c r="I114" s="638"/>
      <c r="J114" s="638"/>
      <c r="K114" s="638"/>
      <c r="L114" s="638"/>
      <c r="M114" s="639"/>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5"/>
      <c r="B115" s="696">
        <f>B39</f>
        <v>111</v>
      </c>
      <c r="C115" s="697"/>
      <c r="D115" s="697"/>
      <c r="E115" s="697"/>
      <c r="F115" s="697"/>
      <c r="G115" s="697"/>
      <c r="H115" s="697"/>
      <c r="I115" s="697"/>
      <c r="J115" s="698"/>
      <c r="K115" s="698"/>
      <c r="L115" s="699"/>
      <c r="M115" s="700"/>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4"/>
      <c r="B116" s="648"/>
      <c r="C116" s="617"/>
      <c r="D116" s="561"/>
      <c r="E116" s="561"/>
      <c r="F116" s="561"/>
      <c r="G116" s="561"/>
      <c r="H116" s="561"/>
      <c r="I116" s="561"/>
      <c r="J116" s="561"/>
      <c r="K116" s="561"/>
      <c r="L116" s="561"/>
      <c r="M116" s="701"/>
      <c r="N116" s="1887"/>
      <c r="O116" s="1887"/>
      <c r="P116" s="1889"/>
      <c r="Q116" s="1890"/>
      <c r="R116" s="1891"/>
      <c r="S116" s="1891"/>
      <c r="T116" s="1891"/>
      <c r="U116" s="1891"/>
      <c r="V116" s="1891"/>
      <c r="W116" s="1891"/>
      <c r="X116" s="1891"/>
      <c r="Y116" s="1891"/>
      <c r="Z116" s="1891"/>
      <c r="AA116" s="1891"/>
      <c r="AB116" s="1891"/>
      <c r="AC116" s="1891"/>
    </row>
    <row r="117" spans="1:29">
      <c r="A117" s="631" t="s">
        <v>500</v>
      </c>
      <c r="B117" s="632" t="s">
        <v>541</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6"/>
      <c r="B118" s="648"/>
      <c r="C118" s="697"/>
      <c r="D118" s="697"/>
      <c r="E118" s="697"/>
      <c r="F118" s="697"/>
      <c r="G118" s="697"/>
      <c r="H118" s="697"/>
      <c r="I118" s="697"/>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67"/>
      <c r="D119" s="693"/>
      <c r="E119" s="693"/>
      <c r="F119" s="693"/>
      <c r="G119" s="693"/>
      <c r="H119" s="693"/>
      <c r="I119" s="693"/>
      <c r="J119" s="693"/>
      <c r="K119" s="693"/>
      <c r="L119" s="693"/>
      <c r="M119" s="694"/>
      <c r="N119" s="1887"/>
      <c r="O119" s="1887"/>
      <c r="P119" s="1886"/>
      <c r="Q119" s="1879"/>
      <c r="R119" s="1867"/>
      <c r="S119" s="1867"/>
      <c r="T119" s="1867"/>
      <c r="U119" s="1867"/>
      <c r="V119" s="1867"/>
      <c r="W119" s="1867"/>
      <c r="X119" s="1867"/>
      <c r="Y119" s="1867"/>
      <c r="Z119" s="1867"/>
      <c r="AA119" s="1867"/>
      <c r="AB119" s="1867"/>
      <c r="AC119" s="1867"/>
    </row>
    <row r="120" spans="1:29" ht="15" thickTop="1">
      <c r="A120" s="702"/>
      <c r="B120" s="640" t="s">
        <v>542</v>
      </c>
      <c r="C120" s="685"/>
      <c r="D120" s="685"/>
      <c r="E120" s="685"/>
      <c r="F120" s="685"/>
      <c r="G120" s="685"/>
      <c r="H120" s="685"/>
      <c r="I120" s="685"/>
      <c r="J120" s="685"/>
      <c r="K120" s="686"/>
      <c r="L120" s="687"/>
      <c r="M120" s="688"/>
      <c r="N120" s="1885"/>
      <c r="O120" s="1885"/>
      <c r="P120" s="1886"/>
      <c r="Q120" s="1879"/>
      <c r="R120" s="1867"/>
      <c r="S120" s="1867"/>
      <c r="T120" s="1867"/>
      <c r="U120" s="1867"/>
      <c r="V120" s="1867"/>
      <c r="W120" s="1867"/>
      <c r="X120" s="1867"/>
      <c r="Y120" s="1867"/>
      <c r="Z120" s="1867"/>
      <c r="AA120" s="1867"/>
      <c r="AB120" s="1867"/>
      <c r="AC120" s="1867"/>
    </row>
    <row r="121" spans="1:29" ht="15.75"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2"/>
      <c r="B122" s="640" t="s">
        <v>543</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5"/>
      <c r="B124" s="1651" t="s">
        <v>1777</v>
      </c>
      <c r="C124" s="1232"/>
      <c r="D124" s="1232"/>
      <c r="E124" s="1232"/>
      <c r="F124" s="1232"/>
      <c r="G124" s="1232"/>
      <c r="H124" s="685"/>
      <c r="I124" s="685"/>
      <c r="J124" s="685"/>
      <c r="K124" s="686"/>
      <c r="L124" s="687"/>
      <c r="M124" s="688"/>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2"/>
      <c r="B126" s="640" t="s">
        <v>544</v>
      </c>
      <c r="C126" s="655"/>
      <c r="D126" s="655"/>
      <c r="E126" s="685"/>
      <c r="F126" s="685"/>
      <c r="G126" s="685"/>
      <c r="H126" s="685"/>
      <c r="I126" s="685"/>
      <c r="J126" s="685"/>
      <c r="K126" s="686"/>
      <c r="L126" s="687"/>
      <c r="M126" s="688"/>
      <c r="N126" s="1885"/>
      <c r="O126" s="1885"/>
      <c r="P126" s="1886"/>
      <c r="Q126" s="1879"/>
      <c r="R126" s="1867"/>
      <c r="S126" s="1867"/>
      <c r="T126" s="1867"/>
      <c r="U126" s="1867"/>
      <c r="V126" s="1867"/>
      <c r="W126" s="1867"/>
      <c r="X126" s="1867"/>
      <c r="Y126" s="1867"/>
      <c r="Z126" s="1867"/>
      <c r="AA126" s="1867"/>
      <c r="AB126" s="1867"/>
      <c r="AC126" s="1867"/>
    </row>
    <row r="127" spans="1:29" ht="15.75"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2"/>
      <c r="B128" s="640">
        <f>B45</f>
        <v>111</v>
      </c>
      <c r="C128" s="655"/>
      <c r="D128" s="655"/>
      <c r="E128" s="655"/>
      <c r="F128" s="655"/>
      <c r="G128" s="65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0">
        <f>B46</f>
        <v>111</v>
      </c>
      <c r="C130" s="628"/>
      <c r="D130" s="628"/>
      <c r="E130" s="628"/>
      <c r="F130" s="628"/>
      <c r="G130" s="685"/>
      <c r="H130" s="685"/>
      <c r="I130" s="685"/>
      <c r="J130" s="685"/>
      <c r="K130" s="686"/>
      <c r="L130" s="687"/>
      <c r="M130" s="688"/>
      <c r="N130" s="1885"/>
      <c r="O130" s="1885"/>
      <c r="P130" s="1886"/>
      <c r="Q130" s="1879"/>
      <c r="R130" s="1867"/>
      <c r="S130" s="1867"/>
      <c r="T130" s="1867"/>
      <c r="U130" s="1867"/>
      <c r="V130" s="1867"/>
      <c r="W130" s="1867"/>
      <c r="X130" s="1867"/>
      <c r="Y130" s="1867"/>
      <c r="Z130" s="1867"/>
      <c r="AA130" s="1867"/>
      <c r="AB130" s="1867"/>
      <c r="AC130" s="1867"/>
    </row>
    <row r="131" spans="1:29" ht="15.75" thickBot="1">
      <c r="A131" s="636"/>
      <c r="B131" s="645"/>
      <c r="C131" s="667"/>
      <c r="D131" s="667"/>
      <c r="E131" s="667"/>
      <c r="F131" s="667"/>
      <c r="G131" s="638"/>
      <c r="H131" s="638"/>
      <c r="I131" s="638"/>
      <c r="J131" s="638"/>
      <c r="K131" s="638"/>
      <c r="L131" s="638"/>
      <c r="M131" s="639"/>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5"/>
      <c r="B132" s="640">
        <f>B47</f>
        <v>111</v>
      </c>
      <c r="C132" s="628"/>
      <c r="D132" s="628"/>
      <c r="E132" s="628"/>
      <c r="F132" s="628"/>
      <c r="G132" s="656"/>
      <c r="H132" s="656"/>
      <c r="I132" s="656"/>
      <c r="J132" s="656"/>
      <c r="K132" s="656"/>
      <c r="L132" s="657"/>
      <c r="M132" s="658"/>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5"/>
      <c r="B133" s="703"/>
      <c r="C133" s="667"/>
      <c r="D133" s="667"/>
      <c r="E133" s="667"/>
      <c r="F133" s="667"/>
      <c r="G133" s="693"/>
      <c r="H133" s="693"/>
      <c r="I133" s="693"/>
      <c r="J133" s="693"/>
      <c r="K133" s="693"/>
      <c r="L133" s="693"/>
      <c r="M133" s="694"/>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8" zoomScale="85" zoomScaleNormal="50" zoomScaleSheetLayoutView="85" workbookViewId="0">
      <selection activeCell="E53" sqref="E53"/>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465</v>
      </c>
      <c r="B1" s="472"/>
      <c r="C1" s="473" t="s">
        <v>545</v>
      </c>
      <c r="D1" s="474" t="s">
        <v>467</v>
      </c>
      <c r="E1" s="704"/>
      <c r="F1" s="705"/>
      <c r="G1" s="704"/>
      <c r="H1" s="704"/>
      <c r="I1" s="704"/>
      <c r="J1" s="704"/>
      <c r="K1" s="70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477">
        <f>F62</f>
        <v>755</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79">
        <f>ROUND(B2*10000/'数据-汇总表'!E3,0)</f>
        <v>1190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0" t="s">
        <v>469</v>
      </c>
      <c r="B4" s="413">
        <f>IF(B43="单位面积地价",C45,ROUND(B2*10000/'数据-汇总表'!D3,0))</f>
        <v>1772</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5"/>
      <c r="B5" s="416">
        <f>ROUND(B2/('数据-汇总表'!D3/666.67),0)</f>
        <v>118</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1" t="s">
        <v>470</v>
      </c>
      <c r="B6" s="482"/>
      <c r="C6" s="3871" t="s">
        <v>471</v>
      </c>
      <c r="D6" s="3872"/>
      <c r="E6" s="3893" t="s">
        <v>472</v>
      </c>
      <c r="F6" s="3894"/>
      <c r="G6" s="3871" t="s">
        <v>473</v>
      </c>
      <c r="H6" s="3872"/>
      <c r="I6" s="3871" t="s">
        <v>474</v>
      </c>
      <c r="J6" s="3872"/>
      <c r="K6" s="483" t="s">
        <v>475</v>
      </c>
      <c r="L6" s="1855"/>
      <c r="M6" s="1856"/>
      <c r="N6" s="1856"/>
      <c r="O6" s="1856"/>
      <c r="P6" s="3873" t="s">
        <v>476</v>
      </c>
      <c r="Q6" s="3874"/>
      <c r="R6" s="3857" t="s">
        <v>472</v>
      </c>
      <c r="S6" s="3858"/>
      <c r="T6" s="3857" t="s">
        <v>473</v>
      </c>
      <c r="U6" s="3858"/>
      <c r="V6" s="3879" t="s">
        <v>474</v>
      </c>
      <c r="W6" s="3879"/>
      <c r="X6" s="1379"/>
      <c r="Y6" s="3857" t="s">
        <v>476</v>
      </c>
      <c r="Z6" s="3858"/>
      <c r="AA6" s="3852" t="s">
        <v>472</v>
      </c>
      <c r="AB6" s="3853" t="s">
        <v>473</v>
      </c>
      <c r="AC6" s="3852" t="s">
        <v>474</v>
      </c>
    </row>
    <row r="7" spans="1:29" ht="15">
      <c r="A7" s="484"/>
      <c r="B7" s="485"/>
      <c r="C7" s="3882" t="s">
        <v>2192</v>
      </c>
      <c r="D7" s="3883"/>
      <c r="E7" s="3895" t="str">
        <f>Sheet1!A2</f>
        <v>亦庄新城YZ00-0803街区1502地块工业项目</v>
      </c>
      <c r="F7" s="3896"/>
      <c r="G7" s="3882" t="str">
        <f>Sheet1!A3</f>
        <v>亦庄新城YZ00-0106街区15M1地块工业项目</v>
      </c>
      <c r="H7" s="3883"/>
      <c r="I7" s="3882" t="str">
        <f>Sheet1!A10</f>
        <v>北京大兴国际机场临空经济区0206-0052、0206-0053、0206-0070地块M1一类工业用地</v>
      </c>
      <c r="J7" s="3883"/>
      <c r="K7" s="483"/>
      <c r="L7" s="1855"/>
      <c r="M7" s="1856"/>
      <c r="N7" s="1856"/>
      <c r="O7" s="1856"/>
      <c r="P7" s="3875"/>
      <c r="Q7" s="3876"/>
      <c r="R7" s="3859"/>
      <c r="S7" s="3860"/>
      <c r="T7" s="3859"/>
      <c r="U7" s="3860"/>
      <c r="V7" s="3879"/>
      <c r="W7" s="3879"/>
      <c r="X7" s="1379"/>
      <c r="Y7" s="3859"/>
      <c r="Z7" s="3860"/>
      <c r="AA7" s="3853"/>
      <c r="AB7" s="3853"/>
      <c r="AC7" s="3853"/>
    </row>
    <row r="8" spans="1:29" ht="15.75" thickBot="1">
      <c r="A8" s="486"/>
      <c r="B8" s="487"/>
      <c r="C8" s="3880" t="s">
        <v>2196</v>
      </c>
      <c r="D8" s="3881"/>
      <c r="E8" s="3897" t="s">
        <v>2196</v>
      </c>
      <c r="F8" s="3898"/>
      <c r="G8" s="3880" t="s">
        <v>2196</v>
      </c>
      <c r="H8" s="3881"/>
      <c r="I8" s="3880" t="s">
        <v>2196</v>
      </c>
      <c r="J8" s="3881"/>
      <c r="K8" s="483" t="s">
        <v>477</v>
      </c>
      <c r="L8" s="1855"/>
      <c r="M8" s="1856"/>
      <c r="N8" s="1856"/>
      <c r="O8" s="1856"/>
      <c r="P8" s="3877"/>
      <c r="Q8" s="3878"/>
      <c r="R8" s="3859"/>
      <c r="S8" s="3860"/>
      <c r="T8" s="3861"/>
      <c r="U8" s="3862"/>
      <c r="V8" s="3879"/>
      <c r="W8" s="3879"/>
      <c r="X8" s="1379"/>
      <c r="Y8" s="3861"/>
      <c r="Z8" s="3862"/>
      <c r="AA8" s="3854"/>
      <c r="AB8" s="3854"/>
      <c r="AC8" s="3854"/>
    </row>
    <row r="9" spans="1:29" s="1117" customFormat="1" ht="15.75" thickBot="1">
      <c r="A9" s="2391"/>
      <c r="B9" s="2398" t="s">
        <v>478</v>
      </c>
      <c r="C9" s="488">
        <f>'数据-取费表'!B2</f>
        <v>45378</v>
      </c>
      <c r="D9" s="489">
        <v>100</v>
      </c>
      <c r="E9" s="490">
        <f>Sheet1!J2</f>
        <v>45322.000497685185</v>
      </c>
      <c r="F9" s="491">
        <f>SUMIF(66:66,YEAR(E9)&amp;"-"&amp;INT((MONTH(E9)+2)/3),67:67)</f>
        <v>100</v>
      </c>
      <c r="G9" s="492">
        <f>Sheet1!J3</f>
        <v>45279.000497685185</v>
      </c>
      <c r="H9" s="489">
        <f>SUMIF(66:66,YEAR(G9)&amp;"-"&amp;INT((MONTH(G9)+2)/3),67:67)</f>
        <v>99.5</v>
      </c>
      <c r="I9" s="492">
        <f>Sheet1!J10</f>
        <v>45033.000497685185</v>
      </c>
      <c r="J9" s="489">
        <f>SUMIF(66:66,YEAR(I9)&amp;"-"&amp;INT((MONTH(I9)+2)/3),67:67)</f>
        <v>98.5</v>
      </c>
      <c r="K9" s="493"/>
      <c r="L9" s="1857"/>
      <c r="M9" s="1858"/>
      <c r="N9" s="1858"/>
      <c r="O9" s="1858"/>
      <c r="P9" s="3855" t="s">
        <v>479</v>
      </c>
      <c r="Q9" s="3864"/>
      <c r="R9" s="1380" t="s">
        <v>5</v>
      </c>
      <c r="S9" s="1381">
        <f t="shared" ref="S9:S17" si="0">F9</f>
        <v>100</v>
      </c>
      <c r="T9" s="1380" t="s">
        <v>5</v>
      </c>
      <c r="U9" s="1381">
        <f t="shared" ref="U9:U17" si="1">H9</f>
        <v>99.5</v>
      </c>
      <c r="V9" s="1380" t="s">
        <v>5</v>
      </c>
      <c r="W9" s="1381">
        <f t="shared" ref="W9:W17" si="2">J9</f>
        <v>98.5</v>
      </c>
      <c r="X9" s="1382"/>
      <c r="Y9" s="3855" t="s">
        <v>479</v>
      </c>
      <c r="Z9" s="3856"/>
      <c r="AA9" s="1383">
        <f>D9/F9</f>
        <v>1</v>
      </c>
      <c r="AB9" s="1383">
        <f>D9/H9</f>
        <v>1.0050251256281406</v>
      </c>
      <c r="AC9" s="1383">
        <f>D9/J9</f>
        <v>1.015228426395939</v>
      </c>
    </row>
    <row r="10" spans="1:29" s="1117" customFormat="1" ht="15.75" thickBot="1">
      <c r="A10" s="2392"/>
      <c r="B10" s="2399" t="s">
        <v>480</v>
      </c>
      <c r="C10" s="494" t="s">
        <v>481</v>
      </c>
      <c r="D10" s="489">
        <v>100</v>
      </c>
      <c r="E10" s="494" t="s">
        <v>3504</v>
      </c>
      <c r="F10" s="491">
        <f>SUMIF(69:69,E10,70:70)-SUMIF(69:69,C10,70:70)+100</f>
        <v>100</v>
      </c>
      <c r="G10" s="494" t="s">
        <v>3504</v>
      </c>
      <c r="H10" s="489">
        <f>SUMIF(69:69,G10,70:70)-SUMIF(69:69,C10,70:70)+100</f>
        <v>100</v>
      </c>
      <c r="I10" s="494" t="s">
        <v>3504</v>
      </c>
      <c r="J10" s="489">
        <f>SUMIF(69:69,I10,70:70)-SUMIF(69:69,C10,70:70)+100</f>
        <v>100</v>
      </c>
      <c r="K10" s="493"/>
      <c r="L10" s="1857"/>
      <c r="M10" s="1858"/>
      <c r="N10" s="1858"/>
      <c r="O10" s="1858"/>
      <c r="P10" s="3855" t="s">
        <v>482</v>
      </c>
      <c r="Q10" s="3856"/>
      <c r="R10" s="1380" t="s">
        <v>5</v>
      </c>
      <c r="S10" s="1381">
        <f t="shared" si="0"/>
        <v>100</v>
      </c>
      <c r="T10" s="1380" t="s">
        <v>5</v>
      </c>
      <c r="U10" s="1381">
        <f t="shared" si="1"/>
        <v>100</v>
      </c>
      <c r="V10" s="1380" t="s">
        <v>5</v>
      </c>
      <c r="W10" s="1381">
        <f t="shared" si="2"/>
        <v>100</v>
      </c>
      <c r="X10" s="1382"/>
      <c r="Y10" s="3855" t="s">
        <v>482</v>
      </c>
      <c r="Z10" s="3856"/>
      <c r="AA10" s="1383">
        <f t="shared" ref="AA10:AA42" si="3">D10/F10</f>
        <v>1</v>
      </c>
      <c r="AB10" s="1383">
        <f t="shared" ref="AB10:AB42" si="4">D10/H10</f>
        <v>1</v>
      </c>
      <c r="AC10" s="1383">
        <f t="shared" ref="AC10:AC42" si="5">D10/J10</f>
        <v>1</v>
      </c>
    </row>
    <row r="11" spans="1:29" s="1117" customFormat="1" ht="15">
      <c r="A11" s="2393"/>
      <c r="B11" s="2400" t="s">
        <v>2038</v>
      </c>
      <c r="C11" s="495" t="s">
        <v>905</v>
      </c>
      <c r="D11" s="244">
        <v>100</v>
      </c>
      <c r="E11" s="495" t="s">
        <v>905</v>
      </c>
      <c r="F11" s="244">
        <f>SUMIF(71:71,E11,72:72)-SUMIF(71:71,C11,72:72)+100</f>
        <v>100</v>
      </c>
      <c r="G11" s="495" t="s">
        <v>905</v>
      </c>
      <c r="H11" s="244">
        <f>SUMIF(71:71,G11,72:72)-SUMIF(71:71,C11,72:72)+100</f>
        <v>100</v>
      </c>
      <c r="I11" s="495" t="s">
        <v>905</v>
      </c>
      <c r="J11" s="244">
        <f>SUMIF(71:71,I11,72:72)-SUMIF(71:71,C11,72:72)+100</f>
        <v>100</v>
      </c>
      <c r="K11" s="493"/>
      <c r="L11" s="1857"/>
      <c r="M11" s="1858"/>
      <c r="N11" s="1858"/>
      <c r="O11" s="1859"/>
      <c r="P11" s="3863" t="s">
        <v>484</v>
      </c>
      <c r="Q11" s="1049" t="str">
        <f t="shared" ref="Q11:Q17" si="6">B11</f>
        <v>用途</v>
      </c>
      <c r="R11" s="1380" t="s">
        <v>5</v>
      </c>
      <c r="S11" s="1381">
        <f t="shared" si="0"/>
        <v>100</v>
      </c>
      <c r="T11" s="1380" t="s">
        <v>5</v>
      </c>
      <c r="U11" s="1381">
        <f t="shared" si="1"/>
        <v>100</v>
      </c>
      <c r="V11" s="1380" t="s">
        <v>5</v>
      </c>
      <c r="W11" s="1381">
        <f t="shared" si="2"/>
        <v>100</v>
      </c>
      <c r="X11" s="1382"/>
      <c r="Y11" s="3811" t="s">
        <v>485</v>
      </c>
      <c r="Z11" s="1048" t="str">
        <f t="shared" ref="Z11:Z17" si="7">Q11</f>
        <v>用途</v>
      </c>
      <c r="AA11" s="1383">
        <f t="shared" si="3"/>
        <v>1</v>
      </c>
      <c r="AB11" s="1383">
        <f t="shared" si="4"/>
        <v>1</v>
      </c>
      <c r="AC11" s="1383">
        <f t="shared" si="5"/>
        <v>1</v>
      </c>
    </row>
    <row r="12" spans="1:29" s="1198" customFormat="1" ht="27">
      <c r="A12" s="2394"/>
      <c r="B12" s="2399" t="s">
        <v>2039</v>
      </c>
      <c r="C12" s="497"/>
      <c r="D12" s="245">
        <v>100</v>
      </c>
      <c r="E12" s="497"/>
      <c r="F12" s="245">
        <f>ROUND(100/'数据-取费表'!G16,0)</f>
        <v>107</v>
      </c>
      <c r="G12" s="497"/>
      <c r="H12" s="245">
        <f>ROUND(100/'数据-取费表'!G16,0)</f>
        <v>107</v>
      </c>
      <c r="I12" s="497"/>
      <c r="J12" s="245">
        <f>ROUND(100/'数据-取费表'!G16,0)</f>
        <v>107</v>
      </c>
      <c r="K12" s="500"/>
      <c r="L12" s="1860"/>
      <c r="M12" s="1899"/>
      <c r="N12" s="1899"/>
      <c r="O12" s="1861"/>
      <c r="P12" s="3863"/>
      <c r="Q12" s="1049" t="str">
        <f t="shared" si="6"/>
        <v>土地使用年限（年）</v>
      </c>
      <c r="R12" s="1380" t="s">
        <v>5</v>
      </c>
      <c r="S12" s="1381">
        <f t="shared" si="0"/>
        <v>107</v>
      </c>
      <c r="T12" s="1380" t="s">
        <v>5</v>
      </c>
      <c r="U12" s="1381">
        <f t="shared" si="1"/>
        <v>107</v>
      </c>
      <c r="V12" s="1380" t="s">
        <v>5</v>
      </c>
      <c r="W12" s="1381">
        <f t="shared" si="2"/>
        <v>107</v>
      </c>
      <c r="X12" s="1382"/>
      <c r="Y12" s="3811"/>
      <c r="Z12" s="1048" t="str">
        <f t="shared" si="7"/>
        <v>土地使用年限（年）</v>
      </c>
      <c r="AA12" s="1383">
        <f t="shared" si="3"/>
        <v>0.93457943925233644</v>
      </c>
      <c r="AB12" s="1383">
        <f t="shared" si="4"/>
        <v>0.93457943925233644</v>
      </c>
      <c r="AC12" s="1383">
        <f t="shared" si="5"/>
        <v>0.93457943925233644</v>
      </c>
    </row>
    <row r="13" spans="1:29" ht="15">
      <c r="A13" s="2395"/>
      <c r="B13" s="2399" t="s">
        <v>2040</v>
      </c>
      <c r="C13" s="502">
        <f>'数据-汇总表'!I4</f>
        <v>1.0900000000000001</v>
      </c>
      <c r="D13" s="245">
        <v>100</v>
      </c>
      <c r="E13" s="502">
        <v>1</v>
      </c>
      <c r="F13" s="245">
        <f>LOOKUP(E13,76:76,77:77)-LOOKUP(C13,76:76,77:77)+100</f>
        <v>100</v>
      </c>
      <c r="G13" s="503">
        <v>2</v>
      </c>
      <c r="H13" s="245">
        <f>LOOKUP(G13,76:76,77:77)-LOOKUP(C13,76:76,77:77)+100</f>
        <v>98</v>
      </c>
      <c r="I13" s="502">
        <v>1.5</v>
      </c>
      <c r="J13" s="245">
        <f>LOOKUP(I13,76:76,77:77)-LOOKUP(C13,76:76,77:77)+100</f>
        <v>100</v>
      </c>
      <c r="K13" s="504">
        <v>2</v>
      </c>
      <c r="L13" s="1862"/>
      <c r="M13" s="1856"/>
      <c r="N13" s="1856"/>
      <c r="O13" s="1863"/>
      <c r="P13" s="3863"/>
      <c r="Q13" s="1049" t="str">
        <f t="shared" si="6"/>
        <v>容积率</v>
      </c>
      <c r="R13" s="1380" t="s">
        <v>5</v>
      </c>
      <c r="S13" s="1381">
        <f t="shared" si="0"/>
        <v>100</v>
      </c>
      <c r="T13" s="1380" t="s">
        <v>5</v>
      </c>
      <c r="U13" s="1381">
        <f t="shared" si="1"/>
        <v>98</v>
      </c>
      <c r="V13" s="1380" t="s">
        <v>5</v>
      </c>
      <c r="W13" s="1381">
        <f t="shared" si="2"/>
        <v>100</v>
      </c>
      <c r="X13" s="1382"/>
      <c r="Y13" s="3811"/>
      <c r="Z13" s="1048" t="str">
        <f t="shared" si="7"/>
        <v>容积率</v>
      </c>
      <c r="AA13" s="1383">
        <f t="shared" si="3"/>
        <v>1</v>
      </c>
      <c r="AB13" s="1383">
        <f t="shared" si="4"/>
        <v>1.0204081632653061</v>
      </c>
      <c r="AC13" s="1383">
        <f t="shared" si="5"/>
        <v>1</v>
      </c>
    </row>
    <row r="14" spans="1:29" s="1117" customFormat="1" ht="15">
      <c r="A14" s="2396"/>
      <c r="B14" s="2402">
        <v>111</v>
      </c>
      <c r="C14" s="497"/>
      <c r="D14" s="507">
        <v>100</v>
      </c>
      <c r="E14" s="510"/>
      <c r="F14" s="245">
        <f>SUMIF(78:78,E14,79:79)-SUMIF(78:78,C14,79:79)+100</f>
        <v>100</v>
      </c>
      <c r="G14" s="511"/>
      <c r="H14" s="245">
        <f>SUMIF(78:78,G14,79:79)-SUMIF(78:78,C14,79:79)+100</f>
        <v>100</v>
      </c>
      <c r="I14" s="510"/>
      <c r="J14" s="245">
        <f>SUMIF(78:78,I14,79:79)-SUMIF(78:78,C14,79:79)+100</f>
        <v>100</v>
      </c>
      <c r="K14" s="500"/>
      <c r="L14" s="1857"/>
      <c r="M14" s="1858"/>
      <c r="N14" s="1858"/>
      <c r="O14" s="1859"/>
      <c r="P14" s="3863"/>
      <c r="Q14" s="1049">
        <f t="shared" si="6"/>
        <v>111</v>
      </c>
      <c r="R14" s="1380" t="s">
        <v>5</v>
      </c>
      <c r="S14" s="1381">
        <f t="shared" si="0"/>
        <v>100</v>
      </c>
      <c r="T14" s="1380" t="s">
        <v>5</v>
      </c>
      <c r="U14" s="1381">
        <f t="shared" si="1"/>
        <v>100</v>
      </c>
      <c r="V14" s="1380" t="s">
        <v>5</v>
      </c>
      <c r="W14" s="1381">
        <f t="shared" si="2"/>
        <v>100</v>
      </c>
      <c r="X14" s="1382"/>
      <c r="Y14" s="3811"/>
      <c r="Z14" s="1048">
        <f t="shared" si="7"/>
        <v>111</v>
      </c>
      <c r="AA14" s="1383">
        <f>D14/F14</f>
        <v>1</v>
      </c>
      <c r="AB14" s="1383">
        <f>D14/H14</f>
        <v>1</v>
      </c>
      <c r="AC14" s="1383">
        <f>D14/J14</f>
        <v>1</v>
      </c>
    </row>
    <row r="15" spans="1:29" ht="15">
      <c r="A15" s="2396"/>
      <c r="B15" s="2402">
        <v>111</v>
      </c>
      <c r="C15" s="508"/>
      <c r="D15" s="509">
        <v>100</v>
      </c>
      <c r="E15" s="510"/>
      <c r="F15" s="245">
        <f>SUMIF(80:80,E15,81:81)-SUMIF(80:80,C15,81:81)+100</f>
        <v>100</v>
      </c>
      <c r="G15" s="511"/>
      <c r="H15" s="509">
        <f>SUMIF(80:80,G15,81:81)-SUMIF(80:80,C15,81:81)+100</f>
        <v>100</v>
      </c>
      <c r="I15" s="510"/>
      <c r="J15" s="509">
        <f>SUMIF(80:80,I15,81:81)-SUMIF(80:80,C15,81:81)+100</f>
        <v>100</v>
      </c>
      <c r="K15" s="500"/>
      <c r="L15" s="1864"/>
      <c r="M15" s="1856"/>
      <c r="N15" s="1856"/>
      <c r="O15" s="1863"/>
      <c r="P15" s="3863"/>
      <c r="Q15" s="1049">
        <f t="shared" si="6"/>
        <v>111</v>
      </c>
      <c r="R15" s="1380" t="s">
        <v>5</v>
      </c>
      <c r="S15" s="1381">
        <f t="shared" si="0"/>
        <v>100</v>
      </c>
      <c r="T15" s="1380" t="s">
        <v>5</v>
      </c>
      <c r="U15" s="1381">
        <f t="shared" si="1"/>
        <v>100</v>
      </c>
      <c r="V15" s="1380" t="s">
        <v>5</v>
      </c>
      <c r="W15" s="1381">
        <f t="shared" si="2"/>
        <v>100</v>
      </c>
      <c r="X15" s="1382"/>
      <c r="Y15" s="3811"/>
      <c r="Z15" s="1048">
        <f t="shared" si="7"/>
        <v>111</v>
      </c>
      <c r="AA15" s="1383">
        <f t="shared" si="3"/>
        <v>1</v>
      </c>
      <c r="AB15" s="1383">
        <f t="shared" si="4"/>
        <v>1</v>
      </c>
      <c r="AC15" s="1383">
        <f t="shared" si="5"/>
        <v>1</v>
      </c>
    </row>
    <row r="16" spans="1:29" ht="15.75" thickBot="1">
      <c r="A16" s="2397"/>
      <c r="B16" s="2403">
        <v>111</v>
      </c>
      <c r="C16" s="514"/>
      <c r="D16" s="515">
        <v>100</v>
      </c>
      <c r="E16" s="510"/>
      <c r="F16" s="515">
        <f>SUMIF(82:82,E16,83:83)-SUMIF(82:82,C16,83:83)+100</f>
        <v>100</v>
      </c>
      <c r="G16" s="511"/>
      <c r="H16" s="515">
        <f>SUMIF(82:82,G16,83:83)-SUMIF(82:82,C16,83:83)+100</f>
        <v>100</v>
      </c>
      <c r="I16" s="510"/>
      <c r="J16" s="515">
        <f>SUMIF(82:82,I16,83:83)-SUMIF(82:82,C16,83:83)+100</f>
        <v>100</v>
      </c>
      <c r="K16" s="500"/>
      <c r="L16" s="1864"/>
      <c r="M16" s="1856"/>
      <c r="N16" s="1856"/>
      <c r="O16" s="1863"/>
      <c r="P16" s="3863"/>
      <c r="Q16" s="1049">
        <f t="shared" si="6"/>
        <v>111</v>
      </c>
      <c r="R16" s="1380" t="s">
        <v>5</v>
      </c>
      <c r="S16" s="1381">
        <f t="shared" si="0"/>
        <v>100</v>
      </c>
      <c r="T16" s="1380" t="s">
        <v>5</v>
      </c>
      <c r="U16" s="1381">
        <f t="shared" si="1"/>
        <v>100</v>
      </c>
      <c r="V16" s="1380" t="s">
        <v>5</v>
      </c>
      <c r="W16" s="1381">
        <f t="shared" si="2"/>
        <v>100</v>
      </c>
      <c r="X16" s="1382"/>
      <c r="Y16" s="3811"/>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8">
        <v>100</v>
      </c>
      <c r="E17" s="519"/>
      <c r="F17" s="518">
        <f>SUMIF(84:84,E18,85:85)-SUMIF(84:84,C18,85:85)+100</f>
        <v>103</v>
      </c>
      <c r="G17" s="519"/>
      <c r="H17" s="518">
        <f>SUMIF(84:84,G18,85:85)-SUMIF(84:84,C18,85:85)+100</f>
        <v>103</v>
      </c>
      <c r="I17" s="521"/>
      <c r="J17" s="518">
        <f>SUMIF(84:84,I18,85:85)-SUMIF(84:84,C18,85:85)+100</f>
        <v>103</v>
      </c>
      <c r="K17" s="504">
        <v>3</v>
      </c>
      <c r="L17" s="1864"/>
      <c r="M17" s="1856"/>
      <c r="N17" s="1856"/>
      <c r="O17" s="1863"/>
      <c r="P17" s="3865" t="s">
        <v>489</v>
      </c>
      <c r="Q17" s="1384" t="str">
        <f t="shared" si="6"/>
        <v>产业集聚程度</v>
      </c>
      <c r="R17" s="1385" t="s">
        <v>5</v>
      </c>
      <c r="S17" s="1386">
        <f t="shared" si="0"/>
        <v>103</v>
      </c>
      <c r="T17" s="1385" t="s">
        <v>5</v>
      </c>
      <c r="U17" s="1386">
        <f t="shared" si="1"/>
        <v>103</v>
      </c>
      <c r="V17" s="1385" t="s">
        <v>5</v>
      </c>
      <c r="W17" s="1386">
        <f t="shared" si="2"/>
        <v>103</v>
      </c>
      <c r="X17" s="1379"/>
      <c r="Y17" s="3865" t="s">
        <v>489</v>
      </c>
      <c r="Z17" s="1387" t="str">
        <f t="shared" si="7"/>
        <v>产业集聚程度</v>
      </c>
      <c r="AA17" s="1388">
        <f t="shared" si="3"/>
        <v>0.970873786407767</v>
      </c>
      <c r="AB17" s="1388">
        <f t="shared" si="4"/>
        <v>0.970873786407767</v>
      </c>
      <c r="AC17" s="1388">
        <f t="shared" si="5"/>
        <v>0.970873786407767</v>
      </c>
    </row>
    <row r="18" spans="1:29" ht="15">
      <c r="A18" s="501"/>
      <c r="B18" s="831"/>
      <c r="C18" s="545" t="s">
        <v>3286</v>
      </c>
      <c r="D18" s="524"/>
      <c r="E18" s="523" t="s">
        <v>3285</v>
      </c>
      <c r="F18" s="524"/>
      <c r="G18" s="523" t="s">
        <v>3285</v>
      </c>
      <c r="H18" s="528"/>
      <c r="I18" s="523" t="s">
        <v>3285</v>
      </c>
      <c r="J18" s="524"/>
      <c r="K18" s="500"/>
      <c r="L18" s="1864"/>
      <c r="M18" s="1856"/>
      <c r="N18" s="1856"/>
      <c r="O18" s="1863"/>
      <c r="P18" s="3866"/>
      <c r="Q18" s="1384"/>
      <c r="R18" s="1385"/>
      <c r="S18" s="1386"/>
      <c r="T18" s="1385"/>
      <c r="U18" s="1386"/>
      <c r="V18" s="1385"/>
      <c r="W18" s="1386"/>
      <c r="X18" s="1379"/>
      <c r="Y18" s="3866"/>
      <c r="Z18" s="1387"/>
      <c r="AA18" s="1388">
        <v>1</v>
      </c>
      <c r="AB18" s="1388">
        <v>1</v>
      </c>
      <c r="AC18" s="1388">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102</v>
      </c>
      <c r="G19" s="531"/>
      <c r="H19" s="534">
        <f>SUMIF(86:86,G20,87:87)-SUMIF(86:86,C20,87:87)+100</f>
        <v>102</v>
      </c>
      <c r="I19" s="533"/>
      <c r="J19" s="528">
        <f>SUMIF(86:86,I20,87:87)-SUMIF(86:86,C20,87:87)+100</f>
        <v>102</v>
      </c>
      <c r="K19" s="504">
        <v>2</v>
      </c>
      <c r="L19" s="1864"/>
      <c r="M19" s="1856"/>
      <c r="N19" s="1856"/>
      <c r="O19" s="1863"/>
      <c r="P19" s="3866"/>
      <c r="Q19" s="1384" t="str">
        <f>B19</f>
        <v>交通便捷度</v>
      </c>
      <c r="R19" s="1385" t="s">
        <v>5</v>
      </c>
      <c r="S19" s="1386">
        <f>F19</f>
        <v>102</v>
      </c>
      <c r="T19" s="1385" t="s">
        <v>5</v>
      </c>
      <c r="U19" s="1386">
        <f>H19</f>
        <v>102</v>
      </c>
      <c r="V19" s="1385" t="s">
        <v>5</v>
      </c>
      <c r="W19" s="1386">
        <f>J19</f>
        <v>102</v>
      </c>
      <c r="X19" s="1379"/>
      <c r="Y19" s="3866"/>
      <c r="Z19" s="1387" t="str">
        <f>Q19</f>
        <v>交通便捷度</v>
      </c>
      <c r="AA19" s="1388">
        <f t="shared" si="3"/>
        <v>0.98039215686274506</v>
      </c>
      <c r="AB19" s="1388">
        <f t="shared" si="4"/>
        <v>0.98039215686274506</v>
      </c>
      <c r="AC19" s="1388">
        <f t="shared" si="5"/>
        <v>0.98039215686274506</v>
      </c>
    </row>
    <row r="20" spans="1:29" ht="15">
      <c r="A20" s="501"/>
      <c r="B20" s="884"/>
      <c r="C20" s="523" t="s">
        <v>3286</v>
      </c>
      <c r="D20" s="524"/>
      <c r="E20" s="523" t="s">
        <v>3285</v>
      </c>
      <c r="F20" s="524"/>
      <c r="G20" s="523" t="s">
        <v>3285</v>
      </c>
      <c r="H20" s="524"/>
      <c r="I20" s="523" t="s">
        <v>3285</v>
      </c>
      <c r="J20" s="524"/>
      <c r="K20" s="500"/>
      <c r="L20" s="1864"/>
      <c r="M20" s="1856"/>
      <c r="N20" s="1856"/>
      <c r="O20" s="1863"/>
      <c r="P20" s="3866"/>
      <c r="Q20" s="1384"/>
      <c r="R20" s="1385"/>
      <c r="S20" s="1386"/>
      <c r="T20" s="1385"/>
      <c r="U20" s="1386"/>
      <c r="V20" s="1385"/>
      <c r="W20" s="1386"/>
      <c r="X20" s="1379"/>
      <c r="Y20" s="3866"/>
      <c r="Z20" s="1387"/>
      <c r="AA20" s="1388">
        <v>1</v>
      </c>
      <c r="AB20" s="1388">
        <v>1</v>
      </c>
      <c r="AC20" s="1388">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4"/>
      <c r="M21" s="1856"/>
      <c r="N21" s="1856"/>
      <c r="O21" s="1863"/>
      <c r="P21" s="3866"/>
      <c r="Q21" s="1384" t="str">
        <f t="shared" ref="Q21:Q35" si="8">B21</f>
        <v>区域土地利用方向</v>
      </c>
      <c r="R21" s="1385" t="s">
        <v>5</v>
      </c>
      <c r="S21" s="1386">
        <f>F21</f>
        <v>100</v>
      </c>
      <c r="T21" s="1385" t="s">
        <v>5</v>
      </c>
      <c r="U21" s="1386">
        <f>H21</f>
        <v>100</v>
      </c>
      <c r="V21" s="1385" t="s">
        <v>5</v>
      </c>
      <c r="W21" s="1386">
        <f>J21</f>
        <v>100</v>
      </c>
      <c r="X21" s="1379"/>
      <c r="Y21" s="3866"/>
      <c r="Z21" s="1387" t="str">
        <f>Q21</f>
        <v>区域土地利用方向</v>
      </c>
      <c r="AA21" s="1388">
        <f t="shared" si="3"/>
        <v>1</v>
      </c>
      <c r="AB21" s="1388">
        <f t="shared" si="4"/>
        <v>1</v>
      </c>
      <c r="AC21" s="1388">
        <f t="shared" si="5"/>
        <v>1</v>
      </c>
    </row>
    <row r="22" spans="1:29" ht="15">
      <c r="A22" s="484"/>
      <c r="B22" s="564"/>
      <c r="C22" s="545" t="s">
        <v>3285</v>
      </c>
      <c r="D22" s="524"/>
      <c r="E22" s="525" t="s">
        <v>3285</v>
      </c>
      <c r="F22" s="526"/>
      <c r="G22" s="527" t="s">
        <v>3285</v>
      </c>
      <c r="H22" s="526"/>
      <c r="I22" s="527" t="s">
        <v>3285</v>
      </c>
      <c r="J22" s="526"/>
      <c r="K22" s="1207"/>
      <c r="L22" s="1864"/>
      <c r="M22" s="1856"/>
      <c r="N22" s="1856"/>
      <c r="O22" s="1863"/>
      <c r="P22" s="3866"/>
      <c r="Q22" s="1384"/>
      <c r="R22" s="1385"/>
      <c r="S22" s="1386"/>
      <c r="T22" s="1385"/>
      <c r="U22" s="1386"/>
      <c r="V22" s="1385"/>
      <c r="W22" s="1386"/>
      <c r="X22" s="1379"/>
      <c r="Y22" s="3866"/>
      <c r="Z22" s="1387"/>
      <c r="AA22" s="1388"/>
      <c r="AB22" s="1388"/>
      <c r="AC22" s="1388"/>
    </row>
    <row r="23" spans="1:29" ht="71.25">
      <c r="A23" s="484"/>
      <c r="B23" s="884"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v>2</v>
      </c>
      <c r="L23" s="1864"/>
      <c r="M23" s="1856"/>
      <c r="N23" s="1856"/>
      <c r="O23" s="1863"/>
      <c r="P23" s="3866"/>
      <c r="Q23" s="1384" t="str">
        <f t="shared" si="8"/>
        <v>环境状况</v>
      </c>
      <c r="R23" s="1385" t="s">
        <v>5</v>
      </c>
      <c r="S23" s="1386">
        <f>F23</f>
        <v>100</v>
      </c>
      <c r="T23" s="1385" t="s">
        <v>5</v>
      </c>
      <c r="U23" s="1386">
        <f>H23</f>
        <v>100</v>
      </c>
      <c r="V23" s="1385" t="s">
        <v>5</v>
      </c>
      <c r="W23" s="1386">
        <f>J23</f>
        <v>100</v>
      </c>
      <c r="X23" s="1379"/>
      <c r="Y23" s="3866"/>
      <c r="Z23" s="1387" t="str">
        <f>Q23</f>
        <v>环境状况</v>
      </c>
      <c r="AA23" s="1388">
        <f t="shared" si="3"/>
        <v>1</v>
      </c>
      <c r="AB23" s="1388">
        <f t="shared" si="4"/>
        <v>1</v>
      </c>
      <c r="AC23" s="1388">
        <f t="shared" si="5"/>
        <v>1</v>
      </c>
    </row>
    <row r="24" spans="1:29" ht="15">
      <c r="A24" s="484"/>
      <c r="B24" s="564"/>
      <c r="C24" s="545" t="s">
        <v>3285</v>
      </c>
      <c r="D24" s="524"/>
      <c r="E24" s="545" t="s">
        <v>3285</v>
      </c>
      <c r="F24" s="524"/>
      <c r="G24" s="545" t="s">
        <v>3285</v>
      </c>
      <c r="H24" s="524"/>
      <c r="I24" s="545" t="s">
        <v>3285</v>
      </c>
      <c r="J24" s="524"/>
      <c r="K24" s="500"/>
      <c r="L24" s="1864"/>
      <c r="M24" s="1856"/>
      <c r="N24" s="1856"/>
      <c r="O24" s="1863"/>
      <c r="P24" s="3866"/>
      <c r="Q24" s="1384"/>
      <c r="R24" s="1385"/>
      <c r="S24" s="1386"/>
      <c r="T24" s="1385"/>
      <c r="U24" s="1386"/>
      <c r="V24" s="1385"/>
      <c r="W24" s="1386"/>
      <c r="X24" s="1379"/>
      <c r="Y24" s="3866"/>
      <c r="Z24" s="1387"/>
      <c r="AA24" s="1388">
        <v>1</v>
      </c>
      <c r="AB24" s="1388">
        <v>1</v>
      </c>
      <c r="AC24" s="1388">
        <v>1</v>
      </c>
    </row>
    <row r="25" spans="1:29" s="1117" customFormat="1" ht="42.75">
      <c r="A25" s="546"/>
      <c r="B25" s="2200" t="s">
        <v>1831</v>
      </c>
      <c r="C25" s="834" t="str">
        <f>估价对象房地状况!G19</f>
        <v>估价对象所在区域公共配套设施齐备情况</v>
      </c>
      <c r="D25" s="528">
        <v>100</v>
      </c>
      <c r="E25" s="531"/>
      <c r="F25" s="528">
        <f>SUMIF(92:92,E26,93:93)-SUMIF(92:92,C26,93:93)+100</f>
        <v>102</v>
      </c>
      <c r="G25" s="531"/>
      <c r="H25" s="528">
        <f>SUMIF(92:92,G26,93:93)-SUMIF(92:92,C26,93:93)+100</f>
        <v>102</v>
      </c>
      <c r="I25" s="533"/>
      <c r="J25" s="528">
        <f>SUMIF(92:92,I26,93:93)-SUMIF(92:92,C26,93:93)+100</f>
        <v>102</v>
      </c>
      <c r="K25" s="504">
        <v>2</v>
      </c>
      <c r="L25" s="1857"/>
      <c r="M25" s="1858"/>
      <c r="N25" s="1858"/>
      <c r="O25" s="1859"/>
      <c r="P25" s="3866"/>
      <c r="Q25" s="1049" t="str">
        <f t="shared" si="8"/>
        <v>公共配套设施</v>
      </c>
      <c r="R25" s="1380" t="s">
        <v>5</v>
      </c>
      <c r="S25" s="1381">
        <f>F25</f>
        <v>102</v>
      </c>
      <c r="T25" s="1380" t="s">
        <v>5</v>
      </c>
      <c r="U25" s="1381">
        <f>H25</f>
        <v>102</v>
      </c>
      <c r="V25" s="1380" t="s">
        <v>5</v>
      </c>
      <c r="W25" s="1381">
        <f>J25</f>
        <v>102</v>
      </c>
      <c r="X25" s="1382"/>
      <c r="Y25" s="3866"/>
      <c r="Z25" s="1048" t="str">
        <f>Q25</f>
        <v>公共配套设施</v>
      </c>
      <c r="AA25" s="1388">
        <f>D25/F25</f>
        <v>0.98039215686274506</v>
      </c>
      <c r="AB25" s="1388">
        <f>D25/H25</f>
        <v>0.98039215686274506</v>
      </c>
      <c r="AC25" s="1388">
        <f>D25/J25</f>
        <v>0.98039215686274506</v>
      </c>
    </row>
    <row r="26" spans="1:29" s="1117" customFormat="1" ht="15">
      <c r="A26" s="546"/>
      <c r="B26" s="564"/>
      <c r="C26" s="2199" t="s">
        <v>3286</v>
      </c>
      <c r="D26" s="524"/>
      <c r="E26" s="523" t="s">
        <v>3285</v>
      </c>
      <c r="F26" s="524"/>
      <c r="G26" s="523" t="s">
        <v>3285</v>
      </c>
      <c r="H26" s="524"/>
      <c r="I26" s="523" t="s">
        <v>3285</v>
      </c>
      <c r="J26" s="524"/>
      <c r="K26" s="500"/>
      <c r="L26" s="1857"/>
      <c r="M26" s="1858"/>
      <c r="N26" s="1858"/>
      <c r="O26" s="1859"/>
      <c r="P26" s="3866"/>
      <c r="Q26" s="1049"/>
      <c r="R26" s="1380"/>
      <c r="S26" s="1381"/>
      <c r="T26" s="1380"/>
      <c r="U26" s="1381"/>
      <c r="V26" s="1380"/>
      <c r="W26" s="1381"/>
      <c r="X26" s="1382"/>
      <c r="Y26" s="3866"/>
      <c r="Z26" s="1048"/>
      <c r="AA26" s="1383">
        <v>1</v>
      </c>
      <c r="AB26" s="1383">
        <v>1</v>
      </c>
      <c r="AC26" s="1383">
        <v>1</v>
      </c>
    </row>
    <row r="27" spans="1:29" s="1117" customFormat="1" ht="28.5">
      <c r="A27" s="546"/>
      <c r="B27" s="2200"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v>2</v>
      </c>
      <c r="L27" s="1857"/>
      <c r="M27" s="1858"/>
      <c r="N27" s="1858"/>
      <c r="O27" s="1859"/>
      <c r="P27" s="3866"/>
      <c r="Q27" s="2191" t="str">
        <f>B27</f>
        <v>基础设施水平</v>
      </c>
      <c r="R27" s="1380" t="s">
        <v>5</v>
      </c>
      <c r="S27" s="1381">
        <f>F27</f>
        <v>100</v>
      </c>
      <c r="T27" s="1380" t="s">
        <v>5</v>
      </c>
      <c r="U27" s="1381">
        <f>H27</f>
        <v>100</v>
      </c>
      <c r="V27" s="1380" t="s">
        <v>5</v>
      </c>
      <c r="W27" s="1381">
        <f>J27</f>
        <v>100</v>
      </c>
      <c r="X27" s="1382"/>
      <c r="Y27" s="3866"/>
      <c r="Z27" s="2190" t="str">
        <f>Q27</f>
        <v>基础设施水平</v>
      </c>
      <c r="AA27" s="1388">
        <f>D27/F27</f>
        <v>1</v>
      </c>
      <c r="AB27" s="1388">
        <f>D27/H27</f>
        <v>1</v>
      </c>
      <c r="AC27" s="1388">
        <f>D27/J27</f>
        <v>1</v>
      </c>
    </row>
    <row r="28" spans="1:29" s="1117" customFormat="1" ht="15">
      <c r="A28" s="546"/>
      <c r="B28" s="564"/>
      <c r="C28" s="2199" t="s">
        <v>3505</v>
      </c>
      <c r="D28" s="524"/>
      <c r="E28" s="2199" t="s">
        <v>3505</v>
      </c>
      <c r="F28" s="524"/>
      <c r="G28" s="2199" t="s">
        <v>3505</v>
      </c>
      <c r="H28" s="524"/>
      <c r="I28" s="2199" t="s">
        <v>3505</v>
      </c>
      <c r="J28" s="524"/>
      <c r="K28" s="500"/>
      <c r="L28" s="1857"/>
      <c r="M28" s="1858"/>
      <c r="N28" s="1858"/>
      <c r="O28" s="1859"/>
      <c r="P28" s="3866"/>
      <c r="Q28" s="2191"/>
      <c r="R28" s="1380"/>
      <c r="S28" s="1381"/>
      <c r="T28" s="1380"/>
      <c r="U28" s="1381"/>
      <c r="V28" s="1380"/>
      <c r="W28" s="1381"/>
      <c r="X28" s="1382"/>
      <c r="Y28" s="3866"/>
      <c r="Z28" s="2190"/>
      <c r="AA28" s="1383">
        <v>1</v>
      </c>
      <c r="AB28" s="1383">
        <v>1</v>
      </c>
      <c r="AC28" s="1383">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4"/>
      <c r="M29" s="1856"/>
      <c r="N29" s="1856"/>
      <c r="O29" s="1863"/>
      <c r="P29" s="386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66"/>
      <c r="Z29" s="1387" t="str">
        <f t="shared" ref="Z29:Z42" si="12">Q29</f>
        <v>临街状况</v>
      </c>
      <c r="AA29" s="1388">
        <f t="shared" si="3"/>
        <v>1</v>
      </c>
      <c r="AB29" s="1388">
        <f t="shared" si="4"/>
        <v>1</v>
      </c>
      <c r="AC29" s="1388">
        <f t="shared" si="5"/>
        <v>1</v>
      </c>
    </row>
    <row r="30" spans="1:29" ht="27">
      <c r="A30" s="501"/>
      <c r="B30" s="884" t="s">
        <v>497</v>
      </c>
      <c r="C30" s="2202">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4"/>
      <c r="M30" s="1856"/>
      <c r="N30" s="1856"/>
      <c r="O30" s="1863"/>
      <c r="P30" s="3866"/>
      <c r="Q30" s="1384" t="str">
        <f t="shared" si="8"/>
        <v>毗邻道路的类型与等级</v>
      </c>
      <c r="R30" s="1385" t="s">
        <v>5</v>
      </c>
      <c r="S30" s="1386">
        <f t="shared" si="9"/>
        <v>100</v>
      </c>
      <c r="T30" s="1385" t="s">
        <v>5</v>
      </c>
      <c r="U30" s="1386">
        <f t="shared" si="10"/>
        <v>100</v>
      </c>
      <c r="V30" s="1385" t="s">
        <v>5</v>
      </c>
      <c r="W30" s="1386">
        <f t="shared" si="11"/>
        <v>100</v>
      </c>
      <c r="X30" s="1379"/>
      <c r="Y30" s="3866"/>
      <c r="Z30" s="1387" t="str">
        <f t="shared" si="12"/>
        <v>毗邻道路的类型与等级</v>
      </c>
      <c r="AA30" s="1388">
        <f t="shared" si="3"/>
        <v>1</v>
      </c>
      <c r="AB30" s="1388">
        <f t="shared" si="4"/>
        <v>1</v>
      </c>
      <c r="AC30" s="1388">
        <f t="shared" si="5"/>
        <v>1</v>
      </c>
    </row>
    <row r="31" spans="1:29" ht="15">
      <c r="A31" s="501"/>
      <c r="B31" s="564"/>
      <c r="C31" s="545"/>
      <c r="D31" s="524"/>
      <c r="E31" s="545"/>
      <c r="F31" s="524"/>
      <c r="G31" s="545"/>
      <c r="H31" s="524"/>
      <c r="I31" s="545"/>
      <c r="J31" s="524"/>
      <c r="K31" s="550"/>
      <c r="L31" s="1864"/>
      <c r="M31" s="1856"/>
      <c r="N31" s="1856"/>
      <c r="O31" s="1863"/>
      <c r="P31" s="3866"/>
      <c r="Q31" s="1384"/>
      <c r="R31" s="1385"/>
      <c r="S31" s="1386"/>
      <c r="T31" s="1385"/>
      <c r="U31" s="1386"/>
      <c r="V31" s="1385"/>
      <c r="W31" s="1386"/>
      <c r="X31" s="1379"/>
      <c r="Y31" s="3866"/>
      <c r="Z31" s="1387"/>
      <c r="AA31" s="1388">
        <v>1</v>
      </c>
      <c r="AB31" s="1388">
        <v>1</v>
      </c>
      <c r="AC31" s="1388">
        <v>1</v>
      </c>
    </row>
    <row r="32" spans="1:29" ht="15">
      <c r="A32" s="501"/>
      <c r="B32" s="496" t="s">
        <v>498</v>
      </c>
      <c r="C32" s="2203">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4"/>
      <c r="M32" s="1856"/>
      <c r="N32" s="1856"/>
      <c r="O32" s="1863"/>
      <c r="P32" s="3866"/>
      <c r="Q32" s="1384" t="str">
        <f t="shared" si="8"/>
        <v>土地级别</v>
      </c>
      <c r="R32" s="1385" t="s">
        <v>5</v>
      </c>
      <c r="S32" s="1386">
        <f t="shared" si="9"/>
        <v>100</v>
      </c>
      <c r="T32" s="1385" t="s">
        <v>5</v>
      </c>
      <c r="U32" s="1386">
        <f t="shared" si="10"/>
        <v>100</v>
      </c>
      <c r="V32" s="1385" t="s">
        <v>5</v>
      </c>
      <c r="W32" s="1386">
        <f t="shared" si="11"/>
        <v>100</v>
      </c>
      <c r="X32" s="1379"/>
      <c r="Y32" s="3866"/>
      <c r="Z32" s="1387" t="str">
        <f t="shared" si="12"/>
        <v>土地级别</v>
      </c>
      <c r="AA32" s="1388">
        <f t="shared" si="3"/>
        <v>1</v>
      </c>
      <c r="AB32" s="1388">
        <f t="shared" si="4"/>
        <v>1</v>
      </c>
      <c r="AC32" s="1388">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4"/>
      <c r="M33" s="1856"/>
      <c r="N33" s="1856"/>
      <c r="O33" s="1863"/>
      <c r="P33" s="3866"/>
      <c r="Q33" s="1384">
        <f t="shared" si="8"/>
        <v>111</v>
      </c>
      <c r="R33" s="1385" t="s">
        <v>5</v>
      </c>
      <c r="S33" s="1386">
        <f t="shared" si="9"/>
        <v>100</v>
      </c>
      <c r="T33" s="1385" t="s">
        <v>5</v>
      </c>
      <c r="U33" s="1386">
        <f t="shared" si="10"/>
        <v>100</v>
      </c>
      <c r="V33" s="1385" t="s">
        <v>5</v>
      </c>
      <c r="W33" s="1386">
        <f t="shared" si="11"/>
        <v>100</v>
      </c>
      <c r="X33" s="1379"/>
      <c r="Y33" s="3866"/>
      <c r="Z33" s="1387">
        <f t="shared" si="12"/>
        <v>111</v>
      </c>
      <c r="AA33" s="1388">
        <f t="shared" si="3"/>
        <v>1</v>
      </c>
      <c r="AB33" s="1388">
        <f t="shared" si="4"/>
        <v>1</v>
      </c>
      <c r="AC33" s="1388">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4"/>
      <c r="M34" s="1856"/>
      <c r="N34" s="1856"/>
      <c r="O34" s="1863"/>
      <c r="P34" s="3867" t="s">
        <v>499</v>
      </c>
      <c r="Q34" s="1384">
        <f t="shared" si="8"/>
        <v>111</v>
      </c>
      <c r="R34" s="1385" t="s">
        <v>5</v>
      </c>
      <c r="S34" s="1386">
        <f t="shared" si="9"/>
        <v>100</v>
      </c>
      <c r="T34" s="1385" t="s">
        <v>5</v>
      </c>
      <c r="U34" s="1386">
        <f t="shared" si="10"/>
        <v>100</v>
      </c>
      <c r="V34" s="1385" t="s">
        <v>5</v>
      </c>
      <c r="W34" s="1386">
        <f t="shared" si="11"/>
        <v>100</v>
      </c>
      <c r="X34" s="1379"/>
      <c r="Y34" s="3868" t="s">
        <v>499</v>
      </c>
      <c r="Z34" s="1387">
        <f t="shared" si="12"/>
        <v>111</v>
      </c>
      <c r="AA34" s="1388">
        <f t="shared" si="3"/>
        <v>1</v>
      </c>
      <c r="AB34" s="1388">
        <f t="shared" si="4"/>
        <v>1</v>
      </c>
      <c r="AC34" s="1388">
        <f t="shared" si="5"/>
        <v>1</v>
      </c>
    </row>
    <row r="35" spans="1:29" s="1199" customFormat="1" ht="15.75" thickBot="1">
      <c r="A35" s="558"/>
      <c r="B35" s="2201">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2"/>
      <c r="M35" s="1892"/>
      <c r="N35" s="1892"/>
      <c r="O35" s="1865"/>
      <c r="P35" s="3868"/>
      <c r="Q35" s="1384">
        <f t="shared" si="8"/>
        <v>111</v>
      </c>
      <c r="R35" s="1389" t="s">
        <v>5</v>
      </c>
      <c r="S35" s="1390">
        <f t="shared" si="9"/>
        <v>100</v>
      </c>
      <c r="T35" s="1389" t="s">
        <v>5</v>
      </c>
      <c r="U35" s="1390">
        <f t="shared" si="10"/>
        <v>100</v>
      </c>
      <c r="V35" s="1389" t="s">
        <v>5</v>
      </c>
      <c r="W35" s="1390">
        <f t="shared" si="11"/>
        <v>100</v>
      </c>
      <c r="X35" s="1391"/>
      <c r="Y35" s="3868"/>
      <c r="Z35" s="1392">
        <f t="shared" si="12"/>
        <v>111</v>
      </c>
      <c r="AA35" s="1388">
        <f t="shared" si="3"/>
        <v>1</v>
      </c>
      <c r="AB35" s="1388">
        <f t="shared" si="4"/>
        <v>1</v>
      </c>
      <c r="AC35" s="1388">
        <f t="shared" si="5"/>
        <v>1</v>
      </c>
    </row>
    <row r="36" spans="1:29" ht="15">
      <c r="A36" s="2386" t="s">
        <v>2037</v>
      </c>
      <c r="B36" s="564" t="s">
        <v>501</v>
      </c>
      <c r="C36" s="565">
        <f>'数据-基础表'!A3</f>
        <v>5189.7</v>
      </c>
      <c r="D36" s="566">
        <v>100</v>
      </c>
      <c r="E36" s="565">
        <f>Sheet1!E2</f>
        <v>17549.900000000001</v>
      </c>
      <c r="F36" s="566">
        <f>LOOKUP(E36,109:109,110:110)-LOOKUP(C36,109:109,110:110)+100</f>
        <v>100</v>
      </c>
      <c r="G36" s="565">
        <f>Sheet1!E3</f>
        <v>72656</v>
      </c>
      <c r="H36" s="566">
        <f>LOOKUP(G36,109:109,110:110)-LOOKUP(C36,109:109,110:110)+100</f>
        <v>96</v>
      </c>
      <c r="I36" s="567">
        <f>Sheet1!E10</f>
        <v>52522.559999999998</v>
      </c>
      <c r="J36" s="566">
        <f>LOOKUP(I36,109:109,110:110)-LOOKUP(C36,109:109,110:110)+100</f>
        <v>96</v>
      </c>
      <c r="K36" s="550"/>
      <c r="L36" s="1864"/>
      <c r="M36" s="1856"/>
      <c r="N36" s="1856"/>
      <c r="O36" s="1863"/>
      <c r="P36" s="3868"/>
      <c r="Q36" s="1384" t="str">
        <f>B36</f>
        <v>宗地面积</v>
      </c>
      <c r="R36" s="1385" t="s">
        <v>5</v>
      </c>
      <c r="S36" s="1386">
        <f t="shared" si="9"/>
        <v>100</v>
      </c>
      <c r="T36" s="1385" t="s">
        <v>5</v>
      </c>
      <c r="U36" s="1386">
        <f t="shared" si="10"/>
        <v>96</v>
      </c>
      <c r="V36" s="1385" t="s">
        <v>5</v>
      </c>
      <c r="W36" s="1386">
        <f t="shared" si="11"/>
        <v>96</v>
      </c>
      <c r="X36" s="1379"/>
      <c r="Y36" s="3868"/>
      <c r="Z36" s="1387" t="str">
        <f t="shared" si="12"/>
        <v>宗地面积</v>
      </c>
      <c r="AA36" s="1388">
        <f t="shared" si="3"/>
        <v>1</v>
      </c>
      <c r="AB36" s="1388">
        <f t="shared" si="4"/>
        <v>1.0416666666666667</v>
      </c>
      <c r="AC36" s="1388">
        <f t="shared" si="5"/>
        <v>1.0416666666666667</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4"/>
      <c r="M37" s="1856"/>
      <c r="N37" s="1856"/>
      <c r="O37" s="1863"/>
      <c r="P37" s="3868"/>
      <c r="Q37" s="1384" t="str">
        <f t="shared" ref="Q37:Q42" si="13">B37</f>
        <v>宗地形状</v>
      </c>
      <c r="R37" s="1385" t="s">
        <v>5</v>
      </c>
      <c r="S37" s="1386">
        <f t="shared" si="9"/>
        <v>100</v>
      </c>
      <c r="T37" s="1385" t="s">
        <v>5</v>
      </c>
      <c r="U37" s="1386">
        <f t="shared" si="10"/>
        <v>100</v>
      </c>
      <c r="V37" s="1385" t="s">
        <v>5</v>
      </c>
      <c r="W37" s="1386">
        <f t="shared" si="11"/>
        <v>100</v>
      </c>
      <c r="X37" s="1379"/>
      <c r="Y37" s="3868"/>
      <c r="Z37" s="1387" t="str">
        <f t="shared" si="12"/>
        <v>宗地形状</v>
      </c>
      <c r="AA37" s="1388">
        <f t="shared" si="3"/>
        <v>1</v>
      </c>
      <c r="AB37" s="1388">
        <f t="shared" si="4"/>
        <v>1</v>
      </c>
      <c r="AC37" s="1388">
        <f t="shared" si="5"/>
        <v>1</v>
      </c>
    </row>
    <row r="38" spans="1:29" s="1117" customFormat="1" ht="15">
      <c r="A38" s="569"/>
      <c r="B38" s="1650" t="s">
        <v>1776</v>
      </c>
      <c r="C38" s="570" t="s">
        <v>3501</v>
      </c>
      <c r="D38" s="245">
        <v>100</v>
      </c>
      <c r="E38" s="570" t="s">
        <v>3503</v>
      </c>
      <c r="F38" s="509">
        <f>SUMIF(113:113,E38,114:114)-SUMIF(113:113,C38,114:114)+100</f>
        <v>96</v>
      </c>
      <c r="G38" s="570" t="s">
        <v>3503</v>
      </c>
      <c r="H38" s="509">
        <f>SUMIF(113:113,G38,114:114)-SUMIF(113:113,C38,114:114)+100</f>
        <v>96</v>
      </c>
      <c r="I38" s="570" t="s">
        <v>3503</v>
      </c>
      <c r="J38" s="509">
        <f>SUMIF(113:113,I38,114:114)-SUMIF(113:113,C38,114:114)+100</f>
        <v>96</v>
      </c>
      <c r="K38" s="553">
        <v>2</v>
      </c>
      <c r="L38" s="1857"/>
      <c r="M38" s="1858"/>
      <c r="N38" s="1858"/>
      <c r="O38" s="1859"/>
      <c r="P38" s="3868"/>
      <c r="Q38" s="1384" t="str">
        <f t="shared" si="13"/>
        <v>宗地开发程度</v>
      </c>
      <c r="R38" s="1380" t="s">
        <v>5</v>
      </c>
      <c r="S38" s="1381">
        <f t="shared" si="9"/>
        <v>96</v>
      </c>
      <c r="T38" s="1380" t="s">
        <v>5</v>
      </c>
      <c r="U38" s="1381">
        <f t="shared" si="10"/>
        <v>96</v>
      </c>
      <c r="V38" s="1380" t="s">
        <v>5</v>
      </c>
      <c r="W38" s="1381">
        <f t="shared" si="11"/>
        <v>96</v>
      </c>
      <c r="X38" s="1382"/>
      <c r="Y38" s="3868"/>
      <c r="Z38" s="1048" t="str">
        <f t="shared" si="12"/>
        <v>宗地开发程度</v>
      </c>
      <c r="AA38" s="1383">
        <f t="shared" si="3"/>
        <v>1.0416666666666667</v>
      </c>
      <c r="AB38" s="1383">
        <f t="shared" si="4"/>
        <v>1.0416666666666667</v>
      </c>
      <c r="AC38" s="1383">
        <f t="shared" si="5"/>
        <v>1.0416666666666667</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4"/>
      <c r="M39" s="1856"/>
      <c r="N39" s="1856"/>
      <c r="O39" s="1863"/>
      <c r="P39" s="3868" t="s">
        <v>549</v>
      </c>
      <c r="Q39" s="1384" t="str">
        <f t="shared" si="13"/>
        <v>工程地质条件</v>
      </c>
      <c r="R39" s="1385" t="s">
        <v>5</v>
      </c>
      <c r="S39" s="1386">
        <f t="shared" si="9"/>
        <v>100</v>
      </c>
      <c r="T39" s="1385" t="s">
        <v>5</v>
      </c>
      <c r="U39" s="1386">
        <f t="shared" si="10"/>
        <v>100</v>
      </c>
      <c r="V39" s="1385" t="s">
        <v>5</v>
      </c>
      <c r="W39" s="1386">
        <f t="shared" si="11"/>
        <v>100</v>
      </c>
      <c r="X39" s="1379"/>
      <c r="Y39" s="3868" t="s">
        <v>549</v>
      </c>
      <c r="Z39" s="1387" t="str">
        <f t="shared" si="12"/>
        <v>工程地质条件</v>
      </c>
      <c r="AA39" s="1388">
        <f t="shared" si="3"/>
        <v>1</v>
      </c>
      <c r="AB39" s="1388">
        <f t="shared" si="4"/>
        <v>1</v>
      </c>
      <c r="AC39" s="1388">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4"/>
      <c r="M40" s="1856"/>
      <c r="N40" s="1856"/>
      <c r="O40" s="1863"/>
      <c r="P40" s="3868"/>
      <c r="Q40" s="1384">
        <f t="shared" si="13"/>
        <v>111</v>
      </c>
      <c r="R40" s="1385" t="s">
        <v>5</v>
      </c>
      <c r="S40" s="1386">
        <f t="shared" si="9"/>
        <v>100</v>
      </c>
      <c r="T40" s="1385" t="s">
        <v>5</v>
      </c>
      <c r="U40" s="1386">
        <f t="shared" si="10"/>
        <v>100</v>
      </c>
      <c r="V40" s="1385" t="s">
        <v>5</v>
      </c>
      <c r="W40" s="1386">
        <f t="shared" si="11"/>
        <v>100</v>
      </c>
      <c r="X40" s="1379"/>
      <c r="Y40" s="3868"/>
      <c r="Z40" s="1387">
        <f t="shared" si="12"/>
        <v>111</v>
      </c>
      <c r="AA40" s="1388">
        <f t="shared" si="3"/>
        <v>1</v>
      </c>
      <c r="AB40" s="1388">
        <f t="shared" si="4"/>
        <v>1</v>
      </c>
      <c r="AC40" s="1388">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4"/>
      <c r="M41" s="1856"/>
      <c r="N41" s="1856"/>
      <c r="O41" s="1863"/>
      <c r="P41" s="3868"/>
      <c r="Q41" s="1384">
        <f t="shared" si="13"/>
        <v>111</v>
      </c>
      <c r="R41" s="1385" t="s">
        <v>5</v>
      </c>
      <c r="S41" s="1386">
        <f t="shared" si="9"/>
        <v>100</v>
      </c>
      <c r="T41" s="1385" t="s">
        <v>5</v>
      </c>
      <c r="U41" s="1386">
        <f t="shared" si="10"/>
        <v>100</v>
      </c>
      <c r="V41" s="1385" t="s">
        <v>5</v>
      </c>
      <c r="W41" s="1386">
        <f t="shared" si="11"/>
        <v>100</v>
      </c>
      <c r="X41" s="1379"/>
      <c r="Y41" s="3868"/>
      <c r="Z41" s="1387">
        <f t="shared" si="12"/>
        <v>111</v>
      </c>
      <c r="AA41" s="1388">
        <f t="shared" si="3"/>
        <v>1</v>
      </c>
      <c r="AB41" s="1388">
        <f t="shared" si="4"/>
        <v>1</v>
      </c>
      <c r="AC41" s="1388">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2"/>
      <c r="M42" s="1892"/>
      <c r="N42" s="1892"/>
      <c r="O42" s="1865"/>
      <c r="P42" s="3868"/>
      <c r="Q42" s="1384">
        <f t="shared" si="13"/>
        <v>111</v>
      </c>
      <c r="R42" s="1389" t="s">
        <v>5</v>
      </c>
      <c r="S42" s="1390">
        <f t="shared" si="9"/>
        <v>100</v>
      </c>
      <c r="T42" s="1389" t="s">
        <v>5</v>
      </c>
      <c r="U42" s="1390">
        <f t="shared" si="10"/>
        <v>100</v>
      </c>
      <c r="V42" s="1389" t="s">
        <v>5</v>
      </c>
      <c r="W42" s="1390">
        <f t="shared" si="11"/>
        <v>100</v>
      </c>
      <c r="X42" s="1391"/>
      <c r="Y42" s="3868"/>
      <c r="Z42" s="1392">
        <f t="shared" si="12"/>
        <v>111</v>
      </c>
      <c r="AA42" s="1388">
        <f t="shared" si="3"/>
        <v>1</v>
      </c>
      <c r="AB42" s="1388">
        <f t="shared" si="4"/>
        <v>1</v>
      </c>
      <c r="AC42" s="1388">
        <f t="shared" si="5"/>
        <v>1</v>
      </c>
    </row>
    <row r="43" spans="1:29" ht="15">
      <c r="A43" s="576" t="s">
        <v>505</v>
      </c>
      <c r="B43" s="577" t="s">
        <v>3495</v>
      </c>
      <c r="C43" s="578" t="s">
        <v>0</v>
      </c>
      <c r="D43" s="579"/>
      <c r="E43" s="580">
        <f>Sheet1!T2</f>
        <v>1696</v>
      </c>
      <c r="F43" s="581"/>
      <c r="G43" s="582">
        <f>Sheet1!T3</f>
        <v>1870</v>
      </c>
      <c r="H43" s="583"/>
      <c r="I43" s="580">
        <f>Sheet1!T10</f>
        <v>1724</v>
      </c>
      <c r="J43" s="583"/>
      <c r="K43" s="1200"/>
      <c r="L43" s="1866"/>
      <c r="M43" s="1856"/>
      <c r="N43" s="1856"/>
      <c r="O43" s="1867"/>
      <c r="P43" s="3863" t="str">
        <f>A43</f>
        <v>成交单价</v>
      </c>
      <c r="Q43" s="3863"/>
      <c r="R43" s="3879">
        <f>E43</f>
        <v>1696</v>
      </c>
      <c r="S43" s="3879"/>
      <c r="T43" s="3879">
        <f>G43</f>
        <v>1870</v>
      </c>
      <c r="U43" s="3879"/>
      <c r="V43" s="3879">
        <f>I43</f>
        <v>1724</v>
      </c>
      <c r="W43" s="3879"/>
      <c r="X43" s="1374"/>
      <c r="Y43" s="1393"/>
      <c r="Z43" s="1374"/>
      <c r="AA43" s="1374"/>
      <c r="AB43" s="1374"/>
      <c r="AC43" s="1374"/>
    </row>
    <row r="44" spans="1:29" ht="15.75" thickBot="1">
      <c r="A44" s="584" t="s">
        <v>1975</v>
      </c>
      <c r="B44" s="585"/>
      <c r="C44" s="586">
        <f>R45</f>
        <v>1671</v>
      </c>
      <c r="D44" s="2756" t="s">
        <v>2261</v>
      </c>
      <c r="E44" s="586">
        <f>R44</f>
        <v>1541</v>
      </c>
      <c r="F44" s="2757"/>
      <c r="G44" s="587">
        <f>T44</f>
        <v>1815</v>
      </c>
      <c r="H44" s="2757"/>
      <c r="I44" s="586">
        <f>V44</f>
        <v>1656</v>
      </c>
      <c r="J44" s="2757"/>
      <c r="K44" s="2758">
        <f>F44+H44+J44</f>
        <v>0</v>
      </c>
      <c r="L44" s="1866"/>
      <c r="M44" s="1856"/>
      <c r="N44" s="1856"/>
      <c r="O44" s="1867"/>
      <c r="P44" s="3863" t="str">
        <f>A44</f>
        <v>比较价格（元/平方米）</v>
      </c>
      <c r="Q44" s="3863"/>
      <c r="R44" s="3887">
        <f>ROUND(PRODUCT(R43,AA9:AA42),0)</f>
        <v>1541</v>
      </c>
      <c r="S44" s="3887"/>
      <c r="T44" s="3887">
        <f>ROUND(PRODUCT(T43,AB9:AB42),0)</f>
        <v>1815</v>
      </c>
      <c r="U44" s="3887"/>
      <c r="V44" s="3887">
        <f>ROUND(PRODUCT(V43,AC9:AC42),0)</f>
        <v>1656</v>
      </c>
      <c r="W44" s="3887"/>
      <c r="X44" s="1374"/>
      <c r="Y44" s="1374"/>
      <c r="Z44" s="1374"/>
      <c r="AA44" s="1374"/>
      <c r="AB44" s="1374"/>
      <c r="AC44" s="1374"/>
    </row>
    <row r="45" spans="1:29" ht="15.75" thickBot="1">
      <c r="A45" s="588" t="s">
        <v>2198</v>
      </c>
      <c r="B45" s="589"/>
      <c r="C45" s="590">
        <f>R45</f>
        <v>1671</v>
      </c>
      <c r="D45" s="590"/>
      <c r="E45" s="590"/>
      <c r="F45" s="590"/>
      <c r="G45" s="590"/>
      <c r="H45" s="590"/>
      <c r="I45" s="590"/>
      <c r="J45" s="590"/>
      <c r="K45" s="1201"/>
      <c r="L45" s="1866"/>
      <c r="M45" s="1856"/>
      <c r="N45" s="1856"/>
      <c r="O45" s="1867"/>
      <c r="P45" s="3869" t="str">
        <f>A45</f>
        <v>估价对象XX用房的比较价格（楼面单价，元/平方米）</v>
      </c>
      <c r="Q45" s="3870"/>
      <c r="R45" s="3892">
        <f>ROUND(IF(D44="简单平均",AVERAGE(R44:W44),R44*F44+T44*H44+V44*J44),0)</f>
        <v>1671</v>
      </c>
      <c r="S45" s="3892"/>
      <c r="T45" s="3892"/>
      <c r="U45" s="3892"/>
      <c r="V45" s="3892"/>
      <c r="W45" s="3892"/>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1" t="s">
        <v>506</v>
      </c>
      <c r="D48" s="592"/>
      <c r="E48" s="593">
        <f>IF(E43&lt;E44,E44/E43-1,E43/E44-1)</f>
        <v>0.10058403634003898</v>
      </c>
      <c r="F48" s="594" t="str">
        <f>IF(OR(E48&gt;=0.3,E48&lt;=-0.3),"超过30%","")</f>
        <v/>
      </c>
      <c r="G48" s="593">
        <f>IF(G43&lt;G44,G44/G43-1,G43/G44-1)</f>
        <v>3.0303030303030276E-2</v>
      </c>
      <c r="H48" s="594" t="str">
        <f>IF(OR(G48&gt;=0.3,G48&lt;=-0.3),"超过30%","")</f>
        <v/>
      </c>
      <c r="I48" s="593">
        <f>IF(I43&lt;I44,I44/I43-1,I43/I44-1)</f>
        <v>4.106280193236711E-2</v>
      </c>
      <c r="J48" s="594" t="str">
        <f>IF(OR(I48&gt;=0.3,I48&lt;=-0.3),"超过30%","")</f>
        <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1" t="s">
        <v>507</v>
      </c>
      <c r="D49" s="595"/>
      <c r="E49" s="593">
        <f>IF(E44&lt;G44,G44/E44-1,E44/G44-1)</f>
        <v>0.17780661907852036</v>
      </c>
      <c r="F49" s="594" t="str">
        <f>IF(OR(E49&gt;=0.2,E49&lt;=-0.2),"超过20%","")</f>
        <v/>
      </c>
      <c r="G49" s="593">
        <f>IF(G44&lt;I44,I44/G44-1,G44/I44-1)</f>
        <v>9.6014492753623282E-2</v>
      </c>
      <c r="H49" s="594" t="str">
        <f>IF(OR(G49&gt;=0.2,G49&lt;=-0.2),"超过20%","")</f>
        <v/>
      </c>
      <c r="I49" s="593">
        <f>IF(I44&lt;E44,E44/I44-1,I44/E44-1)</f>
        <v>7.4626865671641784E-2</v>
      </c>
      <c r="J49" s="594" t="str">
        <f>IF(OR(I49&gt;=0.2,I49&lt;=-0.2),"超过20%","")</f>
        <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1" t="s">
        <v>508</v>
      </c>
      <c r="D50" s="595"/>
      <c r="E50" s="593">
        <f>IF(E43&lt;G43,G43/E43-1,E43/G43-1)</f>
        <v>0.10259433962264142</v>
      </c>
      <c r="F50" s="594" t="str">
        <f>IF(OR(E50&gt;=0.3,E50&lt;=-0.3),"超过30%","")</f>
        <v/>
      </c>
      <c r="G50" s="593">
        <f>IF(G43&lt;I43,I43/G43-1,G43/I43-1)</f>
        <v>8.468677494199528E-2</v>
      </c>
      <c r="H50" s="594" t="str">
        <f>IF(OR(G50&gt;=0.3,G50&lt;=-0.3),"超过30%","")</f>
        <v/>
      </c>
      <c r="I50" s="593">
        <f>IF(I43&lt;E43,E43/I43-1,I43/E43-1)</f>
        <v>1.6509433962264231E-2</v>
      </c>
      <c r="J50" s="594" t="str">
        <f>IF(OR(I50&gt;=0.3,I50&lt;=-0.3),"超过30%","")</f>
        <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6" t="s">
        <v>509</v>
      </c>
      <c r="B52" s="597" t="s">
        <v>510</v>
      </c>
      <c r="C52" s="1375" t="s">
        <v>1253</v>
      </c>
      <c r="D52" s="1945" t="s">
        <v>1650</v>
      </c>
      <c r="E52" s="598" t="s">
        <v>511</v>
      </c>
      <c r="F52" s="1706" t="s">
        <v>512</v>
      </c>
      <c r="G52" s="3888" t="s">
        <v>1642</v>
      </c>
      <c r="H52" s="3889"/>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0" t="s">
        <v>513</v>
      </c>
      <c r="B53" s="601">
        <f>C45</f>
        <v>1671</v>
      </c>
      <c r="C53" s="602">
        <v>1</v>
      </c>
      <c r="D53" s="1946">
        <v>1</v>
      </c>
      <c r="E53" s="602">
        <f>'数据-汇总表'!E8+'数据-汇总表'!E9</f>
        <v>4519.1100000000006</v>
      </c>
      <c r="F53" s="1705">
        <f t="shared" ref="F53:F61" si="14">ROUND(B53*E53/10000,0)</f>
        <v>755</v>
      </c>
      <c r="G53" s="3890"/>
      <c r="H53" s="3891"/>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4" t="s">
        <v>514</v>
      </c>
      <c r="B54" s="605">
        <f>ROUND($C$45*C54*D54,0)</f>
        <v>0</v>
      </c>
      <c r="C54" s="364">
        <f t="shared" ref="C54:C61" si="15">IF($C$52="北京市系数",I54,J54)</f>
        <v>0</v>
      </c>
      <c r="D54" s="1947">
        <v>0.25</v>
      </c>
      <c r="E54" s="606"/>
      <c r="F54" s="1705">
        <f t="shared" si="14"/>
        <v>0</v>
      </c>
      <c r="G54" s="3278" t="s">
        <v>1643</v>
      </c>
      <c r="H54" s="1709">
        <f>项目基本情况!B43</f>
        <v>0</v>
      </c>
      <c r="I54" s="1708">
        <f>SUMIF(修正!$A$57:$A$68,H54,修正!B57:B68)</f>
        <v>0</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4" t="s">
        <v>515</v>
      </c>
      <c r="B55" s="605">
        <f t="shared" ref="B55:B61" si="16">ROUND($C$45*C55*D55,0)</f>
        <v>0</v>
      </c>
      <c r="C55" s="364">
        <f t="shared" si="15"/>
        <v>0</v>
      </c>
      <c r="D55" s="1947">
        <v>0.25</v>
      </c>
      <c r="E55" s="606"/>
      <c r="F55" s="1705">
        <f t="shared" si="14"/>
        <v>0</v>
      </c>
      <c r="G55" s="3279"/>
      <c r="H55" s="1710">
        <f>项目基本情况!B43</f>
        <v>0</v>
      </c>
      <c r="I55" s="1708">
        <f>SUMIF(修正!$A$57:$A$68,H55,修正!C57:C68)</f>
        <v>0</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4" t="s">
        <v>516</v>
      </c>
      <c r="B56" s="605">
        <f t="shared" si="16"/>
        <v>0</v>
      </c>
      <c r="C56" s="364">
        <f t="shared" si="15"/>
        <v>0</v>
      </c>
      <c r="D56" s="1947">
        <v>0.25</v>
      </c>
      <c r="E56" s="606"/>
      <c r="F56" s="1705">
        <f t="shared" si="14"/>
        <v>0</v>
      </c>
      <c r="G56" s="3279"/>
      <c r="H56" s="1710">
        <f>项目基本情况!B43</f>
        <v>0</v>
      </c>
      <c r="I56" s="1708">
        <f>SUMIF(修正!$A$57:$A$68,H56,修正!D57:D68)</f>
        <v>0</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5">
        <f t="shared" si="16"/>
        <v>0</v>
      </c>
      <c r="C57" s="364">
        <f t="shared" si="15"/>
        <v>0</v>
      </c>
      <c r="D57" s="1947">
        <v>0.25</v>
      </c>
      <c r="E57" s="608">
        <f>'数据-汇总表'!E11</f>
        <v>0</v>
      </c>
      <c r="F57" s="1705">
        <f t="shared" si="14"/>
        <v>0</v>
      </c>
      <c r="G57" s="1711" t="s">
        <v>1644</v>
      </c>
      <c r="H57" s="1710">
        <f>项目基本情况!C43</f>
        <v>0</v>
      </c>
      <c r="I57" s="1708">
        <f>SUMIF(修正!$A$57:$A$68,H57,修正!E57:E68)</f>
        <v>0</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4" t="s">
        <v>517</v>
      </c>
      <c r="B58" s="605">
        <f t="shared" si="16"/>
        <v>0</v>
      </c>
      <c r="C58" s="364">
        <f t="shared" si="15"/>
        <v>0</v>
      </c>
      <c r="D58" s="1947">
        <v>0.25</v>
      </c>
      <c r="E58" s="608">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518</v>
      </c>
      <c r="B59" s="605">
        <f t="shared" si="16"/>
        <v>0</v>
      </c>
      <c r="C59" s="364">
        <f t="shared" si="15"/>
        <v>0</v>
      </c>
      <c r="D59" s="1947">
        <v>0.25</v>
      </c>
      <c r="E59" s="608">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519</v>
      </c>
      <c r="B60" s="605">
        <f t="shared" si="16"/>
        <v>0</v>
      </c>
      <c r="C60" s="364">
        <f t="shared" si="15"/>
        <v>0</v>
      </c>
      <c r="D60" s="1947">
        <v>0.25</v>
      </c>
      <c r="E60" s="608">
        <f>'数据-汇总表'!E14</f>
        <v>0</v>
      </c>
      <c r="F60" s="1705">
        <f t="shared" si="14"/>
        <v>0</v>
      </c>
      <c r="G60" s="1711" t="s">
        <v>1643</v>
      </c>
      <c r="H60" s="1710">
        <f>项目基本情况!B43</f>
        <v>0</v>
      </c>
      <c r="I60" s="1708">
        <f>SUMIF(修正!$A$57:$A$68,H60,修正!G57:G68)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4" t="s">
        <v>520</v>
      </c>
      <c r="B61" s="605">
        <f t="shared" si="16"/>
        <v>0</v>
      </c>
      <c r="C61" s="364">
        <f t="shared" si="15"/>
        <v>0</v>
      </c>
      <c r="D61" s="1947">
        <v>0.25</v>
      </c>
      <c r="E61" s="608">
        <f>'数据-汇总表'!E15</f>
        <v>0</v>
      </c>
      <c r="F61" s="1705">
        <f t="shared" si="14"/>
        <v>0</v>
      </c>
      <c r="G61" s="1712" t="s">
        <v>1644</v>
      </c>
      <c r="H61" s="1713">
        <f>项目基本情况!C43</f>
        <v>0</v>
      </c>
      <c r="I61" s="1708">
        <f>SUMIF(修正!$A$57:$A$68,H61,修正!G57:G68)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09" t="s">
        <v>521</v>
      </c>
      <c r="B62" s="610" t="s">
        <v>11</v>
      </c>
      <c r="C62" s="610" t="s">
        <v>12</v>
      </c>
      <c r="D62" s="610" t="s">
        <v>1651</v>
      </c>
      <c r="E62" s="610">
        <f>IF(B43="楼面地价",SUM(E53:E61),'数据-汇总表'!D3)</f>
        <v>4519.1100000000006</v>
      </c>
      <c r="F62" s="611">
        <f>IF(B43="楼面地价",SUM(F53:F61),ROUND(C45*E62/10000,0))</f>
        <v>755</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2024-3-1</v>
      </c>
      <c r="D64" s="2278">
        <f>EDATE(C64,-3)</f>
        <v>45261</v>
      </c>
      <c r="E64" s="2278">
        <f t="shared" ref="E64:N64" si="17">EDATE(D64,-3)</f>
        <v>45170</v>
      </c>
      <c r="F64" s="2278">
        <f t="shared" si="17"/>
        <v>45078</v>
      </c>
      <c r="G64" s="2278">
        <f t="shared" si="17"/>
        <v>44986</v>
      </c>
      <c r="H64" s="2278">
        <f t="shared" si="17"/>
        <v>44896</v>
      </c>
      <c r="I64" s="2278">
        <f t="shared" si="17"/>
        <v>44805</v>
      </c>
      <c r="J64" s="2278">
        <f t="shared" si="17"/>
        <v>44713</v>
      </c>
      <c r="K64" s="2278">
        <f t="shared" si="17"/>
        <v>44621</v>
      </c>
      <c r="L64" s="2278">
        <f t="shared" si="17"/>
        <v>44531</v>
      </c>
      <c r="M64" s="2278">
        <f t="shared" si="17"/>
        <v>44440</v>
      </c>
      <c r="N64" s="2278">
        <f t="shared" si="17"/>
        <v>44348</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3"/>
      <c r="C66" s="2275" t="str">
        <f>YEAR(C64)&amp;"-"&amp;ROUNDUP(MONTH(C64)/3,0)</f>
        <v>2024-1</v>
      </c>
      <c r="D66" s="2280" t="str">
        <f t="shared" ref="D66:N66" si="18">YEAR(D64)&amp;"-"&amp;ROUNDUP(MONTH(D64)/3,0)</f>
        <v>2023-4</v>
      </c>
      <c r="E66" s="2280" t="str">
        <f t="shared" si="18"/>
        <v>2023-3</v>
      </c>
      <c r="F66" s="2280" t="str">
        <f t="shared" si="18"/>
        <v>2023-2</v>
      </c>
      <c r="G66" s="2280" t="str">
        <f t="shared" si="18"/>
        <v>2023-1</v>
      </c>
      <c r="H66" s="2280" t="str">
        <f t="shared" si="18"/>
        <v>2022-4</v>
      </c>
      <c r="I66" s="2280" t="str">
        <f t="shared" si="18"/>
        <v>2022-3</v>
      </c>
      <c r="J66" s="2280" t="str">
        <f t="shared" si="18"/>
        <v>2022-2</v>
      </c>
      <c r="K66" s="2280" t="str">
        <f t="shared" si="18"/>
        <v>2022-1</v>
      </c>
      <c r="L66" s="2280" t="str">
        <f t="shared" si="18"/>
        <v>2021-4</v>
      </c>
      <c r="M66" s="2280" t="str">
        <f t="shared" si="18"/>
        <v>2021-3</v>
      </c>
      <c r="N66" s="2280" t="str">
        <f t="shared" si="18"/>
        <v>2021-2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4" t="str">
        <f>"北京市平均增长率"&amp;TEXT(基准地价!P28,"0.00%")</f>
        <v>北京市平均增长率0.00%</v>
      </c>
      <c r="C67" s="856">
        <v>100</v>
      </c>
      <c r="D67" s="697">
        <f>C67-0.5</f>
        <v>99.5</v>
      </c>
      <c r="E67" s="697">
        <f t="shared" ref="E67:K67" si="19">D67-0.5</f>
        <v>99</v>
      </c>
      <c r="F67" s="697">
        <f t="shared" si="19"/>
        <v>98.5</v>
      </c>
      <c r="G67" s="697">
        <f t="shared" si="19"/>
        <v>98</v>
      </c>
      <c r="H67" s="697">
        <f t="shared" si="19"/>
        <v>97.5</v>
      </c>
      <c r="I67" s="697">
        <f t="shared" si="19"/>
        <v>97</v>
      </c>
      <c r="J67" s="697">
        <f t="shared" si="19"/>
        <v>96.5</v>
      </c>
      <c r="K67" s="697">
        <f t="shared" si="19"/>
        <v>96</v>
      </c>
      <c r="L67" s="697"/>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0" t="s">
        <v>523</v>
      </c>
      <c r="B68" s="621"/>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6" t="s">
        <v>480</v>
      </c>
      <c r="B69" s="615"/>
      <c r="C69" s="627" t="s">
        <v>524</v>
      </c>
      <c r="D69" s="628"/>
      <c r="E69" s="628"/>
      <c r="F69" s="628"/>
      <c r="G69" s="628"/>
      <c r="H69" s="628"/>
      <c r="I69" s="628"/>
      <c r="J69" s="628"/>
      <c r="K69" s="628"/>
      <c r="L69" s="629"/>
      <c r="M69" s="630"/>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6"/>
      <c r="B70" s="615"/>
      <c r="C70" s="616">
        <v>100</v>
      </c>
      <c r="D70" s="617"/>
      <c r="E70" s="617"/>
      <c r="F70" s="617"/>
      <c r="G70" s="617"/>
      <c r="H70" s="617"/>
      <c r="I70" s="617"/>
      <c r="J70" s="617"/>
      <c r="K70" s="617"/>
      <c r="L70" s="617"/>
      <c r="M70" s="619"/>
      <c r="N70" s="2970"/>
      <c r="O70" s="1883"/>
      <c r="P70" s="1879"/>
      <c r="Q70" s="1879"/>
      <c r="R70" s="1745"/>
      <c r="S70" s="1745"/>
      <c r="T70" s="1745"/>
      <c r="U70" s="1745"/>
      <c r="V70" s="1745"/>
      <c r="W70" s="1745"/>
      <c r="X70" s="1745"/>
      <c r="Y70" s="1745"/>
      <c r="Z70" s="1745"/>
      <c r="AA70" s="1745"/>
      <c r="AB70" s="1745"/>
      <c r="AC70" s="1745"/>
    </row>
    <row r="71" spans="1:29">
      <c r="A71" s="631" t="s">
        <v>525</v>
      </c>
      <c r="B71" s="632" t="s">
        <v>483</v>
      </c>
      <c r="C71" s="3672" t="s">
        <v>3494</v>
      </c>
      <c r="D71" s="567"/>
      <c r="E71" s="567"/>
      <c r="F71" s="567"/>
      <c r="G71" s="567"/>
      <c r="H71" s="567"/>
      <c r="I71" s="567"/>
      <c r="J71" s="567"/>
      <c r="K71" s="633"/>
      <c r="L71" s="634"/>
      <c r="M71" s="635"/>
      <c r="N71" s="2971"/>
      <c r="O71" s="1885"/>
      <c r="P71" s="1886"/>
      <c r="Q71" s="1879"/>
      <c r="R71" s="1867"/>
      <c r="S71" s="1867"/>
      <c r="T71" s="1867"/>
      <c r="U71" s="1867"/>
      <c r="V71" s="1867"/>
      <c r="W71" s="1867"/>
      <c r="X71" s="1867"/>
      <c r="Y71" s="1867"/>
      <c r="Z71" s="1867"/>
      <c r="AA71" s="1867"/>
      <c r="AB71" s="1867"/>
      <c r="AC71" s="1867"/>
    </row>
    <row r="72" spans="1:29" ht="15.75" thickBot="1">
      <c r="A72" s="636"/>
      <c r="B72" s="637"/>
      <c r="C72" s="638">
        <v>100</v>
      </c>
      <c r="D72" s="638"/>
      <c r="E72" s="638"/>
      <c r="F72" s="638"/>
      <c r="G72" s="638"/>
      <c r="H72" s="638"/>
      <c r="I72" s="638"/>
      <c r="J72" s="638"/>
      <c r="K72" s="638"/>
      <c r="L72" s="638"/>
      <c r="M72" s="639"/>
      <c r="N72" s="2972"/>
      <c r="O72" s="1887"/>
      <c r="P72" s="1886"/>
      <c r="Q72" s="1879"/>
      <c r="R72" s="1867"/>
      <c r="S72" s="1867"/>
      <c r="T72" s="1867"/>
      <c r="U72" s="1867"/>
      <c r="V72" s="1867"/>
      <c r="W72" s="1867"/>
      <c r="X72" s="1867"/>
      <c r="Y72" s="1867"/>
      <c r="Z72" s="1867"/>
      <c r="AA72" s="1867"/>
      <c r="AB72" s="1867"/>
      <c r="AC72" s="1867"/>
    </row>
    <row r="73" spans="1:29" ht="27.75" thickTop="1">
      <c r="A73" s="636"/>
      <c r="B73" s="640" t="s">
        <v>486</v>
      </c>
      <c r="C73" s="641"/>
      <c r="D73" s="641"/>
      <c r="E73" s="641"/>
      <c r="F73" s="641"/>
      <c r="G73" s="641"/>
      <c r="H73" s="641"/>
      <c r="I73" s="641"/>
      <c r="J73" s="641"/>
      <c r="K73" s="642"/>
      <c r="L73" s="643"/>
      <c r="M73" s="644"/>
      <c r="N73" s="2971"/>
      <c r="O73" s="1885"/>
      <c r="P73" s="1886"/>
      <c r="Q73" s="1879"/>
      <c r="R73" s="1867"/>
      <c r="S73" s="1867"/>
      <c r="T73" s="1867"/>
      <c r="U73" s="1867"/>
      <c r="V73" s="1867"/>
      <c r="W73" s="1867"/>
      <c r="X73" s="1867"/>
      <c r="Y73" s="1867"/>
      <c r="Z73" s="1867"/>
      <c r="AA73" s="1867"/>
      <c r="AB73" s="1867"/>
      <c r="AC73" s="1867"/>
    </row>
    <row r="74" spans="1:29" ht="15.75" thickBot="1">
      <c r="A74" s="636"/>
      <c r="B74" s="645"/>
      <c r="C74" s="646"/>
      <c r="D74" s="646"/>
      <c r="E74" s="646"/>
      <c r="F74" s="646"/>
      <c r="G74" s="646"/>
      <c r="H74" s="646"/>
      <c r="I74" s="646"/>
      <c r="J74" s="646"/>
      <c r="K74" s="646"/>
      <c r="L74" s="646"/>
      <c r="M74" s="647"/>
      <c r="N74" s="2972"/>
      <c r="O74" s="1887"/>
      <c r="P74" s="1886"/>
      <c r="Q74" s="1879"/>
      <c r="R74" s="1867"/>
      <c r="S74" s="1867"/>
      <c r="T74" s="1867"/>
      <c r="U74" s="1867"/>
      <c r="V74" s="1867"/>
      <c r="W74" s="1867"/>
      <c r="X74" s="1867"/>
      <c r="Y74" s="1867"/>
      <c r="Z74" s="1867"/>
      <c r="AA74" s="1867"/>
      <c r="AB74" s="1867"/>
      <c r="AC74" s="1867"/>
    </row>
    <row r="75" spans="1:29" ht="15.75" thickTop="1">
      <c r="A75" s="636"/>
      <c r="B75" s="648" t="s">
        <v>487</v>
      </c>
      <c r="C75" s="649" t="str">
        <f>C76&amp;"（含）"&amp;"-"&amp;D76</f>
        <v>0（含）-1</v>
      </c>
      <c r="D75" s="649" t="str">
        <f t="shared" ref="D75:L75" si="20">D76&amp;"（含）"&amp;"-"&amp;E76</f>
        <v>1（含）-2</v>
      </c>
      <c r="E75" s="649" t="str">
        <f t="shared" si="20"/>
        <v>2（含）-3</v>
      </c>
      <c r="F75" s="649" t="str">
        <f t="shared" si="20"/>
        <v>3（含）-4</v>
      </c>
      <c r="G75" s="649" t="str">
        <f t="shared" si="20"/>
        <v>4（含）-</v>
      </c>
      <c r="H75" s="649" t="str">
        <f t="shared" si="20"/>
        <v>（含）-</v>
      </c>
      <c r="I75" s="649" t="str">
        <f t="shared" si="20"/>
        <v>（含）-</v>
      </c>
      <c r="J75" s="649" t="str">
        <f t="shared" si="20"/>
        <v>（含）-</v>
      </c>
      <c r="K75" s="649" t="str">
        <f t="shared" si="20"/>
        <v>（含）-</v>
      </c>
      <c r="L75" s="649" t="str">
        <f t="shared" si="20"/>
        <v>（含）-</v>
      </c>
      <c r="M75" s="524"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6"/>
      <c r="B76" s="650"/>
      <c r="C76" s="510">
        <v>0</v>
      </c>
      <c r="D76" s="510">
        <v>1</v>
      </c>
      <c r="E76" s="510">
        <v>2</v>
      </c>
      <c r="F76" s="510">
        <v>3</v>
      </c>
      <c r="G76" s="510">
        <v>4</v>
      </c>
      <c r="H76" s="510"/>
      <c r="I76" s="510"/>
      <c r="J76" s="510"/>
      <c r="K76" s="651"/>
      <c r="L76" s="652"/>
      <c r="M76" s="653"/>
      <c r="N76" s="2971"/>
      <c r="O76" s="1885"/>
      <c r="P76" s="1886"/>
      <c r="Q76" s="1879"/>
      <c r="R76" s="1867"/>
      <c r="S76" s="1867"/>
      <c r="T76" s="1867"/>
      <c r="U76" s="1867"/>
      <c r="V76" s="1867"/>
      <c r="W76" s="1867"/>
      <c r="X76" s="1867"/>
      <c r="Y76" s="1867"/>
      <c r="Z76" s="1867"/>
      <c r="AA76" s="1867"/>
      <c r="AB76" s="1867"/>
      <c r="AC76" s="1867"/>
    </row>
    <row r="77" spans="1:29" ht="15.75" thickBot="1">
      <c r="A77" s="636"/>
      <c r="B77" s="637"/>
      <c r="C77" s="646">
        <v>100</v>
      </c>
      <c r="D77" s="646">
        <f t="shared" ref="D77:M77" si="21">IF($B$43="单位面积地价",C77+$K13,C77-$K13)</f>
        <v>98</v>
      </c>
      <c r="E77" s="646">
        <f t="shared" si="21"/>
        <v>96</v>
      </c>
      <c r="F77" s="646">
        <f t="shared" si="21"/>
        <v>94</v>
      </c>
      <c r="G77" s="646">
        <f t="shared" si="21"/>
        <v>92</v>
      </c>
      <c r="H77" s="646">
        <f t="shared" si="21"/>
        <v>90</v>
      </c>
      <c r="I77" s="646">
        <f t="shared" si="21"/>
        <v>88</v>
      </c>
      <c r="J77" s="646">
        <f t="shared" si="21"/>
        <v>86</v>
      </c>
      <c r="K77" s="646">
        <f t="shared" si="21"/>
        <v>84</v>
      </c>
      <c r="L77" s="646">
        <f t="shared" si="21"/>
        <v>82</v>
      </c>
      <c r="M77" s="646">
        <f t="shared" si="21"/>
        <v>80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4"/>
      <c r="B78" s="640">
        <f>B14</f>
        <v>111</v>
      </c>
      <c r="C78" s="655"/>
      <c r="D78" s="655"/>
      <c r="E78" s="655"/>
      <c r="F78" s="655"/>
      <c r="G78" s="655"/>
      <c r="H78" s="656"/>
      <c r="I78" s="656"/>
      <c r="J78" s="656"/>
      <c r="K78" s="656"/>
      <c r="L78" s="657"/>
      <c r="M78" s="658"/>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4"/>
      <c r="B79" s="645"/>
      <c r="C79" s="659"/>
      <c r="D79" s="638"/>
      <c r="E79" s="638"/>
      <c r="F79" s="638"/>
      <c r="G79" s="638"/>
      <c r="H79" s="638"/>
      <c r="I79" s="638"/>
      <c r="J79" s="638"/>
      <c r="K79" s="638"/>
      <c r="L79" s="638"/>
      <c r="M79" s="639"/>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4"/>
      <c r="B80" s="640">
        <f>B15</f>
        <v>111</v>
      </c>
      <c r="C80" s="655"/>
      <c r="D80" s="655"/>
      <c r="E80" s="655"/>
      <c r="F80" s="655"/>
      <c r="G80" s="655"/>
      <c r="H80" s="656"/>
      <c r="I80" s="656"/>
      <c r="J80" s="656"/>
      <c r="K80" s="656"/>
      <c r="L80" s="657"/>
      <c r="M80" s="658"/>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4"/>
      <c r="B81" s="645"/>
      <c r="C81" s="659"/>
      <c r="D81" s="659"/>
      <c r="E81" s="659"/>
      <c r="F81" s="659"/>
      <c r="G81" s="659"/>
      <c r="H81" s="660"/>
      <c r="I81" s="660"/>
      <c r="J81" s="660"/>
      <c r="K81" s="660"/>
      <c r="L81" s="660"/>
      <c r="M81" s="661"/>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4"/>
      <c r="B82" s="648">
        <f>B16</f>
        <v>111</v>
      </c>
      <c r="C82" s="628"/>
      <c r="D82" s="628"/>
      <c r="E82" s="628"/>
      <c r="F82" s="628"/>
      <c r="G82" s="628"/>
      <c r="H82" s="662"/>
      <c r="I82" s="662"/>
      <c r="J82" s="662"/>
      <c r="K82" s="662"/>
      <c r="L82" s="663"/>
      <c r="M82" s="664"/>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5"/>
      <c r="B83" s="666"/>
      <c r="C83" s="667"/>
      <c r="D83" s="667"/>
      <c r="E83" s="667"/>
      <c r="F83" s="667"/>
      <c r="G83" s="667"/>
      <c r="H83" s="668"/>
      <c r="I83" s="668"/>
      <c r="J83" s="668"/>
      <c r="K83" s="668"/>
      <c r="L83" s="668"/>
      <c r="M83" s="669"/>
      <c r="N83" s="2973"/>
      <c r="O83" s="1888"/>
      <c r="P83" s="1889"/>
      <c r="Q83" s="1890"/>
      <c r="R83" s="1891"/>
      <c r="S83" s="1891"/>
      <c r="T83" s="1891"/>
      <c r="U83" s="1891"/>
      <c r="V83" s="1891"/>
      <c r="W83" s="1891"/>
      <c r="X83" s="1891"/>
      <c r="Y83" s="1891"/>
      <c r="Z83" s="1891"/>
      <c r="AA83" s="1891"/>
      <c r="AB83" s="1891"/>
      <c r="AC83" s="1891"/>
    </row>
    <row r="84" spans="1:29">
      <c r="A84" s="631" t="s">
        <v>488</v>
      </c>
      <c r="B84" s="632" t="s">
        <v>550</v>
      </c>
      <c r="C84" s="670" t="s">
        <v>527</v>
      </c>
      <c r="D84" s="670" t="s">
        <v>528</v>
      </c>
      <c r="E84" s="670" t="s">
        <v>529</v>
      </c>
      <c r="F84" s="670" t="s">
        <v>530</v>
      </c>
      <c r="G84" s="670" t="s">
        <v>531</v>
      </c>
      <c r="H84" s="671"/>
      <c r="I84" s="671"/>
      <c r="J84" s="671"/>
      <c r="K84" s="672"/>
      <c r="L84" s="673"/>
      <c r="M84" s="674"/>
      <c r="N84" s="2971"/>
      <c r="O84" s="1885"/>
      <c r="P84" s="1895"/>
      <c r="Q84" s="1879"/>
      <c r="R84" s="1867"/>
      <c r="S84" s="1867"/>
      <c r="T84" s="1867"/>
      <c r="U84" s="1867"/>
      <c r="V84" s="1867"/>
      <c r="W84" s="1867"/>
      <c r="X84" s="1867"/>
      <c r="Y84" s="1867"/>
      <c r="Z84" s="1867"/>
      <c r="AA84" s="1867"/>
      <c r="AB84" s="1867"/>
      <c r="AC84" s="1867"/>
    </row>
    <row r="85" spans="1:29" ht="15.75" thickBot="1">
      <c r="A85" s="636"/>
      <c r="B85" s="645"/>
      <c r="C85" s="646">
        <v>100</v>
      </c>
      <c r="D85" s="646">
        <f>C85-$K17</f>
        <v>97</v>
      </c>
      <c r="E85" s="646">
        <f>D85-$K17</f>
        <v>94</v>
      </c>
      <c r="F85" s="646">
        <f>E85-$K17</f>
        <v>91</v>
      </c>
      <c r="G85" s="646">
        <f>F85-$K17</f>
        <v>88</v>
      </c>
      <c r="H85" s="646"/>
      <c r="I85" s="646"/>
      <c r="J85" s="646"/>
      <c r="K85" s="646"/>
      <c r="L85" s="646"/>
      <c r="M85" s="647"/>
      <c r="N85" s="2972"/>
      <c r="O85" s="1887"/>
      <c r="P85" s="1886"/>
      <c r="Q85" s="1879"/>
      <c r="R85" s="1867"/>
      <c r="S85" s="1867"/>
      <c r="T85" s="1867"/>
      <c r="U85" s="1867"/>
      <c r="V85" s="1867"/>
      <c r="W85" s="1867"/>
      <c r="X85" s="1867"/>
      <c r="Y85" s="1867"/>
      <c r="Z85" s="1867"/>
      <c r="AA85" s="1867"/>
      <c r="AB85" s="1867"/>
      <c r="AC85" s="1867"/>
    </row>
    <row r="86" spans="1:29" ht="15.75" thickTop="1">
      <c r="A86" s="636"/>
      <c r="B86" s="640" t="s">
        <v>534</v>
      </c>
      <c r="C86" s="675" t="s">
        <v>527</v>
      </c>
      <c r="D86" s="675" t="s">
        <v>528</v>
      </c>
      <c r="E86" s="675" t="s">
        <v>529</v>
      </c>
      <c r="F86" s="675" t="s">
        <v>530</v>
      </c>
      <c r="G86" s="675" t="s">
        <v>531</v>
      </c>
      <c r="H86" s="641"/>
      <c r="I86" s="641"/>
      <c r="J86" s="641"/>
      <c r="K86" s="642"/>
      <c r="L86" s="643"/>
      <c r="M86" s="644"/>
      <c r="N86" s="2971"/>
      <c r="O86" s="1885"/>
      <c r="P86" s="1886"/>
      <c r="Q86" s="1879"/>
      <c r="R86" s="1867"/>
      <c r="S86" s="1867"/>
      <c r="T86" s="1867"/>
      <c r="U86" s="1867"/>
      <c r="V86" s="1867"/>
      <c r="W86" s="1867"/>
      <c r="X86" s="1867"/>
      <c r="Y86" s="1867"/>
      <c r="Z86" s="1867"/>
      <c r="AA86" s="1867"/>
      <c r="AB86" s="1867"/>
      <c r="AC86" s="1867"/>
    </row>
    <row r="87" spans="1:29" ht="15.75" thickBot="1">
      <c r="A87" s="636"/>
      <c r="B87" s="645"/>
      <c r="C87" s="646">
        <v>100</v>
      </c>
      <c r="D87" s="646">
        <f>C87-$K19</f>
        <v>98</v>
      </c>
      <c r="E87" s="646">
        <f>D87-$K19</f>
        <v>96</v>
      </c>
      <c r="F87" s="646">
        <f>E87-$K19</f>
        <v>94</v>
      </c>
      <c r="G87" s="646">
        <f>F87-$K19</f>
        <v>92</v>
      </c>
      <c r="H87" s="646"/>
      <c r="I87" s="646"/>
      <c r="J87" s="646"/>
      <c r="K87" s="646"/>
      <c r="L87" s="646"/>
      <c r="M87" s="647"/>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6"/>
      <c r="B88" s="640" t="s">
        <v>535</v>
      </c>
      <c r="C88" s="675" t="s">
        <v>527</v>
      </c>
      <c r="D88" s="675" t="s">
        <v>528</v>
      </c>
      <c r="E88" s="675" t="s">
        <v>529</v>
      </c>
      <c r="F88" s="675" t="s">
        <v>530</v>
      </c>
      <c r="G88" s="675" t="s">
        <v>531</v>
      </c>
      <c r="H88" s="675"/>
      <c r="I88" s="675"/>
      <c r="J88" s="675"/>
      <c r="K88" s="675"/>
      <c r="L88" s="677"/>
      <c r="M88" s="678"/>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6"/>
      <c r="B90" s="640" t="s">
        <v>536</v>
      </c>
      <c r="C90" s="670" t="s">
        <v>527</v>
      </c>
      <c r="D90" s="670" t="s">
        <v>528</v>
      </c>
      <c r="E90" s="670" t="s">
        <v>529</v>
      </c>
      <c r="F90" s="670" t="s">
        <v>530</v>
      </c>
      <c r="G90" s="670" t="s">
        <v>531</v>
      </c>
      <c r="H90" s="675"/>
      <c r="I90" s="675"/>
      <c r="J90" s="675"/>
      <c r="K90" s="675"/>
      <c r="L90" s="675"/>
      <c r="M90" s="678"/>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6"/>
      <c r="B91" s="645"/>
      <c r="C91" s="646">
        <v>100</v>
      </c>
      <c r="D91" s="646">
        <f>C91-$K23</f>
        <v>98</v>
      </c>
      <c r="E91" s="646">
        <f>D91-$K23</f>
        <v>96</v>
      </c>
      <c r="F91" s="646">
        <f>E91-$K23</f>
        <v>94</v>
      </c>
      <c r="G91" s="646">
        <f>F91-$K23</f>
        <v>92</v>
      </c>
      <c r="H91" s="646"/>
      <c r="I91" s="646"/>
      <c r="J91" s="646"/>
      <c r="K91" s="646"/>
      <c r="L91" s="646"/>
      <c r="M91" s="647"/>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4"/>
      <c r="B92" s="1651" t="s">
        <v>1831</v>
      </c>
      <c r="C92" s="670" t="s">
        <v>527</v>
      </c>
      <c r="D92" s="670" t="s">
        <v>528</v>
      </c>
      <c r="E92" s="670" t="s">
        <v>529</v>
      </c>
      <c r="F92" s="670" t="s">
        <v>530</v>
      </c>
      <c r="G92" s="670" t="s">
        <v>531</v>
      </c>
      <c r="H92" s="680"/>
      <c r="I92" s="680"/>
      <c r="J92" s="680"/>
      <c r="K92" s="680"/>
      <c r="L92" s="681"/>
      <c r="M92" s="682"/>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4"/>
      <c r="B93" s="645"/>
      <c r="C93" s="646">
        <v>100</v>
      </c>
      <c r="D93" s="646">
        <f>C93-$K25</f>
        <v>98</v>
      </c>
      <c r="E93" s="646">
        <f>D93-$K25</f>
        <v>96</v>
      </c>
      <c r="F93" s="646">
        <f>E93-$K25</f>
        <v>94</v>
      </c>
      <c r="G93" s="646">
        <f>F93-$K25</f>
        <v>92</v>
      </c>
      <c r="H93" s="683"/>
      <c r="I93" s="683"/>
      <c r="J93" s="683"/>
      <c r="K93" s="683"/>
      <c r="L93" s="683"/>
      <c r="M93" s="684"/>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4"/>
      <c r="B94" s="2204" t="s">
        <v>1833</v>
      </c>
      <c r="C94" s="2205" t="s">
        <v>1834</v>
      </c>
      <c r="D94" s="2205" t="s">
        <v>1835</v>
      </c>
      <c r="E94" s="2205" t="s">
        <v>1836</v>
      </c>
      <c r="F94" s="2205" t="s">
        <v>1837</v>
      </c>
      <c r="G94" s="2205" t="s">
        <v>1838</v>
      </c>
      <c r="H94" s="680"/>
      <c r="I94" s="680"/>
      <c r="J94" s="680"/>
      <c r="K94" s="680"/>
      <c r="L94" s="680"/>
      <c r="M94" s="682"/>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4"/>
      <c r="B95" s="648"/>
      <c r="C95" s="646">
        <v>100</v>
      </c>
      <c r="D95" s="646">
        <f>C95-$K27</f>
        <v>98</v>
      </c>
      <c r="E95" s="646">
        <f>D95-$K27</f>
        <v>96</v>
      </c>
      <c r="F95" s="646">
        <f>E95-$K27</f>
        <v>94</v>
      </c>
      <c r="G95" s="646">
        <f>F95-$K27</f>
        <v>92</v>
      </c>
      <c r="H95" s="650"/>
      <c r="I95" s="650"/>
      <c r="J95" s="650"/>
      <c r="K95" s="650"/>
      <c r="L95" s="650"/>
      <c r="M95" s="2197"/>
      <c r="N95" s="2973"/>
      <c r="O95" s="1888"/>
      <c r="P95" s="1889"/>
      <c r="Q95" s="1890"/>
      <c r="R95" s="1891"/>
      <c r="S95" s="1891"/>
      <c r="T95" s="1891"/>
      <c r="U95" s="1891"/>
      <c r="V95" s="1891"/>
      <c r="W95" s="1891"/>
      <c r="X95" s="1891"/>
      <c r="Y95" s="1891"/>
      <c r="Z95" s="1891"/>
      <c r="AA95" s="1891"/>
      <c r="AB95" s="1891"/>
      <c r="AC95" s="1891"/>
    </row>
    <row r="96" spans="1:29" ht="15.75" thickTop="1">
      <c r="A96" s="636"/>
      <c r="B96" s="640" t="str">
        <f>B29</f>
        <v>临街状况</v>
      </c>
      <c r="C96" s="641" t="s">
        <v>537</v>
      </c>
      <c r="D96" s="641" t="s">
        <v>538</v>
      </c>
      <c r="E96" s="641" t="s">
        <v>539</v>
      </c>
      <c r="F96" s="641" t="s">
        <v>540</v>
      </c>
      <c r="G96" s="641"/>
      <c r="H96" s="641"/>
      <c r="I96" s="641"/>
      <c r="J96" s="641"/>
      <c r="K96" s="642"/>
      <c r="L96" s="643"/>
      <c r="M96" s="644"/>
      <c r="N96" s="2971"/>
      <c r="O96" s="1885"/>
      <c r="P96" s="1886"/>
      <c r="Q96" s="1879"/>
      <c r="R96" s="1867"/>
      <c r="S96" s="1867"/>
      <c r="T96" s="1867"/>
      <c r="U96" s="1867"/>
      <c r="V96" s="1867"/>
      <c r="W96" s="1867"/>
      <c r="X96" s="1867"/>
      <c r="Y96" s="1867"/>
      <c r="Z96" s="1867"/>
      <c r="AA96" s="1867"/>
      <c r="AB96" s="1867"/>
      <c r="AC96" s="1867"/>
    </row>
    <row r="97" spans="1:29" ht="15.75" thickBot="1">
      <c r="A97" s="636"/>
      <c r="B97" s="645"/>
      <c r="C97" s="646">
        <v>100</v>
      </c>
      <c r="D97" s="646">
        <f t="shared" ref="D97:M97" si="22">C97-$K29</f>
        <v>100</v>
      </c>
      <c r="E97" s="646">
        <f t="shared" si="22"/>
        <v>100</v>
      </c>
      <c r="F97" s="646">
        <f t="shared" si="22"/>
        <v>100</v>
      </c>
      <c r="G97" s="646">
        <f t="shared" si="22"/>
        <v>100</v>
      </c>
      <c r="H97" s="646">
        <f t="shared" si="22"/>
        <v>100</v>
      </c>
      <c r="I97" s="646">
        <f t="shared" si="22"/>
        <v>100</v>
      </c>
      <c r="J97" s="646">
        <f t="shared" si="22"/>
        <v>100</v>
      </c>
      <c r="K97" s="646">
        <f t="shared" si="22"/>
        <v>100</v>
      </c>
      <c r="L97" s="646">
        <f t="shared" si="22"/>
        <v>100</v>
      </c>
      <c r="M97" s="646">
        <f t="shared" si="22"/>
        <v>100</v>
      </c>
      <c r="N97" s="2972"/>
      <c r="O97" s="1887"/>
      <c r="P97" s="1886"/>
      <c r="Q97" s="1879"/>
      <c r="R97" s="1867"/>
      <c r="S97" s="1867"/>
      <c r="T97" s="1867"/>
      <c r="U97" s="1867"/>
      <c r="V97" s="1867"/>
      <c r="W97" s="1867"/>
      <c r="X97" s="1867"/>
      <c r="Y97" s="1867"/>
      <c r="Z97" s="1867"/>
      <c r="AA97" s="1867"/>
      <c r="AB97" s="1867"/>
      <c r="AC97" s="1867"/>
    </row>
    <row r="98" spans="1:29" ht="27.75" thickTop="1">
      <c r="A98" s="636"/>
      <c r="B98" s="640" t="s">
        <v>497</v>
      </c>
      <c r="C98" s="655" t="s">
        <v>3496</v>
      </c>
      <c r="D98" s="655" t="s">
        <v>3497</v>
      </c>
      <c r="E98" s="655" t="s">
        <v>3498</v>
      </c>
      <c r="F98" s="655" t="s">
        <v>3499</v>
      </c>
      <c r="G98" s="655" t="s">
        <v>3500</v>
      </c>
      <c r="H98" s="685"/>
      <c r="I98" s="685"/>
      <c r="J98" s="685"/>
      <c r="K98" s="686"/>
      <c r="L98" s="687"/>
      <c r="M98" s="688"/>
      <c r="N98" s="2971"/>
      <c r="O98" s="1885"/>
      <c r="P98" s="1886"/>
      <c r="Q98" s="1879"/>
      <c r="R98" s="1867"/>
      <c r="S98" s="1867"/>
      <c r="T98" s="1867"/>
      <c r="U98" s="1867"/>
      <c r="V98" s="1867"/>
      <c r="W98" s="1867"/>
      <c r="X98" s="1867"/>
      <c r="Y98" s="1867"/>
      <c r="Z98" s="1867"/>
      <c r="AA98" s="1867"/>
      <c r="AB98" s="1867"/>
      <c r="AC98" s="1867"/>
    </row>
    <row r="99" spans="1:29" ht="15.75" thickBot="1">
      <c r="A99" s="636"/>
      <c r="B99" s="645"/>
      <c r="C99" s="646">
        <v>100</v>
      </c>
      <c r="D99" s="646">
        <f t="shared" ref="D99:M99" si="23">C99-$K30</f>
        <v>100</v>
      </c>
      <c r="E99" s="646">
        <f t="shared" si="23"/>
        <v>100</v>
      </c>
      <c r="F99" s="646">
        <f t="shared" si="23"/>
        <v>100</v>
      </c>
      <c r="G99" s="646">
        <f t="shared" si="23"/>
        <v>100</v>
      </c>
      <c r="H99" s="646">
        <f t="shared" si="23"/>
        <v>100</v>
      </c>
      <c r="I99" s="646">
        <f t="shared" si="23"/>
        <v>100</v>
      </c>
      <c r="J99" s="646">
        <f t="shared" si="23"/>
        <v>100</v>
      </c>
      <c r="K99" s="646">
        <f t="shared" si="23"/>
        <v>100</v>
      </c>
      <c r="L99" s="646">
        <f t="shared" si="23"/>
        <v>100</v>
      </c>
      <c r="M99" s="646">
        <f t="shared" si="23"/>
        <v>100</v>
      </c>
      <c r="N99" s="2972"/>
      <c r="O99" s="1887"/>
      <c r="P99" s="1886"/>
      <c r="Q99" s="1879"/>
      <c r="R99" s="1867"/>
      <c r="S99" s="1867"/>
      <c r="T99" s="1867"/>
      <c r="U99" s="1867"/>
      <c r="V99" s="1867"/>
      <c r="W99" s="1867"/>
      <c r="X99" s="1867"/>
      <c r="Y99" s="1867"/>
      <c r="Z99" s="1867"/>
      <c r="AA99" s="1867"/>
      <c r="AB99" s="1867"/>
      <c r="AC99" s="1867"/>
    </row>
    <row r="100" spans="1:29" ht="15.75" thickTop="1">
      <c r="A100" s="636"/>
      <c r="B100" s="640" t="s">
        <v>498</v>
      </c>
      <c r="C100" s="685"/>
      <c r="D100" s="685"/>
      <c r="E100" s="685"/>
      <c r="F100" s="685"/>
      <c r="G100" s="685"/>
      <c r="H100" s="685"/>
      <c r="I100" s="685"/>
      <c r="J100" s="685"/>
      <c r="K100" s="686"/>
      <c r="L100" s="687"/>
      <c r="M100" s="688"/>
      <c r="N100" s="2971"/>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24">C101-$K32</f>
        <v>100</v>
      </c>
      <c r="E101" s="646">
        <f t="shared" si="24"/>
        <v>100</v>
      </c>
      <c r="F101" s="646">
        <f t="shared" si="24"/>
        <v>100</v>
      </c>
      <c r="G101" s="646">
        <f t="shared" si="24"/>
        <v>100</v>
      </c>
      <c r="H101" s="646">
        <f t="shared" si="24"/>
        <v>100</v>
      </c>
      <c r="I101" s="646">
        <f t="shared" si="24"/>
        <v>100</v>
      </c>
      <c r="J101" s="646">
        <f t="shared" si="24"/>
        <v>100</v>
      </c>
      <c r="K101" s="646">
        <f t="shared" si="24"/>
        <v>100</v>
      </c>
      <c r="L101" s="646">
        <f t="shared" si="24"/>
        <v>100</v>
      </c>
      <c r="M101" s="646">
        <f t="shared" si="24"/>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6"/>
      <c r="B102" s="648">
        <f>B33</f>
        <v>111</v>
      </c>
      <c r="C102" s="655"/>
      <c r="D102" s="655"/>
      <c r="E102" s="655"/>
      <c r="F102" s="655"/>
      <c r="G102" s="689"/>
      <c r="H102" s="689"/>
      <c r="I102" s="689"/>
      <c r="J102" s="689"/>
      <c r="K102" s="690"/>
      <c r="L102" s="691"/>
      <c r="M102" s="692"/>
      <c r="N102" s="2971"/>
      <c r="O102" s="1885"/>
      <c r="P102" s="1886"/>
      <c r="Q102" s="1879"/>
      <c r="R102" s="1867"/>
      <c r="S102" s="1867"/>
      <c r="T102" s="1867"/>
      <c r="U102" s="1867"/>
      <c r="V102" s="1867"/>
      <c r="W102" s="1867"/>
      <c r="X102" s="1867"/>
      <c r="Y102" s="1867"/>
      <c r="Z102" s="1867"/>
      <c r="AA102" s="1867"/>
      <c r="AB102" s="1867"/>
      <c r="AC102" s="1867"/>
    </row>
    <row r="103" spans="1:29" ht="15.75" thickBot="1">
      <c r="A103" s="636"/>
      <c r="B103" s="666"/>
      <c r="C103" s="659"/>
      <c r="D103" s="638"/>
      <c r="E103" s="638"/>
      <c r="F103" s="638"/>
      <c r="G103" s="693"/>
      <c r="H103" s="693"/>
      <c r="I103" s="693"/>
      <c r="J103" s="693"/>
      <c r="K103" s="693"/>
      <c r="L103" s="693"/>
      <c r="M103" s="694"/>
      <c r="N103" s="2972"/>
      <c r="O103" s="1887"/>
      <c r="P103" s="1886"/>
      <c r="Q103" s="1879"/>
      <c r="R103" s="1867"/>
      <c r="S103" s="1867"/>
      <c r="T103" s="1867"/>
      <c r="U103" s="1867"/>
      <c r="V103" s="1867"/>
      <c r="W103" s="1867"/>
      <c r="X103" s="1867"/>
      <c r="Y103" s="1867"/>
      <c r="Z103" s="1867"/>
      <c r="AA103" s="1867"/>
      <c r="AB103" s="1867"/>
      <c r="AC103" s="1867"/>
    </row>
    <row r="104" spans="1:29" ht="15" thickTop="1">
      <c r="A104" s="556"/>
      <c r="B104" s="640">
        <f>B34</f>
        <v>111</v>
      </c>
      <c r="C104" s="655"/>
      <c r="D104" s="655"/>
      <c r="E104" s="655"/>
      <c r="F104" s="655"/>
      <c r="G104" s="685"/>
      <c r="H104" s="685"/>
      <c r="I104" s="685"/>
      <c r="J104" s="685"/>
      <c r="K104" s="686"/>
      <c r="L104" s="687"/>
      <c r="M104" s="688"/>
      <c r="N104" s="2971"/>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59"/>
      <c r="D105" s="659"/>
      <c r="E105" s="659"/>
      <c r="F105" s="659"/>
      <c r="G105" s="638"/>
      <c r="H105" s="638"/>
      <c r="I105" s="638"/>
      <c r="J105" s="638"/>
      <c r="K105" s="638"/>
      <c r="L105" s="638"/>
      <c r="M105" s="639"/>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5"/>
      <c r="B106" s="696">
        <f>B35</f>
        <v>111</v>
      </c>
      <c r="C106" s="628"/>
      <c r="D106" s="628"/>
      <c r="E106" s="628"/>
      <c r="F106" s="628"/>
      <c r="G106" s="697"/>
      <c r="H106" s="697"/>
      <c r="I106" s="697"/>
      <c r="J106" s="698"/>
      <c r="K106" s="698"/>
      <c r="L106" s="699"/>
      <c r="M106" s="700"/>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4"/>
      <c r="B107" s="648"/>
      <c r="C107" s="667"/>
      <c r="D107" s="667"/>
      <c r="E107" s="667"/>
      <c r="F107" s="667"/>
      <c r="G107" s="561"/>
      <c r="H107" s="561"/>
      <c r="I107" s="561"/>
      <c r="J107" s="561"/>
      <c r="K107" s="561"/>
      <c r="L107" s="561"/>
      <c r="M107" s="701"/>
      <c r="N107" s="2972"/>
      <c r="O107" s="1887"/>
      <c r="P107" s="1889"/>
      <c r="Q107" s="1890"/>
      <c r="R107" s="1891"/>
      <c r="S107" s="1891"/>
      <c r="T107" s="1891"/>
      <c r="U107" s="1891"/>
      <c r="V107" s="1891"/>
      <c r="W107" s="1891"/>
      <c r="X107" s="1891"/>
      <c r="Y107" s="1891"/>
      <c r="Z107" s="1891"/>
      <c r="AA107" s="1891"/>
      <c r="AB107" s="1891"/>
      <c r="AC107" s="1891"/>
    </row>
    <row r="108" spans="1:29" ht="28.5">
      <c r="A108" s="631" t="s">
        <v>500</v>
      </c>
      <c r="B108" s="632" t="s">
        <v>541</v>
      </c>
      <c r="C108" s="671" t="str">
        <f t="shared" ref="C108:L108" si="25">C109&amp;"(含)"&amp;"-"&amp;D109</f>
        <v>0(含)-30000</v>
      </c>
      <c r="D108" s="671" t="str">
        <f t="shared" si="25"/>
        <v>30000(含)-50000</v>
      </c>
      <c r="E108" s="671" t="str">
        <f t="shared" si="25"/>
        <v>50000(含)-80000</v>
      </c>
      <c r="F108" s="671" t="str">
        <f t="shared" si="25"/>
        <v>80000(含)-</v>
      </c>
      <c r="G108" s="671" t="str">
        <f t="shared" si="25"/>
        <v>(含)-</v>
      </c>
      <c r="H108" s="671" t="str">
        <f t="shared" si="25"/>
        <v>(含)-</v>
      </c>
      <c r="I108" s="671" t="str">
        <f t="shared" si="25"/>
        <v>(含)-</v>
      </c>
      <c r="J108" s="671" t="str">
        <f t="shared" si="25"/>
        <v>(含)-</v>
      </c>
      <c r="K108" s="2536" t="str">
        <f t="shared" si="25"/>
        <v>(含)-</v>
      </c>
      <c r="L108" s="2537" t="str">
        <f t="shared" si="25"/>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6"/>
      <c r="B109" s="648"/>
      <c r="C109" s="697">
        <v>0</v>
      </c>
      <c r="D109" s="697">
        <v>30000</v>
      </c>
      <c r="E109" s="697">
        <v>50000</v>
      </c>
      <c r="F109" s="697">
        <v>80000</v>
      </c>
      <c r="G109" s="697"/>
      <c r="H109" s="697"/>
      <c r="I109" s="697"/>
      <c r="J109" s="698"/>
      <c r="K109" s="698"/>
      <c r="L109" s="699"/>
      <c r="M109" s="700"/>
      <c r="N109" s="2971"/>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67">
        <v>100</v>
      </c>
      <c r="D110" s="693">
        <v>98</v>
      </c>
      <c r="E110" s="693">
        <v>96</v>
      </c>
      <c r="F110" s="693"/>
      <c r="G110" s="693"/>
      <c r="H110" s="693"/>
      <c r="I110" s="693"/>
      <c r="J110" s="693"/>
      <c r="K110" s="693"/>
      <c r="L110" s="693"/>
      <c r="M110" s="694"/>
      <c r="N110" s="2972"/>
      <c r="O110" s="1887"/>
      <c r="P110" s="1886"/>
      <c r="Q110" s="1879"/>
      <c r="R110" s="1867"/>
      <c r="S110" s="1867"/>
      <c r="T110" s="1867"/>
      <c r="U110" s="1867"/>
      <c r="V110" s="1867"/>
      <c r="W110" s="1867"/>
      <c r="X110" s="1867"/>
      <c r="Y110" s="1867"/>
      <c r="Z110" s="1867"/>
      <c r="AA110" s="1867"/>
      <c r="AB110" s="1867"/>
      <c r="AC110" s="1867"/>
    </row>
    <row r="111" spans="1:29" ht="15" thickTop="1">
      <c r="A111" s="702"/>
      <c r="B111" s="640" t="s">
        <v>542</v>
      </c>
      <c r="C111" s="685"/>
      <c r="D111" s="685"/>
      <c r="E111" s="685"/>
      <c r="F111" s="685"/>
      <c r="G111" s="685"/>
      <c r="H111" s="685"/>
      <c r="I111" s="685"/>
      <c r="J111" s="685"/>
      <c r="K111" s="686"/>
      <c r="L111" s="687"/>
      <c r="M111" s="688"/>
      <c r="N111" s="2971"/>
      <c r="O111" s="1885"/>
      <c r="P111" s="1886"/>
      <c r="Q111" s="1879"/>
      <c r="R111" s="1867"/>
      <c r="S111" s="1867"/>
      <c r="T111" s="1867"/>
      <c r="U111" s="1867"/>
      <c r="V111" s="1867"/>
      <c r="W111" s="1867"/>
      <c r="X111" s="1867"/>
      <c r="Y111" s="1867"/>
      <c r="Z111" s="1867"/>
      <c r="AA111" s="1867"/>
      <c r="AB111" s="1867"/>
      <c r="AC111" s="1867"/>
    </row>
    <row r="112" spans="1:29" ht="15.75" thickBot="1">
      <c r="A112" s="636"/>
      <c r="B112" s="645"/>
      <c r="C112" s="646">
        <v>100</v>
      </c>
      <c r="D112" s="646">
        <f t="shared" ref="D112:M112" si="26">C112-$K37</f>
        <v>100</v>
      </c>
      <c r="E112" s="646">
        <f t="shared" si="26"/>
        <v>100</v>
      </c>
      <c r="F112" s="646">
        <f t="shared" si="26"/>
        <v>100</v>
      </c>
      <c r="G112" s="646">
        <f t="shared" si="26"/>
        <v>100</v>
      </c>
      <c r="H112" s="646">
        <f t="shared" si="26"/>
        <v>100</v>
      </c>
      <c r="I112" s="646">
        <f t="shared" si="26"/>
        <v>100</v>
      </c>
      <c r="J112" s="646">
        <f t="shared" si="26"/>
        <v>100</v>
      </c>
      <c r="K112" s="646">
        <f t="shared" si="26"/>
        <v>100</v>
      </c>
      <c r="L112" s="646">
        <f t="shared" si="26"/>
        <v>100</v>
      </c>
      <c r="M112" s="647">
        <f t="shared" si="26"/>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5"/>
      <c r="B113" s="1651" t="s">
        <v>1777</v>
      </c>
      <c r="C113" s="1232" t="s">
        <v>3501</v>
      </c>
      <c r="D113" s="1232" t="s">
        <v>3502</v>
      </c>
      <c r="E113" s="1232" t="s">
        <v>3503</v>
      </c>
      <c r="F113" s="1232"/>
      <c r="G113" s="1232"/>
      <c r="H113" s="685"/>
      <c r="I113" s="685"/>
      <c r="J113" s="685"/>
      <c r="K113" s="686"/>
      <c r="L113" s="687"/>
      <c r="M113" s="688"/>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 t="shared" ref="D114:M114" si="27">C114-$K38</f>
        <v>98</v>
      </c>
      <c r="E114" s="646">
        <f t="shared" si="27"/>
        <v>96</v>
      </c>
      <c r="F114" s="646">
        <f t="shared" si="27"/>
        <v>94</v>
      </c>
      <c r="G114" s="646">
        <f t="shared" si="27"/>
        <v>92</v>
      </c>
      <c r="H114" s="646">
        <f t="shared" si="27"/>
        <v>90</v>
      </c>
      <c r="I114" s="646">
        <f t="shared" si="27"/>
        <v>88</v>
      </c>
      <c r="J114" s="646">
        <f t="shared" si="27"/>
        <v>86</v>
      </c>
      <c r="K114" s="646">
        <f t="shared" si="27"/>
        <v>84</v>
      </c>
      <c r="L114" s="646">
        <f t="shared" si="27"/>
        <v>82</v>
      </c>
      <c r="M114" s="647">
        <f t="shared" si="27"/>
        <v>80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2"/>
      <c r="B115" s="640" t="s">
        <v>544</v>
      </c>
      <c r="C115" s="655"/>
      <c r="D115" s="655"/>
      <c r="E115" s="685"/>
      <c r="F115" s="685"/>
      <c r="G115" s="685"/>
      <c r="H115" s="685"/>
      <c r="I115" s="685"/>
      <c r="J115" s="685"/>
      <c r="K115" s="686"/>
      <c r="L115" s="687"/>
      <c r="M115" s="688"/>
      <c r="N115" s="2971"/>
      <c r="O115" s="1885"/>
      <c r="P115" s="1886"/>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8">C116-$K39</f>
        <v>100</v>
      </c>
      <c r="E116" s="646">
        <f t="shared" si="28"/>
        <v>100</v>
      </c>
      <c r="F116" s="646">
        <f t="shared" si="28"/>
        <v>100</v>
      </c>
      <c r="G116" s="646">
        <f t="shared" si="28"/>
        <v>100</v>
      </c>
      <c r="H116" s="646">
        <f t="shared" si="28"/>
        <v>100</v>
      </c>
      <c r="I116" s="646">
        <f t="shared" si="28"/>
        <v>100</v>
      </c>
      <c r="J116" s="646">
        <f t="shared" si="28"/>
        <v>100</v>
      </c>
      <c r="K116" s="646">
        <f t="shared" si="28"/>
        <v>100</v>
      </c>
      <c r="L116" s="646">
        <f t="shared" si="28"/>
        <v>100</v>
      </c>
      <c r="M116" s="647">
        <f t="shared" si="28"/>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2"/>
      <c r="B117" s="640">
        <f>B40</f>
        <v>111</v>
      </c>
      <c r="C117" s="655"/>
      <c r="D117" s="655"/>
      <c r="E117" s="655"/>
      <c r="F117" s="655"/>
      <c r="G117" s="655"/>
      <c r="H117" s="685"/>
      <c r="I117" s="685"/>
      <c r="J117" s="685"/>
      <c r="K117" s="686"/>
      <c r="L117" s="687"/>
      <c r="M117" s="688"/>
      <c r="N117" s="2971"/>
      <c r="O117" s="1885"/>
      <c r="P117" s="1886"/>
      <c r="Q117" s="1879"/>
      <c r="R117" s="1867"/>
      <c r="S117" s="1867"/>
      <c r="T117" s="1867"/>
      <c r="U117" s="1867"/>
      <c r="V117" s="1867"/>
      <c r="W117" s="1867"/>
      <c r="X117" s="1867"/>
      <c r="Y117" s="1867"/>
      <c r="Z117" s="1867"/>
      <c r="AA117" s="1867"/>
      <c r="AB117" s="1867"/>
      <c r="AC117" s="1867"/>
    </row>
    <row r="118" spans="1:29" ht="15.75" thickBot="1">
      <c r="A118" s="636"/>
      <c r="B118" s="645"/>
      <c r="C118" s="659"/>
      <c r="D118" s="638"/>
      <c r="E118" s="638"/>
      <c r="F118" s="638"/>
      <c r="G118" s="638"/>
      <c r="H118" s="638"/>
      <c r="I118" s="638"/>
      <c r="J118" s="638"/>
      <c r="K118" s="638"/>
      <c r="L118" s="638"/>
      <c r="M118" s="639"/>
      <c r="N118" s="2972"/>
      <c r="O118" s="1887"/>
      <c r="P118" s="1886"/>
      <c r="Q118" s="1879"/>
      <c r="R118" s="1867"/>
      <c r="S118" s="1867"/>
      <c r="T118" s="1867"/>
      <c r="U118" s="1867"/>
      <c r="V118" s="1867"/>
      <c r="W118" s="1867"/>
      <c r="X118" s="1867"/>
      <c r="Y118" s="1867"/>
      <c r="Z118" s="1867"/>
      <c r="AA118" s="1867"/>
      <c r="AB118" s="1867"/>
      <c r="AC118" s="1867"/>
    </row>
    <row r="119" spans="1:29" ht="15" thickTop="1">
      <c r="A119" s="702"/>
      <c r="B119" s="640">
        <f>B41</f>
        <v>111</v>
      </c>
      <c r="C119" s="655"/>
      <c r="D119" s="655"/>
      <c r="E119" s="655"/>
      <c r="F119" s="655"/>
      <c r="G119" s="685"/>
      <c r="H119" s="685"/>
      <c r="I119" s="685"/>
      <c r="J119" s="685"/>
      <c r="K119" s="686"/>
      <c r="L119" s="687"/>
      <c r="M119" s="688"/>
      <c r="N119" s="2971"/>
      <c r="O119" s="1885"/>
      <c r="P119" s="1886"/>
      <c r="Q119" s="1879"/>
      <c r="R119" s="1867"/>
      <c r="S119" s="1867"/>
      <c r="T119" s="1867"/>
      <c r="U119" s="1867"/>
      <c r="V119" s="1867"/>
      <c r="W119" s="1867"/>
      <c r="X119" s="1867"/>
      <c r="Y119" s="1867"/>
      <c r="Z119" s="1867"/>
      <c r="AA119" s="1867"/>
      <c r="AB119" s="1867"/>
      <c r="AC119" s="1867"/>
    </row>
    <row r="120" spans="1:29" ht="15.75" thickBot="1">
      <c r="A120" s="636"/>
      <c r="B120" s="645"/>
      <c r="C120" s="659"/>
      <c r="D120" s="659"/>
      <c r="E120" s="659"/>
      <c r="F120" s="659"/>
      <c r="G120" s="638"/>
      <c r="H120" s="638"/>
      <c r="I120" s="638"/>
      <c r="J120" s="638"/>
      <c r="K120" s="638"/>
      <c r="L120" s="638"/>
      <c r="M120" s="639"/>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5"/>
      <c r="B121" s="640">
        <f>B42</f>
        <v>111</v>
      </c>
      <c r="C121" s="628"/>
      <c r="D121" s="628"/>
      <c r="E121" s="628"/>
      <c r="F121" s="628"/>
      <c r="G121" s="656"/>
      <c r="H121" s="656"/>
      <c r="I121" s="656"/>
      <c r="J121" s="656"/>
      <c r="K121" s="656"/>
      <c r="L121" s="657"/>
      <c r="M121" s="658"/>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5"/>
      <c r="B122" s="703"/>
      <c r="C122" s="667"/>
      <c r="D122" s="667"/>
      <c r="E122" s="667"/>
      <c r="F122" s="667"/>
      <c r="G122" s="693"/>
      <c r="H122" s="693"/>
      <c r="I122" s="693"/>
      <c r="J122" s="693"/>
      <c r="K122" s="693"/>
      <c r="L122" s="693"/>
      <c r="M122" s="694"/>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37" zoomScale="85" zoomScaleNormal="60" zoomScaleSheetLayoutView="85" workbookViewId="0">
      <selection activeCell="C86" sqref="C86"/>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4519.1100000000006</v>
      </c>
      <c r="E1" s="1260" t="s">
        <v>1779</v>
      </c>
      <c r="F1" s="2104">
        <f>'数据-基础表'!E14</f>
        <v>4259.9399999999996</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f>C30</f>
        <v>744</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Ⅶ-兴2</v>
      </c>
      <c r="J2" s="1264"/>
      <c r="K2" s="2974"/>
      <c r="L2" s="1640" t="s">
        <v>1598</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2398</v>
      </c>
      <c r="U2" s="2405"/>
      <c r="V2" s="2415">
        <f>ROUND(T2*U2/10000,0)</f>
        <v>0</v>
      </c>
      <c r="W2" s="1910"/>
      <c r="X2" s="1910"/>
      <c r="Y2" s="1910"/>
      <c r="Z2" s="1910"/>
      <c r="AA2" s="1910"/>
      <c r="AB2" s="1910"/>
      <c r="AC2" s="1911"/>
    </row>
    <row r="3" spans="1:39" ht="15.75">
      <c r="A3" s="1265" t="s">
        <v>1220</v>
      </c>
      <c r="B3" s="990">
        <f>ROUND(B2*10000/D1,0)</f>
        <v>1646</v>
      </c>
      <c r="C3" s="1261" t="s">
        <v>855</v>
      </c>
      <c r="D3" s="1262" t="s">
        <v>856</v>
      </c>
      <c r="E3" s="1266" t="s">
        <v>2508</v>
      </c>
      <c r="F3" s="1267" t="s">
        <v>3291</v>
      </c>
      <c r="G3" s="991">
        <f>IF(F3="宗地容积率",'数据-汇总表'!I4,IF(F3="估价对象容积率",'数据-汇总表'!I6,'数据-汇总表'!I7))</f>
        <v>1.0900000000000001</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1890</v>
      </c>
      <c r="U3" s="2405"/>
      <c r="V3" s="2415">
        <f t="shared" ref="V3:V16" si="1">ROUND(T3*U3/10000,0)</f>
        <v>0</v>
      </c>
      <c r="W3" s="1910"/>
      <c r="X3" s="1910"/>
      <c r="Y3" s="1910"/>
      <c r="Z3" s="1910"/>
      <c r="AA3" s="1910"/>
      <c r="AB3" s="1910"/>
      <c r="AC3" s="1911"/>
    </row>
    <row r="4" spans="1:39" ht="28.5">
      <c r="A4" s="1646" t="s">
        <v>1638</v>
      </c>
      <c r="B4" s="2105">
        <f>ROUND(B2*10000/F1,0)</f>
        <v>1747</v>
      </c>
      <c r="C4" s="1649" t="s">
        <v>1613</v>
      </c>
      <c r="D4" s="1649">
        <f>ROUND(B2/(F1/666.67),0)</f>
        <v>116</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1597</v>
      </c>
      <c r="U4" s="2405"/>
      <c r="V4" s="2415">
        <f t="shared" si="1"/>
        <v>0</v>
      </c>
      <c r="W4" s="1910"/>
      <c r="X4" s="1910"/>
      <c r="Y4" s="1910"/>
      <c r="Z4" s="1910"/>
      <c r="AA4" s="1910"/>
      <c r="AB4" s="1910"/>
      <c r="AC4" s="1911"/>
    </row>
    <row r="5" spans="1:39" s="1275" customFormat="1" ht="15.75" thickBot="1">
      <c r="A5" s="1443" t="s">
        <v>1352</v>
      </c>
      <c r="B5" s="1269" t="s">
        <v>859</v>
      </c>
      <c r="C5" s="993">
        <f>ROUND(IF(E2="商业",C6*C7*C17+C20,(IF(E2="住宅",C6*C13*C17+C20,IF(E2="办公",C6*C12*C17+C20,C6+C20)))),0)</f>
        <v>1555</v>
      </c>
      <c r="D5" s="2547">
        <f>ROUND(C6*C17+C20,0)</f>
        <v>1555</v>
      </c>
      <c r="E5" s="2547"/>
      <c r="F5" s="1270"/>
      <c r="G5" s="1271"/>
      <c r="H5" s="1271"/>
      <c r="I5" s="1271"/>
      <c r="J5" s="1272"/>
      <c r="K5" s="2976"/>
      <c r="L5" s="1640" t="s">
        <v>1601</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0.88239999999999996</v>
      </c>
      <c r="T5" s="2415">
        <f t="shared" si="0"/>
        <v>1409</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1630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1354</v>
      </c>
      <c r="U6" s="2405"/>
      <c r="V6" s="2415">
        <f t="shared" si="1"/>
        <v>0</v>
      </c>
      <c r="W6" s="1910"/>
      <c r="X6" s="1910"/>
      <c r="Y6" s="1910"/>
      <c r="Z6" s="1910"/>
      <c r="AA6" s="1910"/>
      <c r="AB6" s="1910"/>
      <c r="AC6" s="1912"/>
      <c r="AD6" s="1273"/>
      <c r="AE6" s="1273"/>
      <c r="AF6" s="1273"/>
      <c r="AG6" s="1273"/>
      <c r="AH6" s="1273"/>
      <c r="AI6" s="1273"/>
      <c r="AJ6" s="1274"/>
    </row>
    <row r="7" spans="1:39" ht="24.75" thickBot="1">
      <c r="A7" s="3525" t="s">
        <v>3197</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1630</v>
      </c>
      <c r="N7" s="1642">
        <f>SUMPRODUCT((因素修正幅度!B190:B233=I2)*(因素修正幅度!C3:G3=E2)*(因素修正幅度!C190:G233))</f>
        <v>0.129</v>
      </c>
      <c r="O7" s="2977"/>
      <c r="P7" s="2980"/>
      <c r="Q7" s="1910"/>
      <c r="R7" s="2415">
        <v>6</v>
      </c>
      <c r="S7" s="2405"/>
      <c r="T7" s="2415">
        <f t="shared" si="0"/>
        <v>0</v>
      </c>
      <c r="U7" s="2405"/>
      <c r="V7" s="2415">
        <f t="shared" si="1"/>
        <v>0</v>
      </c>
      <c r="W7" s="2413" t="s">
        <v>2046</v>
      </c>
      <c r="X7" s="2406" t="str">
        <f>G2</f>
        <v>七级</v>
      </c>
      <c r="Y7" s="2406" t="s">
        <v>2047</v>
      </c>
      <c r="Z7" s="2407">
        <f>G3</f>
        <v>1.0900000000000001</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907" t="s">
        <v>2060</v>
      </c>
      <c r="X8" s="3908"/>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906"/>
      <c r="X9" s="2410" t="s">
        <v>3221</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90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5" t="s">
        <v>3198</v>
      </c>
      <c r="B12" s="3506" t="s">
        <v>3199</v>
      </c>
      <c r="C12" s="3512">
        <v>1.02</v>
      </c>
      <c r="D12" s="3507" t="s">
        <v>3200</v>
      </c>
      <c r="E12" s="3508" t="s">
        <v>3201</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5" t="s">
        <v>3202</v>
      </c>
      <c r="B13" s="1282" t="s">
        <v>874</v>
      </c>
      <c r="C13" s="3526">
        <f>ROUND(C16*D16*E16*F16*G16*H16*I16*J16,4)</f>
        <v>0</v>
      </c>
      <c r="D13" s="3544" t="s">
        <v>3203</v>
      </c>
      <c r="E13" s="3545"/>
      <c r="F13" s="3545"/>
      <c r="G13" s="3545"/>
      <c r="H13" s="3545"/>
      <c r="I13" s="3545"/>
      <c r="J13" s="3546"/>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7"/>
      <c r="B14" s="1286" t="s">
        <v>1229</v>
      </c>
      <c r="C14" s="3460" t="s">
        <v>1230</v>
      </c>
      <c r="D14" s="1288" t="s">
        <v>1231</v>
      </c>
      <c r="E14" s="780" t="s">
        <v>3204</v>
      </c>
      <c r="F14" s="3548" t="s">
        <v>1178</v>
      </c>
      <c r="G14" s="3548" t="s">
        <v>1178</v>
      </c>
      <c r="H14" s="3549" t="s">
        <v>1178</v>
      </c>
      <c r="I14" s="3550" t="s">
        <v>1178</v>
      </c>
      <c r="J14" s="3550" t="s">
        <v>1178</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7"/>
      <c r="B15" s="1288"/>
      <c r="C15" s="3551"/>
      <c r="D15" s="3552"/>
      <c r="E15" s="3553"/>
      <c r="F15" s="3553"/>
      <c r="G15" s="3515" t="s">
        <v>3205</v>
      </c>
      <c r="H15" s="3516"/>
      <c r="I15" s="3517"/>
      <c r="J15" s="3518"/>
      <c r="K15" s="3519"/>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3209</v>
      </c>
      <c r="E18" s="3563"/>
      <c r="F18" s="3560" t="s">
        <v>3212</v>
      </c>
      <c r="G18" s="3562">
        <f>ROUND(1-(1/(POWER(1+G24,E18))),4)</f>
        <v>0</v>
      </c>
      <c r="H18" s="3560" t="s">
        <v>3214</v>
      </c>
      <c r="I18" s="3562">
        <f>ROUND(1-(1/(POWER(1+G24,J24))),4)</f>
        <v>0.91279999999999994</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3210</v>
      </c>
      <c r="E19" s="3565"/>
      <c r="F19" s="3561" t="s">
        <v>3213</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00" t="s">
        <v>1370</v>
      </c>
      <c r="B20" s="1277" t="s">
        <v>875</v>
      </c>
      <c r="C20" s="997">
        <f>ROUND(IF(F21="与级别开发程度一致",0,(G21-E21)/C21),0)</f>
        <v>-75</v>
      </c>
      <c r="D20" s="3912" t="s">
        <v>879</v>
      </c>
      <c r="E20" s="3913"/>
      <c r="F20" s="3912" t="s">
        <v>876</v>
      </c>
      <c r="G20" s="3913"/>
      <c r="H20" s="1290" t="s">
        <v>2769</v>
      </c>
      <c r="I20" s="1290" t="s">
        <v>2770</v>
      </c>
      <c r="J20" s="1290" t="s">
        <v>2771</v>
      </c>
      <c r="K20" s="1290" t="s">
        <v>2772</v>
      </c>
      <c r="L20" s="1290" t="s">
        <v>2773</v>
      </c>
      <c r="M20" s="1290" t="s">
        <v>2776</v>
      </c>
      <c r="N20" s="1290"/>
      <c r="O20" s="2605"/>
      <c r="P20" s="1910"/>
      <c r="Q20" s="1913"/>
      <c r="R20" s="1916"/>
      <c r="S20" s="1916"/>
      <c r="T20" s="1916"/>
      <c r="U20" s="1916"/>
      <c r="V20" s="1916"/>
      <c r="W20" s="1916"/>
      <c r="X20" s="1916"/>
      <c r="Y20" s="1294"/>
      <c r="Z20" s="1294"/>
      <c r="AA20" s="1294"/>
      <c r="AB20" s="1294"/>
      <c r="AC20" s="1294"/>
      <c r="AD20" s="1294"/>
    </row>
    <row r="21" spans="1:40" s="1275" customFormat="1" ht="24.75" thickBot="1">
      <c r="A21" s="3901"/>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3283</v>
      </c>
      <c r="G21" s="2598">
        <f>SUM(H21:O21)</f>
        <v>225</v>
      </c>
      <c r="H21" s="996">
        <f>SUMPRODUCT((七通一平=H20)*(修正!B1:M1=G2)*(修正!B8:M16))</f>
        <v>70</v>
      </c>
      <c r="I21" s="996">
        <f>SUMPRODUCT((七通一平=I20)*(修正!B1:M1=G2)*(修正!B8:M16))</f>
        <v>60</v>
      </c>
      <c r="J21" s="996">
        <f>SUMPRODUCT((七通一平=J20)*(修正!B1:M1=G2)*(修正!B8:M16))</f>
        <v>15</v>
      </c>
      <c r="K21" s="996">
        <f>SUMPRODUCT((七通一平=K20)*(修正!B1:M1=G2)*(修正!B8:M16))</f>
        <v>25</v>
      </c>
      <c r="L21" s="996">
        <f>SUMPRODUCT((七通一平=L20)*(修正!B1:M1=G2)*(修正!B8:M16))</f>
        <v>40</v>
      </c>
      <c r="M21" s="996">
        <f>SUMPRODUCT((七通一平=M20)*(修正!B1:M1=G2)*(修正!B8:M16))</f>
        <v>15</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6" t="s">
        <v>882</v>
      </c>
      <c r="E23" s="999">
        <v>44197</v>
      </c>
      <c r="F23" s="1296" t="s">
        <v>883</v>
      </c>
      <c r="G23" s="1000">
        <f>'数据-取费表'!B2</f>
        <v>45378</v>
      </c>
      <c r="H23" s="1297" t="s">
        <v>2247</v>
      </c>
      <c r="I23" s="2265" t="str">
        <f>IF(H23="季度增幅（自定义）",SUMIF(N25:N28,E2,O25:O28),"")</f>
        <v/>
      </c>
      <c r="J23" s="3566" t="s">
        <v>3284</v>
      </c>
      <c r="K23" s="2976"/>
      <c r="L23" s="2510" t="s">
        <v>2116</v>
      </c>
      <c r="M23" s="2511">
        <f>ROUND(SUMIF(地价!B2:F2,E2,地价!B41:F41),0)</f>
        <v>230</v>
      </c>
      <c r="N23" s="2267" t="s">
        <v>1211</v>
      </c>
      <c r="O23" s="2266">
        <f>ROUNDDOWN(DATEDIF(E23,G23,"M")/3,0)</f>
        <v>12</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f>ROUND(POWER(1+G24,J24-I24)*(POWER(1+G24,I24)-1)/(POWER(1+G24,J24)-1),4)</f>
        <v>0.93089999999999995</v>
      </c>
      <c r="D24" s="2262" t="s">
        <v>897</v>
      </c>
      <c r="E24" s="2539">
        <f>存贷款利率!E24/100</f>
        <v>4.3499999999999997E-2</v>
      </c>
      <c r="F24" s="2262" t="s">
        <v>898</v>
      </c>
      <c r="G24" s="2263">
        <f>SUMIF(M30:Q30,E2,M33:Q33)</f>
        <v>0.05</v>
      </c>
      <c r="H24" s="2262" t="s">
        <v>899</v>
      </c>
      <c r="I24" s="2258">
        <f>SUMIF('数据-取费表'!C6:C15,E2,'数据-取费表'!F6:F15)/COUNTIF('数据-取费表'!C6:C15,E2)</f>
        <v>38.840000000000003</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1.0314000000000001</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3215</v>
      </c>
      <c r="D26" s="1001">
        <f>IF(E26=G26,F26,IF(G3&lt;10,ROUND(F26+(H26-F26)*(G3-E26)/(G26-E26),4),"——"))</f>
        <v>1.0314000000000001</v>
      </c>
      <c r="E26" s="991">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1">
        <f>ROUNDUP(G3,1)</f>
        <v>1.1000000000000001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567" t="s">
        <v>3216</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1.0268999999999999</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f>IF(B25="容积率修正",E33+SUM(E37:E42),SUM(V2:V16)+SUM(E37:E42))</f>
        <v>744</v>
      </c>
      <c r="D30" s="1311"/>
      <c r="E30" s="1289"/>
      <c r="F30" s="1312"/>
      <c r="G30" s="1289"/>
      <c r="H30" s="1289"/>
      <c r="I30" s="1289"/>
      <c r="J30" s="1313"/>
      <c r="K30" s="2977"/>
      <c r="L30" s="1406" t="s">
        <v>833</v>
      </c>
      <c r="M30" s="1278" t="s">
        <v>907</v>
      </c>
      <c r="N30" s="1278" t="s">
        <v>908</v>
      </c>
      <c r="O30" s="1278" t="s">
        <v>835</v>
      </c>
      <c r="P30" s="1298" t="s">
        <v>909</v>
      </c>
      <c r="Q30" s="1298" t="s">
        <v>3243</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f>E34+SUM(I37:I42)</f>
        <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f>ROUND(C5*C22*C23*C24*C25*C28,0)</f>
        <v>1647</v>
      </c>
      <c r="D33" s="1325">
        <f>'数据-汇总表'!F19</f>
        <v>4519.1100000000006</v>
      </c>
      <c r="E33" s="1634">
        <f>ROUND(C33*D33/10000,0)</f>
        <v>744</v>
      </c>
      <c r="F33" s="3568" t="s">
        <v>3218</v>
      </c>
      <c r="G33" s="1326"/>
      <c r="H33" s="1326"/>
      <c r="I33" s="1326"/>
      <c r="J33" s="1327"/>
      <c r="K33" s="2984"/>
      <c r="L33" s="3638" t="s">
        <v>3244</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f>ROUND(IF(E2="工业",C33*M42,IF(B25="楼层修正",SUM(V2:V16)*M41*10000/D34,C33*M41)),0)</f>
        <v>247</v>
      </c>
      <c r="D34" s="1330"/>
      <c r="E34" s="1634">
        <f>ROUND(IF(B25="楼层修正",SUM(V2:V16)*#REF!,C34*D34/10000),0)</f>
        <v>0</v>
      </c>
      <c r="F34" s="3569" t="s">
        <v>3219</v>
      </c>
      <c r="G34" s="1331"/>
      <c r="H34" s="1331"/>
      <c r="I34" s="1331"/>
      <c r="J34" s="1332"/>
      <c r="K34" s="2977"/>
      <c r="L34" s="3638" t="s">
        <v>3245</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3246</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04"/>
      <c r="B37" s="1343" t="s">
        <v>923</v>
      </c>
      <c r="C37" s="1004">
        <f>ROUND(D5*C22*C23*C24*C28*F37,0)</f>
        <v>958</v>
      </c>
      <c r="D37" s="1355"/>
      <c r="E37" s="995">
        <f>ROUND(C37*D37/10000,0)</f>
        <v>0</v>
      </c>
      <c r="F37" s="995">
        <f>SUMIF(修正!A57:A68,G2,修正!B57:B68)</f>
        <v>0.6</v>
      </c>
      <c r="G37" s="995">
        <f>ROUND(IF(E2="工业",C37*$M$42,C37*$M$41),0)</f>
        <v>144</v>
      </c>
      <c r="H37" s="995">
        <f>D37</f>
        <v>0</v>
      </c>
      <c r="I37" s="995">
        <f>ROUND(G37*H37/10000,0)</f>
        <v>0</v>
      </c>
      <c r="J37" s="3904"/>
      <c r="K37" s="3641" t="s">
        <v>3247</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1"/>
      <c r="S37" s="1911"/>
      <c r="T37" s="1911"/>
      <c r="U37" s="1911"/>
      <c r="V37" s="1911"/>
      <c r="W37" s="1910"/>
      <c r="X37" s="1910"/>
      <c r="Y37" s="1910"/>
      <c r="Z37" s="1910"/>
      <c r="AA37" s="1910"/>
      <c r="AB37" s="1910"/>
      <c r="AC37" s="1911"/>
    </row>
    <row r="38" spans="1:44" ht="12.75">
      <c r="A38" s="3905"/>
      <c r="B38" s="1287" t="s">
        <v>924</v>
      </c>
      <c r="C38" s="1004">
        <f>ROUND(D5*C22*C23*C24*C28*F38,0)</f>
        <v>479</v>
      </c>
      <c r="D38" s="1355"/>
      <c r="E38" s="995">
        <f t="shared" ref="E38:E42" si="4">ROUND(C38*D38/10000,0)</f>
        <v>0</v>
      </c>
      <c r="F38" s="995">
        <f>SUMIF(修正!A57:A68,G2,修正!C57:C68)</f>
        <v>0.3</v>
      </c>
      <c r="G38" s="995">
        <f>ROUND(IF(E2="工业",C38*$M$42,C38*$M$41),0)</f>
        <v>72</v>
      </c>
      <c r="H38" s="995">
        <f t="shared" ref="H38:H42" si="5">D38</f>
        <v>0</v>
      </c>
      <c r="I38" s="995">
        <f t="shared" ref="I38:I42" si="6">ROUND(G38*H38/10000,0)</f>
        <v>0</v>
      </c>
      <c r="J38" s="3905"/>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05"/>
      <c r="B39" s="3570" t="s">
        <v>3220</v>
      </c>
      <c r="C39" s="1004">
        <f>ROUND(D5*C22*C23*C24*C28*F39,0)</f>
        <v>399</v>
      </c>
      <c r="D39" s="1355"/>
      <c r="E39" s="995">
        <f t="shared" si="4"/>
        <v>0</v>
      </c>
      <c r="F39" s="995">
        <f>SUMIF(修正!A57:A68,G2,修正!D57:D68)</f>
        <v>0.25</v>
      </c>
      <c r="G39" s="995">
        <f>ROUND(IF(E2="工业",C39*$M$42,C39*$M$41),0)</f>
        <v>60</v>
      </c>
      <c r="H39" s="995">
        <f t="shared" si="5"/>
        <v>0</v>
      </c>
      <c r="I39" s="995">
        <f t="shared" si="6"/>
        <v>0</v>
      </c>
      <c r="J39" s="3905"/>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f>ROUND(D5*C22*C23*C24*C28*F40,0)</f>
        <v>399</v>
      </c>
      <c r="D40" s="1355"/>
      <c r="E40" s="995">
        <f t="shared" si="4"/>
        <v>0</v>
      </c>
      <c r="F40" s="1004">
        <f>SUMIF(修正!A57:A68,G2,修正!E57:E68)</f>
        <v>0.25</v>
      </c>
      <c r="G40" s="995">
        <f>ROUND(IF(E2="工业",C40*$M$42,C40*$M$41),0)</f>
        <v>60</v>
      </c>
      <c r="H40" s="995">
        <f t="shared" si="5"/>
        <v>0</v>
      </c>
      <c r="I40" s="995">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f>ROUND(D5*C22*C23*C44*C28*F41,0)</f>
        <v>0</v>
      </c>
      <c r="D41" s="1355"/>
      <c r="E41" s="995">
        <f t="shared" si="4"/>
        <v>0</v>
      </c>
      <c r="F41" s="1004">
        <f>SUMIF(修正!A57:A68,G2,修正!F57:F68)</f>
        <v>0.25</v>
      </c>
      <c r="G41" s="995">
        <f>ROUND(IF(E2="工业",C41*$M$42,C41*$M$41),0)</f>
        <v>0</v>
      </c>
      <c r="H41" s="995">
        <f t="shared" si="5"/>
        <v>0</v>
      </c>
      <c r="I41" s="995">
        <f t="shared" si="6"/>
        <v>0</v>
      </c>
      <c r="J41" s="1344"/>
      <c r="K41" s="1910"/>
      <c r="L41" s="3644" t="s">
        <v>3248</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f>ROUND(D5*C22*C23*C44*C28*F42,0)</f>
        <v>0</v>
      </c>
      <c r="D42" s="1356"/>
      <c r="E42" s="996">
        <f t="shared" si="4"/>
        <v>0</v>
      </c>
      <c r="F42" s="1006">
        <f>SUMIF(修正!A57:A68,G2,修正!G57:G68)</f>
        <v>0.15</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2243</v>
      </c>
      <c r="C44" s="803">
        <f>ROUND(POWER(1+E44,H44-G44)*(POWER(1+E44,G44)-1)/(POWER(1+E44,H44)-1),4)</f>
        <v>0</v>
      </c>
      <c r="D44" s="364" t="s">
        <v>2241</v>
      </c>
      <c r="E44" s="2586">
        <f>G24</f>
        <v>0.05</v>
      </c>
      <c r="F44" s="364" t="s">
        <v>2242</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hidden="1">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hidden="1">
      <c r="A52" s="3571" t="s">
        <v>3222</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hidden="1">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hidden="1">
      <c r="A63" s="3571" t="s">
        <v>3222</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hidden="1">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hidden="1">
      <c r="A74" s="3571" t="s">
        <v>3222</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1.0268999999999999</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t="s">
        <v>3285</v>
      </c>
      <c r="D83" s="3598">
        <f t="shared" ref="D83:D90" si="22">SUMIF($J$82:$N$82,C83,J83:N83)</f>
        <v>1.67E-2</v>
      </c>
      <c r="E83" s="3599">
        <f>ROUND(SUM(D83:D90),4)</f>
        <v>2.69E-2</v>
      </c>
      <c r="F83" s="3600">
        <f>IF(E2="工业",SUMIF(L1:L12,G2,N1:N12),"——")</f>
        <v>0.129</v>
      </c>
      <c r="G83" s="3601">
        <v>1.67E-2</v>
      </c>
      <c r="H83" s="3602">
        <f t="shared" ref="H83:H90" si="23">IFERROR(ROUNDDOWN($F$83*I83/2,4),"——")</f>
        <v>1.67E-2</v>
      </c>
      <c r="I83" s="3576">
        <v>0.26</v>
      </c>
      <c r="J83" s="3603">
        <f t="shared" ref="J83:J90" si="24">K83+$G83</f>
        <v>3.3399999999999999E-2</v>
      </c>
      <c r="K83" s="3603">
        <f t="shared" ref="K83:K90" si="25">$L83+$G83</f>
        <v>1.67E-2</v>
      </c>
      <c r="L83" s="3603">
        <v>0</v>
      </c>
      <c r="M83" s="3603">
        <f t="shared" ref="M83:N90" si="26">L83-$G83</f>
        <v>-1.67E-2</v>
      </c>
      <c r="N83" s="3603">
        <f t="shared" si="26"/>
        <v>-3.3399999999999999E-2</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t="s">
        <v>3286</v>
      </c>
      <c r="D84" s="3598">
        <f t="shared" si="22"/>
        <v>0</v>
      </c>
      <c r="E84" s="3604"/>
      <c r="F84" s="3600"/>
      <c r="G84" s="3601">
        <v>1.9300000000000001E-2</v>
      </c>
      <c r="H84" s="3602">
        <f t="shared" si="23"/>
        <v>1.9300000000000001E-2</v>
      </c>
      <c r="I84" s="3576">
        <v>0.3</v>
      </c>
      <c r="J84" s="3603">
        <f t="shared" si="24"/>
        <v>3.8600000000000002E-2</v>
      </c>
      <c r="K84" s="3603">
        <f t="shared" si="25"/>
        <v>1.9300000000000001E-2</v>
      </c>
      <c r="L84" s="3603">
        <v>0</v>
      </c>
      <c r="M84" s="3603">
        <f t="shared" si="26"/>
        <v>-1.9300000000000001E-2</v>
      </c>
      <c r="N84" s="3603">
        <f t="shared" si="26"/>
        <v>-3.8600000000000002E-2</v>
      </c>
      <c r="AE84" s="3583"/>
      <c r="AF84" s="3583"/>
      <c r="AG84" s="3583"/>
      <c r="AH84" s="3583"/>
      <c r="AI84" s="3583"/>
      <c r="AJ84" s="3583"/>
    </row>
    <row r="85" spans="1:36" s="1347" customFormat="1" ht="24">
      <c r="A85" s="3589" t="s">
        <v>944</v>
      </c>
      <c r="B85" s="3590">
        <f>估价对象房地状况!G17</f>
        <v>0</v>
      </c>
      <c r="C85" s="3597" t="s">
        <v>3285</v>
      </c>
      <c r="D85" s="3598">
        <f t="shared" si="22"/>
        <v>6.4000000000000003E-3</v>
      </c>
      <c r="E85" s="3604"/>
      <c r="F85" s="3600"/>
      <c r="G85" s="3601">
        <v>6.4000000000000003E-3</v>
      </c>
      <c r="H85" s="3602">
        <f t="shared" si="23"/>
        <v>6.4000000000000003E-3</v>
      </c>
      <c r="I85" s="3576">
        <v>0.1</v>
      </c>
      <c r="J85" s="3603">
        <f t="shared" si="24"/>
        <v>1.2800000000000001E-2</v>
      </c>
      <c r="K85" s="3603">
        <f t="shared" si="25"/>
        <v>6.4000000000000003E-3</v>
      </c>
      <c r="L85" s="3603">
        <v>0</v>
      </c>
      <c r="M85" s="3603">
        <f t="shared" si="26"/>
        <v>-6.4000000000000003E-3</v>
      </c>
      <c r="N85" s="3603">
        <f t="shared" si="26"/>
        <v>-1.2800000000000001E-2</v>
      </c>
      <c r="AE85" s="3583"/>
      <c r="AF85" s="3583"/>
      <c r="AG85" s="3583"/>
      <c r="AH85" s="3583"/>
      <c r="AI85" s="3583"/>
      <c r="AJ85" s="3583"/>
    </row>
    <row r="86" spans="1:36" s="1347" customFormat="1" ht="14.25">
      <c r="A86" s="3589" t="s">
        <v>956</v>
      </c>
      <c r="B86" s="3590">
        <f>估价对象房地状况!G22</f>
        <v>0</v>
      </c>
      <c r="C86" s="3597" t="s">
        <v>3287</v>
      </c>
      <c r="D86" s="3598">
        <f t="shared" si="22"/>
        <v>-3.2000000000000002E-3</v>
      </c>
      <c r="E86" s="3604"/>
      <c r="F86" s="3600"/>
      <c r="G86" s="3601">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7" customFormat="1" ht="24">
      <c r="A87" s="3589" t="s">
        <v>948</v>
      </c>
      <c r="B87" s="3608" t="str">
        <f>估价对象房地状况!G19</f>
        <v>估价对象所在区域公共配套设施齐备情况</v>
      </c>
      <c r="C87" s="3597" t="s">
        <v>3286</v>
      </c>
      <c r="D87" s="3598">
        <f t="shared" si="22"/>
        <v>0</v>
      </c>
      <c r="E87" s="3604"/>
      <c r="F87" s="3600"/>
      <c r="G87" s="3601">
        <v>3.8E-3</v>
      </c>
      <c r="H87" s="3602">
        <f t="shared" si="23"/>
        <v>3.8E-3</v>
      </c>
      <c r="I87" s="3576">
        <v>0.06</v>
      </c>
      <c r="J87" s="3603">
        <f t="shared" si="24"/>
        <v>7.6E-3</v>
      </c>
      <c r="K87" s="3603">
        <f t="shared" si="25"/>
        <v>3.8E-3</v>
      </c>
      <c r="L87" s="3603">
        <v>0</v>
      </c>
      <c r="M87" s="3603">
        <f t="shared" si="26"/>
        <v>-3.8E-3</v>
      </c>
      <c r="N87" s="3603">
        <f t="shared" si="26"/>
        <v>-7.6E-3</v>
      </c>
      <c r="AE87" s="3583"/>
      <c r="AF87" s="3583"/>
      <c r="AG87" s="3583"/>
      <c r="AH87" s="3583"/>
      <c r="AI87" s="3583"/>
      <c r="AJ87" s="3583"/>
    </row>
    <row r="88" spans="1:36" s="1347" customFormat="1" ht="24">
      <c r="A88" s="3589" t="s">
        <v>949</v>
      </c>
      <c r="B88" s="3608" t="str">
        <f>估价对象房地状况!G20</f>
        <v>估价对象所在区域基础设施水平</v>
      </c>
      <c r="C88" s="3597" t="s">
        <v>3286</v>
      </c>
      <c r="D88" s="3598">
        <f t="shared" si="22"/>
        <v>0</v>
      </c>
      <c r="E88" s="3604"/>
      <c r="F88" s="3600"/>
      <c r="G88" s="3601">
        <v>7.7000000000000002E-3</v>
      </c>
      <c r="H88" s="3602">
        <f t="shared" si="23"/>
        <v>7.7000000000000002E-3</v>
      </c>
      <c r="I88" s="3576">
        <v>0.12</v>
      </c>
      <c r="J88" s="3603">
        <f t="shared" si="24"/>
        <v>1.54E-2</v>
      </c>
      <c r="K88" s="3603">
        <f t="shared" si="25"/>
        <v>7.7000000000000002E-3</v>
      </c>
      <c r="L88" s="3603">
        <v>0</v>
      </c>
      <c r="M88" s="3603">
        <f t="shared" si="26"/>
        <v>-7.7000000000000002E-3</v>
      </c>
      <c r="N88" s="3603">
        <f t="shared" si="26"/>
        <v>-1.54E-2</v>
      </c>
      <c r="AE88" s="3583"/>
      <c r="AF88" s="3583"/>
      <c r="AG88" s="3583"/>
      <c r="AH88" s="3583"/>
      <c r="AI88" s="3583"/>
      <c r="AJ88" s="3583"/>
    </row>
    <row r="89" spans="1:36" s="1347" customFormat="1" ht="24">
      <c r="A89" s="3589" t="s">
        <v>947</v>
      </c>
      <c r="B89" s="3606" t="s">
        <v>2199</v>
      </c>
      <c r="C89" s="3597" t="s">
        <v>3285</v>
      </c>
      <c r="D89" s="3598">
        <f t="shared" si="22"/>
        <v>3.8E-3</v>
      </c>
      <c r="E89" s="3604"/>
      <c r="F89" s="3600"/>
      <c r="G89" s="3601">
        <v>3.8E-3</v>
      </c>
      <c r="H89" s="3602">
        <f t="shared" si="23"/>
        <v>3.8E-3</v>
      </c>
      <c r="I89" s="3576">
        <v>0.06</v>
      </c>
      <c r="J89" s="3603">
        <f t="shared" si="24"/>
        <v>7.6E-3</v>
      </c>
      <c r="K89" s="3603">
        <f t="shared" si="25"/>
        <v>3.8E-3</v>
      </c>
      <c r="L89" s="3603">
        <v>0</v>
      </c>
      <c r="M89" s="3603">
        <f t="shared" si="26"/>
        <v>-3.8E-3</v>
      </c>
      <c r="N89" s="3603">
        <f t="shared" si="26"/>
        <v>-7.6E-3</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t="s">
        <v>3285</v>
      </c>
      <c r="D90" s="3598">
        <f t="shared" si="22"/>
        <v>3.2000000000000002E-3</v>
      </c>
      <c r="E90" s="3611"/>
      <c r="F90" s="3600"/>
      <c r="G90" s="3601">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7" customFormat="1" ht="15">
      <c r="A91" s="3572" t="s">
        <v>3231</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3232</v>
      </c>
      <c r="B92" s="3573"/>
      <c r="C92" s="3573" t="s">
        <v>3237</v>
      </c>
      <c r="D92" s="3573" t="s">
        <v>3224</v>
      </c>
      <c r="E92" s="3630" t="s">
        <v>3225</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3233</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3234</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3222</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3226</v>
      </c>
      <c r="B96" s="3577" t="s">
        <v>3227</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3228</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3235</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3236</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3229</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3230</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02" t="s">
        <v>1172</v>
      </c>
      <c r="B104" s="3902"/>
      <c r="C104" s="3902"/>
      <c r="D104" s="3902"/>
      <c r="E104" s="3902"/>
      <c r="F104" s="3902"/>
      <c r="G104" s="3902"/>
      <c r="H104" s="3902"/>
      <c r="I104" s="3902"/>
      <c r="J104" s="3902"/>
      <c r="K104" s="2102"/>
      <c r="L104" s="2102"/>
      <c r="M104" s="2102"/>
      <c r="N104" s="2102"/>
    </row>
    <row r="105" spans="1:36">
      <c r="A105" s="3903" t="s">
        <v>1161</v>
      </c>
      <c r="B105" s="3903" t="s">
        <v>1173</v>
      </c>
      <c r="C105" s="1040" t="s">
        <v>1174</v>
      </c>
      <c r="D105" s="1041"/>
      <c r="E105" s="1041"/>
      <c r="F105" s="1041"/>
      <c r="G105" s="1041"/>
      <c r="H105" s="1041"/>
      <c r="I105" s="1041"/>
      <c r="J105" s="1042"/>
      <c r="K105" s="1034"/>
      <c r="L105" s="1034"/>
      <c r="M105" s="1034"/>
      <c r="N105" s="1034"/>
    </row>
    <row r="106" spans="1:36">
      <c r="A106" s="3903"/>
      <c r="B106" s="3903"/>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0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0"/>
      <c r="B112" s="1043" t="s">
        <v>3238</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1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899" t="s">
        <v>1175</v>
      </c>
      <c r="B114" s="3899"/>
      <c r="C114" s="3899"/>
      <c r="D114" s="3899"/>
      <c r="E114" s="3899"/>
      <c r="F114" s="3899"/>
      <c r="G114" s="3899"/>
      <c r="H114" s="3899"/>
      <c r="I114" s="3899"/>
      <c r="J114" s="3899"/>
      <c r="K114" s="2100"/>
      <c r="L114" s="2100"/>
      <c r="M114" s="2100"/>
      <c r="N114" s="2100"/>
    </row>
    <row r="116" spans="1:14" ht="12.75" thickBot="1"/>
    <row r="117" spans="1:14" ht="25.5" thickBot="1">
      <c r="A117" s="975" t="s">
        <v>831</v>
      </c>
      <c r="B117" s="2103">
        <f>G3</f>
        <v>1.0900000000000001</v>
      </c>
      <c r="C117" s="976" t="s">
        <v>832</v>
      </c>
      <c r="D117" s="977" t="e">
        <f>SUMPRODUCT((A118:A122=F116)*(B117:M117=H116)*B118:M122)</f>
        <v>#VALUE!</v>
      </c>
      <c r="E117" s="978" t="s">
        <v>833</v>
      </c>
      <c r="F117" s="979" t="str">
        <f>E2</f>
        <v>工业</v>
      </c>
      <c r="G117" s="978" t="s">
        <v>834</v>
      </c>
      <c r="H117" s="979" t="str">
        <f>G2</f>
        <v>七级</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3239</v>
      </c>
      <c r="B119" s="3574">
        <f>ROUND(0.9968-0.011*B117,4)</f>
        <v>0.98480000000000001</v>
      </c>
      <c r="C119" s="3574">
        <f>B119</f>
        <v>0.98480000000000001</v>
      </c>
      <c r="D119" s="3574">
        <f>ROUND(0.949-0.014*B117,4)</f>
        <v>0.93369999999999997</v>
      </c>
      <c r="E119" s="3574">
        <f>D119</f>
        <v>0.93369999999999997</v>
      </c>
      <c r="F119" s="3574">
        <f>E119</f>
        <v>0.93369999999999997</v>
      </c>
      <c r="G119" s="3574">
        <f>F119</f>
        <v>0.93369999999999997</v>
      </c>
      <c r="H119" s="3574">
        <f>G119</f>
        <v>0.93369999999999997</v>
      </c>
      <c r="I119" s="3574">
        <f>ROUND(0.8486-0.018*B117,4)</f>
        <v>0.82899999999999996</v>
      </c>
      <c r="J119" s="3574">
        <f t="shared" ref="J119:M123" si="35">I119</f>
        <v>0.82899999999999996</v>
      </c>
      <c r="K119" s="3574">
        <f t="shared" si="35"/>
        <v>0.82899999999999996</v>
      </c>
      <c r="L119" s="3574">
        <f t="shared" si="35"/>
        <v>0.82899999999999996</v>
      </c>
      <c r="M119" s="3635">
        <f t="shared" si="35"/>
        <v>0.82899999999999996</v>
      </c>
    </row>
    <row r="120" spans="1:14" ht="12.75">
      <c r="A120" s="3632" t="s">
        <v>3240</v>
      </c>
      <c r="B120" s="3574">
        <f>ROUND(0.993-0.0112*B117,4)</f>
        <v>0.98080000000000001</v>
      </c>
      <c r="C120" s="3574">
        <f>B120</f>
        <v>0.98080000000000001</v>
      </c>
      <c r="D120" s="3574">
        <f>ROUND(0.9415-0.0142*B117,4)</f>
        <v>0.92600000000000005</v>
      </c>
      <c r="E120" s="3574">
        <f t="shared" ref="E120:H121" si="36">D120</f>
        <v>0.92600000000000005</v>
      </c>
      <c r="F120" s="3574">
        <f t="shared" si="36"/>
        <v>0.92600000000000005</v>
      </c>
      <c r="G120" s="3574">
        <f t="shared" si="36"/>
        <v>0.92600000000000005</v>
      </c>
      <c r="H120" s="3574">
        <f t="shared" si="36"/>
        <v>0.92600000000000005</v>
      </c>
      <c r="I120" s="3574">
        <f>ROUND(0.838-0.0182*B117,4)</f>
        <v>0.81820000000000004</v>
      </c>
      <c r="J120" s="3574">
        <f t="shared" si="35"/>
        <v>0.81820000000000004</v>
      </c>
      <c r="K120" s="3574">
        <f t="shared" si="35"/>
        <v>0.81820000000000004</v>
      </c>
      <c r="L120" s="3574">
        <f t="shared" si="35"/>
        <v>0.81820000000000004</v>
      </c>
      <c r="M120" s="3635">
        <f t="shared" si="35"/>
        <v>0.81820000000000004</v>
      </c>
    </row>
    <row r="121" spans="1:14" ht="12.75">
      <c r="A121" s="3632" t="s">
        <v>3241</v>
      </c>
      <c r="B121" s="3574">
        <f>ROUND(0.9448-0.0115*B117,4)</f>
        <v>0.93230000000000002</v>
      </c>
      <c r="C121" s="3574">
        <f>B121</f>
        <v>0.93230000000000002</v>
      </c>
      <c r="D121" s="3574">
        <f>ROUND(0.937-0.0145*B117,4)</f>
        <v>0.92120000000000002</v>
      </c>
      <c r="E121" s="3574">
        <f t="shared" si="36"/>
        <v>0.92120000000000002</v>
      </c>
      <c r="F121" s="3574">
        <f t="shared" si="36"/>
        <v>0.92120000000000002</v>
      </c>
      <c r="G121" s="3574">
        <f t="shared" si="36"/>
        <v>0.92120000000000002</v>
      </c>
      <c r="H121" s="3574">
        <f t="shared" si="36"/>
        <v>0.92120000000000002</v>
      </c>
      <c r="I121" s="3574">
        <f>ROUND(0.7965-0.0185*B117,4)</f>
        <v>0.77629999999999999</v>
      </c>
      <c r="J121" s="3574">
        <f t="shared" si="35"/>
        <v>0.77629999999999999</v>
      </c>
      <c r="K121" s="3574">
        <f t="shared" si="35"/>
        <v>0.77629999999999999</v>
      </c>
      <c r="L121" s="3574">
        <f t="shared" si="35"/>
        <v>0.77629999999999999</v>
      </c>
      <c r="M121" s="3635">
        <f t="shared" si="35"/>
        <v>0.77629999999999999</v>
      </c>
    </row>
    <row r="122" spans="1:14" ht="13.5" thickBot="1">
      <c r="A122" s="3633" t="s">
        <v>3242</v>
      </c>
      <c r="B122" s="3636">
        <f>ROUND(0.7836-0.012*B117,4)</f>
        <v>0.77049999999999996</v>
      </c>
      <c r="C122" s="3636">
        <f>B122</f>
        <v>0.77049999999999996</v>
      </c>
      <c r="D122" s="3636">
        <f>ROUND(0.753-0.015*B117,4)</f>
        <v>0.73670000000000002</v>
      </c>
      <c r="E122" s="3636">
        <f>D122</f>
        <v>0.73670000000000002</v>
      </c>
      <c r="F122" s="3636">
        <f>E122</f>
        <v>0.73670000000000002</v>
      </c>
      <c r="G122" s="3636">
        <f>ROUND(0.6612-0.018*B117,4)</f>
        <v>0.64159999999999995</v>
      </c>
      <c r="H122" s="3636">
        <f>G122</f>
        <v>0.64159999999999995</v>
      </c>
      <c r="I122" s="3636">
        <f>ROUND(0.5905-0.019*B117,4)</f>
        <v>0.56979999999999997</v>
      </c>
      <c r="J122" s="3636">
        <f t="shared" si="35"/>
        <v>0.56979999999999997</v>
      </c>
      <c r="K122" s="3636">
        <f t="shared" si="35"/>
        <v>0.56979999999999997</v>
      </c>
      <c r="L122" s="3636">
        <f t="shared" si="35"/>
        <v>0.56979999999999997</v>
      </c>
      <c r="M122" s="3637">
        <f t="shared" si="35"/>
        <v>0.56979999999999997</v>
      </c>
    </row>
    <row r="123" spans="1:14" ht="12.75">
      <c r="A123" s="3634" t="s">
        <v>3223</v>
      </c>
      <c r="B123" s="3574">
        <f>ROUND(0.9404-0.0106*B117,4)</f>
        <v>0.92879999999999996</v>
      </c>
      <c r="C123" s="3574">
        <f>B123</f>
        <v>0.92879999999999996</v>
      </c>
      <c r="D123" s="3574">
        <f>ROUND(0.8955-0.0135*B117,4)</f>
        <v>0.88080000000000003</v>
      </c>
      <c r="E123" s="3574">
        <f t="shared" ref="E123:H123" si="37">D123</f>
        <v>0.88080000000000003</v>
      </c>
      <c r="F123" s="3574">
        <f t="shared" si="37"/>
        <v>0.88080000000000003</v>
      </c>
      <c r="G123" s="3574">
        <f t="shared" si="37"/>
        <v>0.88080000000000003</v>
      </c>
      <c r="H123" s="3574">
        <f t="shared" si="37"/>
        <v>0.88080000000000003</v>
      </c>
      <c r="I123" s="3574">
        <f>ROUND(0.7632-0.0166*B117,4)</f>
        <v>0.74509999999999998</v>
      </c>
      <c r="J123" s="3574">
        <f t="shared" si="35"/>
        <v>0.74509999999999998</v>
      </c>
      <c r="K123" s="3574">
        <f t="shared" si="35"/>
        <v>0.74509999999999998</v>
      </c>
      <c r="L123" s="3574">
        <f t="shared" si="35"/>
        <v>0.74509999999999998</v>
      </c>
      <c r="M123" s="3635">
        <f t="shared" si="35"/>
        <v>0.74509999999999998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6" t="s">
        <v>2769</v>
      </c>
      <c r="B8" s="3250">
        <v>80</v>
      </c>
      <c r="C8" s="3250">
        <v>80</v>
      </c>
      <c r="D8" s="3250">
        <v>70</v>
      </c>
      <c r="E8" s="3250">
        <v>70</v>
      </c>
      <c r="F8" s="3250">
        <v>70</v>
      </c>
      <c r="G8" s="3250">
        <v>70</v>
      </c>
      <c r="H8" s="3250">
        <v>70</v>
      </c>
      <c r="I8" s="3250">
        <v>60</v>
      </c>
      <c r="J8" s="3250">
        <v>60</v>
      </c>
      <c r="K8" s="3250">
        <v>60</v>
      </c>
      <c r="L8" s="3250">
        <v>60</v>
      </c>
      <c r="M8" s="3251">
        <v>60</v>
      </c>
    </row>
    <row r="9" spans="1:13">
      <c r="A9" s="1008" t="s">
        <v>2770</v>
      </c>
      <c r="B9" s="3252">
        <v>70</v>
      </c>
      <c r="C9" s="3252">
        <v>70</v>
      </c>
      <c r="D9" s="3252">
        <v>60</v>
      </c>
      <c r="E9" s="3252">
        <v>60</v>
      </c>
      <c r="F9" s="3252">
        <v>60</v>
      </c>
      <c r="G9" s="3252">
        <v>60</v>
      </c>
      <c r="H9" s="3252">
        <v>60</v>
      </c>
      <c r="I9" s="3252">
        <v>50</v>
      </c>
      <c r="J9" s="3252">
        <v>50</v>
      </c>
      <c r="K9" s="3252">
        <v>50</v>
      </c>
      <c r="L9" s="3252">
        <v>50</v>
      </c>
      <c r="M9" s="3253">
        <v>50</v>
      </c>
    </row>
    <row r="10" spans="1:13">
      <c r="A10" s="1008"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2459</v>
      </c>
      <c r="B19" s="3256" t="s">
        <v>2460</v>
      </c>
      <c r="C19" s="3257" t="s">
        <v>2461</v>
      </c>
      <c r="D19" s="3258"/>
      <c r="E19" s="3252" t="s">
        <v>2462</v>
      </c>
      <c r="F19" s="1032"/>
      <c r="G19" s="1032"/>
    </row>
    <row r="20" spans="1:13" s="1407" customFormat="1">
      <c r="A20" s="3918" t="s">
        <v>2453</v>
      </c>
      <c r="B20" s="3921" t="s">
        <v>2463</v>
      </c>
      <c r="C20" s="3259" t="s">
        <v>2464</v>
      </c>
      <c r="D20" s="3260"/>
      <c r="E20" s="3261">
        <v>1</v>
      </c>
      <c r="F20" s="3262" t="s">
        <v>2465</v>
      </c>
      <c r="G20" s="1034"/>
      <c r="H20" s="1024"/>
      <c r="I20" s="1024"/>
    </row>
    <row r="21" spans="1:13" s="1407" customFormat="1">
      <c r="A21" s="3919"/>
      <c r="B21" s="3917"/>
      <c r="C21" s="3263" t="s">
        <v>2466</v>
      </c>
      <c r="D21" s="3264"/>
      <c r="E21" s="3265">
        <v>1</v>
      </c>
      <c r="F21" s="3262" t="s">
        <v>2467</v>
      </c>
      <c r="G21" s="1034"/>
      <c r="H21" s="1024"/>
      <c r="I21" s="1024"/>
    </row>
    <row r="22" spans="1:13" s="1407" customFormat="1">
      <c r="A22" s="3919"/>
      <c r="B22" s="3917"/>
      <c r="C22" s="3263" t="s">
        <v>2468</v>
      </c>
      <c r="D22" s="3264"/>
      <c r="E22" s="3265">
        <v>0.9</v>
      </c>
      <c r="F22" s="3262" t="s">
        <v>2469</v>
      </c>
      <c r="G22" s="1034"/>
      <c r="H22" s="1024"/>
      <c r="I22" s="1024"/>
    </row>
    <row r="23" spans="1:13" s="1407" customFormat="1">
      <c r="A23" s="3919"/>
      <c r="B23" s="3917"/>
      <c r="C23" s="3263" t="s">
        <v>2470</v>
      </c>
      <c r="D23" s="3264"/>
      <c r="E23" s="3265">
        <v>0.9</v>
      </c>
      <c r="F23" s="3262" t="s">
        <v>2471</v>
      </c>
      <c r="G23" s="1034"/>
      <c r="H23" s="1024"/>
      <c r="I23" s="1024"/>
    </row>
    <row r="24" spans="1:13" s="1407" customFormat="1">
      <c r="A24" s="3919"/>
      <c r="B24" s="3917"/>
      <c r="C24" s="3263" t="s">
        <v>2472</v>
      </c>
      <c r="D24" s="3264"/>
      <c r="E24" s="3265">
        <v>0.8</v>
      </c>
      <c r="F24" s="3262" t="s">
        <v>2473</v>
      </c>
      <c r="G24" s="1034"/>
      <c r="H24" s="1024"/>
      <c r="I24" s="1024"/>
    </row>
    <row r="25" spans="1:13" s="1407" customFormat="1" ht="14.25" thickBot="1">
      <c r="A25" s="3920"/>
      <c r="B25" s="3922"/>
      <c r="C25" s="3266" t="s">
        <v>2474</v>
      </c>
      <c r="D25" s="3267"/>
      <c r="E25" s="3268">
        <v>0.8</v>
      </c>
      <c r="F25" s="3262" t="s">
        <v>2475</v>
      </c>
      <c r="G25" s="1034"/>
      <c r="H25" s="1024"/>
      <c r="I25" s="1024"/>
    </row>
    <row r="26" spans="1:13" s="1407" customFormat="1" ht="14.25" thickBot="1">
      <c r="A26" s="3269" t="s">
        <v>2454</v>
      </c>
      <c r="B26" s="3270" t="s">
        <v>2463</v>
      </c>
      <c r="C26" s="3271" t="s">
        <v>2476</v>
      </c>
      <c r="D26" s="3272"/>
      <c r="E26" s="3273">
        <v>1</v>
      </c>
      <c r="F26" s="3262" t="s">
        <v>2477</v>
      </c>
      <c r="G26" s="1034"/>
      <c r="H26" s="1024"/>
      <c r="I26" s="1024"/>
    </row>
    <row r="27" spans="1:13" s="1407" customFormat="1">
      <c r="A27" s="3923" t="s">
        <v>2458</v>
      </c>
      <c r="B27" s="3921" t="s">
        <v>2458</v>
      </c>
      <c r="C27" s="3259" t="s">
        <v>2478</v>
      </c>
      <c r="D27" s="3260"/>
      <c r="E27" s="3261">
        <v>1</v>
      </c>
      <c r="F27" s="3262" t="s">
        <v>2479</v>
      </c>
      <c r="G27" s="1034"/>
      <c r="H27" s="1024"/>
      <c r="I27" s="1024"/>
    </row>
    <row r="28" spans="1:13" s="1407" customFormat="1">
      <c r="A28" s="3924"/>
      <c r="B28" s="3917"/>
      <c r="C28" s="3263" t="s">
        <v>2480</v>
      </c>
      <c r="D28" s="3264"/>
      <c r="E28" s="3265">
        <v>1</v>
      </c>
      <c r="F28" s="3262" t="s">
        <v>2481</v>
      </c>
      <c r="G28" s="1034"/>
      <c r="H28" s="1024"/>
      <c r="I28" s="1024"/>
    </row>
    <row r="29" spans="1:13" s="1407" customFormat="1">
      <c r="A29" s="3924"/>
      <c r="B29" s="3917"/>
      <c r="C29" s="3263" t="s">
        <v>2482</v>
      </c>
      <c r="D29" s="3264"/>
      <c r="E29" s="3265">
        <v>0.8</v>
      </c>
      <c r="F29" s="3262" t="s">
        <v>2483</v>
      </c>
      <c r="G29" s="1034"/>
      <c r="H29" s="1024"/>
      <c r="I29" s="1024"/>
    </row>
    <row r="30" spans="1:13" s="1407" customFormat="1">
      <c r="A30" s="3924"/>
      <c r="B30" s="3917"/>
      <c r="C30" s="3263" t="s">
        <v>2484</v>
      </c>
      <c r="D30" s="3264"/>
      <c r="E30" s="3265">
        <v>0.8</v>
      </c>
      <c r="F30" s="3262" t="s">
        <v>2485</v>
      </c>
      <c r="G30" s="1034"/>
      <c r="H30" s="1024"/>
      <c r="I30" s="1024"/>
    </row>
    <row r="31" spans="1:13" s="1407" customFormat="1">
      <c r="A31" s="3924"/>
      <c r="B31" s="3917"/>
      <c r="C31" s="3263" t="s">
        <v>2486</v>
      </c>
      <c r="D31" s="3264"/>
      <c r="E31" s="3265">
        <v>0.8</v>
      </c>
      <c r="F31" s="3262" t="s">
        <v>2487</v>
      </c>
      <c r="G31" s="1034"/>
      <c r="H31" s="1024"/>
      <c r="I31" s="1024"/>
    </row>
    <row r="32" spans="1:13" s="1407" customFormat="1">
      <c r="A32" s="3924"/>
      <c r="B32" s="3917"/>
      <c r="C32" s="3263" t="s">
        <v>2488</v>
      </c>
      <c r="D32" s="3264"/>
      <c r="E32" s="3265">
        <v>0.7</v>
      </c>
      <c r="F32" s="3262" t="s">
        <v>2489</v>
      </c>
      <c r="G32" s="1034"/>
      <c r="H32" s="1024"/>
      <c r="I32" s="1024"/>
    </row>
    <row r="33" spans="1:9" s="1407" customFormat="1">
      <c r="A33" s="3924"/>
      <c r="B33" s="3917"/>
      <c r="C33" s="3263" t="s">
        <v>2490</v>
      </c>
      <c r="D33" s="3264"/>
      <c r="E33" s="3265">
        <v>0.8</v>
      </c>
      <c r="F33" s="3262" t="s">
        <v>2491</v>
      </c>
      <c r="G33" s="1034"/>
      <c r="H33" s="1024"/>
      <c r="I33" s="1024"/>
    </row>
    <row r="34" spans="1:9" s="1407" customFormat="1">
      <c r="A34" s="3924"/>
      <c r="B34" s="3917"/>
      <c r="C34" s="3263" t="s">
        <v>2492</v>
      </c>
      <c r="D34" s="3264"/>
      <c r="E34" s="3265">
        <v>0.6</v>
      </c>
      <c r="F34" s="3262" t="s">
        <v>2493</v>
      </c>
      <c r="G34" s="1034"/>
      <c r="H34" s="1024"/>
      <c r="I34" s="1024"/>
    </row>
    <row r="35" spans="1:9" s="1407" customFormat="1">
      <c r="A35" s="3924"/>
      <c r="B35" s="3917"/>
      <c r="C35" s="3263" t="s">
        <v>2494</v>
      </c>
      <c r="D35" s="3264"/>
      <c r="E35" s="3265">
        <v>0.2</v>
      </c>
      <c r="F35" s="3262" t="s">
        <v>2495</v>
      </c>
      <c r="G35" s="1034"/>
      <c r="H35" s="1024"/>
      <c r="I35" s="1024"/>
    </row>
    <row r="36" spans="1:9" s="1407" customFormat="1">
      <c r="A36" s="3924"/>
      <c r="B36" s="3917"/>
      <c r="C36" s="3263" t="s">
        <v>2496</v>
      </c>
      <c r="D36" s="3264"/>
      <c r="E36" s="3265">
        <v>0.2</v>
      </c>
      <c r="F36" s="3262" t="s">
        <v>2497</v>
      </c>
      <c r="G36" s="1034"/>
      <c r="H36" s="1024"/>
      <c r="I36" s="1024"/>
    </row>
    <row r="37" spans="1:9" s="1407" customFormat="1">
      <c r="A37" s="3924"/>
      <c r="B37" s="3915" t="s">
        <v>2498</v>
      </c>
      <c r="C37" s="3263" t="s">
        <v>2499</v>
      </c>
      <c r="D37" s="3264"/>
      <c r="E37" s="3265">
        <v>0.6</v>
      </c>
      <c r="F37" s="3262" t="s">
        <v>2500</v>
      </c>
      <c r="G37" s="1034"/>
      <c r="H37" s="1024"/>
      <c r="I37" s="1024"/>
    </row>
    <row r="38" spans="1:9" s="1407" customFormat="1">
      <c r="A38" s="3924"/>
      <c r="B38" s="3917"/>
      <c r="C38" s="3263" t="s">
        <v>2501</v>
      </c>
      <c r="D38" s="3264"/>
      <c r="E38" s="3265">
        <v>0.6</v>
      </c>
      <c r="F38" s="3262" t="s">
        <v>2502</v>
      </c>
      <c r="G38" s="1034"/>
      <c r="H38" s="1024"/>
      <c r="I38" s="1024"/>
    </row>
    <row r="39" spans="1:9" s="1407" customFormat="1" ht="14.25" thickBot="1">
      <c r="A39" s="3925"/>
      <c r="B39" s="3922"/>
      <c r="C39" s="3266" t="s">
        <v>2503</v>
      </c>
      <c r="D39" s="3267"/>
      <c r="E39" s="3268">
        <v>0.6</v>
      </c>
      <c r="F39" s="3262" t="s">
        <v>2504</v>
      </c>
      <c r="G39" s="1034"/>
      <c r="H39" s="1024"/>
      <c r="I39" s="1024"/>
    </row>
    <row r="40" spans="1:9" s="1407" customFormat="1" ht="14.25" thickBot="1">
      <c r="A40" s="3269" t="s">
        <v>2455</v>
      </c>
      <c r="B40" s="3270" t="s">
        <v>2455</v>
      </c>
      <c r="C40" s="3271" t="s">
        <v>2505</v>
      </c>
      <c r="D40" s="3272"/>
      <c r="E40" s="3273">
        <v>1</v>
      </c>
      <c r="F40" s="3262" t="s">
        <v>2506</v>
      </c>
      <c r="G40" s="1034"/>
      <c r="H40" s="1024"/>
      <c r="I40" s="1024"/>
    </row>
    <row r="41" spans="1:9" s="1407" customFormat="1">
      <c r="A41" s="3918" t="s">
        <v>2456</v>
      </c>
      <c r="B41" s="3921" t="s">
        <v>2507</v>
      </c>
      <c r="C41" s="3259" t="s">
        <v>2508</v>
      </c>
      <c r="D41" s="3260"/>
      <c r="E41" s="3261">
        <v>1</v>
      </c>
      <c r="F41" s="3262" t="s">
        <v>2509</v>
      </c>
      <c r="G41" s="1034"/>
      <c r="H41" s="1024"/>
      <c r="I41" s="1024"/>
    </row>
    <row r="42" spans="1:9" s="1407" customFormat="1">
      <c r="A42" s="3919"/>
      <c r="B42" s="3917"/>
      <c r="C42" s="3263" t="s">
        <v>2510</v>
      </c>
      <c r="D42" s="3264"/>
      <c r="E42" s="3265">
        <v>1</v>
      </c>
      <c r="F42" s="3262" t="s">
        <v>2511</v>
      </c>
      <c r="G42" s="1034"/>
      <c r="H42" s="1024"/>
      <c r="I42" s="1024"/>
    </row>
    <row r="43" spans="1:9" s="1407" customFormat="1">
      <c r="A43" s="3919"/>
      <c r="B43" s="3916"/>
      <c r="C43" s="3263" t="s">
        <v>2512</v>
      </c>
      <c r="D43" s="3264"/>
      <c r="E43" s="3265">
        <v>1.5</v>
      </c>
      <c r="F43" s="3262" t="s">
        <v>2513</v>
      </c>
      <c r="G43" s="1034"/>
      <c r="H43" s="1024"/>
      <c r="I43" s="1024"/>
    </row>
    <row r="44" spans="1:9" s="1407" customFormat="1">
      <c r="A44" s="3919"/>
      <c r="B44" s="3274" t="s">
        <v>2458</v>
      </c>
      <c r="C44" s="3263" t="s">
        <v>2457</v>
      </c>
      <c r="D44" s="3264"/>
      <c r="E44" s="3265">
        <v>2</v>
      </c>
      <c r="F44" s="3262" t="s">
        <v>2514</v>
      </c>
      <c r="G44" s="1034"/>
      <c r="H44" s="1024"/>
      <c r="I44" s="1024"/>
    </row>
    <row r="45" spans="1:9" s="1407" customFormat="1">
      <c r="A45" s="3919"/>
      <c r="B45" s="3915" t="s">
        <v>2515</v>
      </c>
      <c r="C45" s="3263" t="s">
        <v>2516</v>
      </c>
      <c r="D45" s="3264"/>
      <c r="E45" s="3265">
        <v>1</v>
      </c>
      <c r="F45" s="3262" t="s">
        <v>2517</v>
      </c>
      <c r="G45" s="1034"/>
      <c r="H45" s="1024"/>
      <c r="I45" s="1024"/>
    </row>
    <row r="46" spans="1:9" s="1407" customFormat="1">
      <c r="A46" s="3919"/>
      <c r="B46" s="3917"/>
      <c r="C46" s="3263" t="s">
        <v>2518</v>
      </c>
      <c r="D46" s="3264"/>
      <c r="E46" s="3265">
        <v>1</v>
      </c>
      <c r="F46" s="3262" t="s">
        <v>2519</v>
      </c>
      <c r="G46" s="1034"/>
      <c r="H46" s="1024"/>
      <c r="I46" s="1024"/>
    </row>
    <row r="47" spans="1:9" s="1407" customFormat="1">
      <c r="A47" s="3919"/>
      <c r="B47" s="3917"/>
      <c r="C47" s="3263" t="s">
        <v>2520</v>
      </c>
      <c r="D47" s="3264"/>
      <c r="E47" s="3265">
        <v>1</v>
      </c>
      <c r="F47" s="3262" t="s">
        <v>2521</v>
      </c>
      <c r="G47" s="1034"/>
      <c r="H47" s="1024"/>
      <c r="I47" s="1024"/>
    </row>
    <row r="48" spans="1:9" s="1407" customFormat="1">
      <c r="A48" s="3919"/>
      <c r="B48" s="3917"/>
      <c r="C48" s="3263" t="s">
        <v>2522</v>
      </c>
      <c r="D48" s="3264"/>
      <c r="E48" s="3265">
        <v>1</v>
      </c>
      <c r="F48" s="3262" t="s">
        <v>2523</v>
      </c>
      <c r="G48" s="1034"/>
      <c r="H48" s="1024"/>
      <c r="I48" s="1024"/>
    </row>
    <row r="49" spans="1:9" s="1407" customFormat="1">
      <c r="A49" s="3919"/>
      <c r="B49" s="3917"/>
      <c r="C49" s="3263" t="s">
        <v>2524</v>
      </c>
      <c r="D49" s="3264"/>
      <c r="E49" s="3265">
        <v>1</v>
      </c>
      <c r="F49" s="3262" t="s">
        <v>2525</v>
      </c>
      <c r="G49" s="1034"/>
      <c r="H49" s="1024"/>
      <c r="I49" s="1024"/>
    </row>
    <row r="50" spans="1:9" s="1407" customFormat="1">
      <c r="A50" s="3919"/>
      <c r="B50" s="3917"/>
      <c r="C50" s="3263" t="s">
        <v>2526</v>
      </c>
      <c r="D50" s="3264"/>
      <c r="E50" s="3265">
        <v>1</v>
      </c>
      <c r="F50" s="3262" t="s">
        <v>2527</v>
      </c>
      <c r="G50" s="1034"/>
      <c r="H50" s="1024"/>
      <c r="I50" s="1024"/>
    </row>
    <row r="51" spans="1:9" s="1407" customFormat="1" ht="14.25" thickBot="1">
      <c r="A51" s="3920"/>
      <c r="B51" s="3922"/>
      <c r="C51" s="3266" t="s">
        <v>2528</v>
      </c>
      <c r="D51" s="3267"/>
      <c r="E51" s="3268">
        <v>1</v>
      </c>
      <c r="F51" s="3262"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c r="A73" s="3274">
        <v>1</v>
      </c>
      <c r="B73" s="3915" t="s">
        <v>2531</v>
      </c>
      <c r="C73" s="3252" t="s">
        <v>2532</v>
      </c>
      <c r="D73" s="3252" t="s">
        <v>2533</v>
      </c>
      <c r="E73" s="3275">
        <v>0.2</v>
      </c>
      <c r="F73" s="3274">
        <v>25</v>
      </c>
      <c r="H73" s="1024">
        <f>SUMIF(C71:C139,基准地价!C8,E71:E139)</f>
        <v>0</v>
      </c>
    </row>
    <row r="74" spans="1:8" s="1024" customFormat="1" ht="24">
      <c r="A74" s="3274">
        <v>2</v>
      </c>
      <c r="B74" s="3917"/>
      <c r="C74" s="3252" t="s">
        <v>2534</v>
      </c>
      <c r="D74" s="3252" t="s">
        <v>2535</v>
      </c>
      <c r="E74" s="3275">
        <v>0.2</v>
      </c>
      <c r="F74" s="3274">
        <v>25</v>
      </c>
    </row>
    <row r="75" spans="1:8" s="1024" customFormat="1" ht="24">
      <c r="A75" s="3274">
        <v>3</v>
      </c>
      <c r="B75" s="3917"/>
      <c r="C75" s="3252" t="s">
        <v>2536</v>
      </c>
      <c r="D75" s="3252" t="s">
        <v>2537</v>
      </c>
      <c r="E75" s="3275">
        <v>0.2</v>
      </c>
      <c r="F75" s="3274">
        <v>25</v>
      </c>
    </row>
    <row r="76" spans="1:8" s="1024" customFormat="1">
      <c r="A76" s="3274">
        <v>4</v>
      </c>
      <c r="B76" s="3917"/>
      <c r="C76" s="3252" t="s">
        <v>2538</v>
      </c>
      <c r="D76" s="3252" t="s">
        <v>2539</v>
      </c>
      <c r="E76" s="3275">
        <v>0.15</v>
      </c>
      <c r="F76" s="3274">
        <v>20</v>
      </c>
    </row>
    <row r="77" spans="1:8" s="1024" customFormat="1" ht="24">
      <c r="A77" s="3274">
        <v>5</v>
      </c>
      <c r="B77" s="3917"/>
      <c r="C77" s="3252" t="s">
        <v>2540</v>
      </c>
      <c r="D77" s="3252" t="s">
        <v>2541</v>
      </c>
      <c r="E77" s="3275">
        <v>0.15</v>
      </c>
      <c r="F77" s="3274">
        <v>20</v>
      </c>
    </row>
    <row r="78" spans="1:8" s="1024" customFormat="1" ht="24">
      <c r="A78" s="3274">
        <v>6</v>
      </c>
      <c r="B78" s="3917"/>
      <c r="C78" s="3252" t="s">
        <v>2542</v>
      </c>
      <c r="D78" s="3252" t="s">
        <v>2543</v>
      </c>
      <c r="E78" s="3275">
        <v>0.15</v>
      </c>
      <c r="F78" s="3274">
        <v>20</v>
      </c>
    </row>
    <row r="79" spans="1:8" s="1024" customFormat="1" ht="24">
      <c r="A79" s="3274">
        <v>7</v>
      </c>
      <c r="B79" s="3917"/>
      <c r="C79" s="3252" t="s">
        <v>2544</v>
      </c>
      <c r="D79" s="3252" t="s">
        <v>2545</v>
      </c>
      <c r="E79" s="3275">
        <v>0.15</v>
      </c>
      <c r="F79" s="3274">
        <v>20</v>
      </c>
    </row>
    <row r="80" spans="1:8" s="1024" customFormat="1" ht="24">
      <c r="A80" s="3274">
        <v>8</v>
      </c>
      <c r="B80" s="3917"/>
      <c r="C80" s="3252" t="s">
        <v>2546</v>
      </c>
      <c r="D80" s="3252" t="s">
        <v>2547</v>
      </c>
      <c r="E80" s="3275">
        <v>0.1</v>
      </c>
      <c r="F80" s="3274">
        <v>15</v>
      </c>
    </row>
    <row r="81" spans="1:6" s="1024" customFormat="1" ht="24">
      <c r="A81" s="3274">
        <v>9</v>
      </c>
      <c r="B81" s="3917"/>
      <c r="C81" s="3252" t="s">
        <v>2548</v>
      </c>
      <c r="D81" s="3252" t="s">
        <v>2549</v>
      </c>
      <c r="E81" s="3275">
        <v>0.1</v>
      </c>
      <c r="F81" s="3274">
        <v>15</v>
      </c>
    </row>
    <row r="82" spans="1:6" s="1024" customFormat="1" ht="24">
      <c r="A82" s="3274">
        <v>10</v>
      </c>
      <c r="B82" s="3917"/>
      <c r="C82" s="3252" t="s">
        <v>2550</v>
      </c>
      <c r="D82" s="3252" t="s">
        <v>2551</v>
      </c>
      <c r="E82" s="3275">
        <v>0.1</v>
      </c>
      <c r="F82" s="3274">
        <v>15</v>
      </c>
    </row>
    <row r="83" spans="1:6" s="1024" customFormat="1" ht="24">
      <c r="A83" s="3274">
        <v>11</v>
      </c>
      <c r="B83" s="3917"/>
      <c r="C83" s="3252" t="s">
        <v>2552</v>
      </c>
      <c r="D83" s="3252" t="s">
        <v>2553</v>
      </c>
      <c r="E83" s="3275">
        <v>0.1</v>
      </c>
      <c r="F83" s="3274">
        <v>15</v>
      </c>
    </row>
    <row r="84" spans="1:6" s="1024" customFormat="1" ht="24">
      <c r="A84" s="3274">
        <v>12</v>
      </c>
      <c r="B84" s="3917"/>
      <c r="C84" s="3252" t="s">
        <v>2554</v>
      </c>
      <c r="D84" s="3252" t="s">
        <v>2555</v>
      </c>
      <c r="E84" s="3275">
        <v>0.1</v>
      </c>
      <c r="F84" s="3274">
        <v>15</v>
      </c>
    </row>
    <row r="85" spans="1:6" s="1024" customFormat="1">
      <c r="A85" s="3274">
        <v>13</v>
      </c>
      <c r="B85" s="3917"/>
      <c r="C85" s="3252" t="s">
        <v>2556</v>
      </c>
      <c r="D85" s="3252" t="s">
        <v>2557</v>
      </c>
      <c r="E85" s="3275">
        <v>0.1</v>
      </c>
      <c r="F85" s="3274">
        <v>15</v>
      </c>
    </row>
    <row r="86" spans="1:6" s="1024" customFormat="1">
      <c r="A86" s="3274">
        <v>14</v>
      </c>
      <c r="B86" s="3917"/>
      <c r="C86" s="3252" t="s">
        <v>2558</v>
      </c>
      <c r="D86" s="3252" t="s">
        <v>2559</v>
      </c>
      <c r="E86" s="3275">
        <v>0.1</v>
      </c>
      <c r="F86" s="3274">
        <v>15</v>
      </c>
    </row>
    <row r="87" spans="1:6" s="1024" customFormat="1">
      <c r="A87" s="3274">
        <v>15</v>
      </c>
      <c r="B87" s="3917"/>
      <c r="C87" s="3252" t="s">
        <v>2560</v>
      </c>
      <c r="D87" s="3252" t="s">
        <v>2561</v>
      </c>
      <c r="E87" s="3275">
        <v>0.1</v>
      </c>
      <c r="F87" s="3274">
        <v>15</v>
      </c>
    </row>
    <row r="88" spans="1:6" s="1024" customFormat="1" ht="24">
      <c r="A88" s="3274">
        <v>16</v>
      </c>
      <c r="B88" s="3917"/>
      <c r="C88" s="3252" t="s">
        <v>2562</v>
      </c>
      <c r="D88" s="3252" t="s">
        <v>2563</v>
      </c>
      <c r="E88" s="3275">
        <v>0.1</v>
      </c>
      <c r="F88" s="3274">
        <v>15</v>
      </c>
    </row>
    <row r="89" spans="1:6" s="1024" customFormat="1" ht="24">
      <c r="A89" s="3274">
        <v>17</v>
      </c>
      <c r="B89" s="3916"/>
      <c r="C89" s="3252" t="s">
        <v>2564</v>
      </c>
      <c r="D89" s="3252" t="s">
        <v>2565</v>
      </c>
      <c r="E89" s="3275">
        <v>0.1</v>
      </c>
      <c r="F89" s="3274">
        <v>15</v>
      </c>
    </row>
    <row r="90" spans="1:6" s="1024" customFormat="1">
      <c r="A90" s="3274">
        <v>18</v>
      </c>
      <c r="B90" s="3915" t="s">
        <v>2566</v>
      </c>
      <c r="C90" s="3252" t="s">
        <v>2567</v>
      </c>
      <c r="D90" s="3252" t="s">
        <v>2568</v>
      </c>
      <c r="E90" s="3275">
        <v>0.2</v>
      </c>
      <c r="F90" s="3274">
        <v>25</v>
      </c>
    </row>
    <row r="91" spans="1:6" s="1024" customFormat="1" ht="24">
      <c r="A91" s="3274">
        <v>19</v>
      </c>
      <c r="B91" s="3917"/>
      <c r="C91" s="3252" t="s">
        <v>2569</v>
      </c>
      <c r="D91" s="3252" t="s">
        <v>2570</v>
      </c>
      <c r="E91" s="3275">
        <v>0.2</v>
      </c>
      <c r="F91" s="3274">
        <v>25</v>
      </c>
    </row>
    <row r="92" spans="1:6" s="1024" customFormat="1">
      <c r="A92" s="3274">
        <v>20</v>
      </c>
      <c r="B92" s="3917"/>
      <c r="C92" s="3252" t="s">
        <v>2571</v>
      </c>
      <c r="D92" s="3252" t="s">
        <v>2572</v>
      </c>
      <c r="E92" s="3275">
        <v>0.15</v>
      </c>
      <c r="F92" s="3274">
        <v>20</v>
      </c>
    </row>
    <row r="93" spans="1:6" s="1024" customFormat="1" ht="24">
      <c r="A93" s="3274">
        <v>21</v>
      </c>
      <c r="B93" s="3917"/>
      <c r="C93" s="3252" t="s">
        <v>2573</v>
      </c>
      <c r="D93" s="3252" t="s">
        <v>2574</v>
      </c>
      <c r="E93" s="3275">
        <v>0.15</v>
      </c>
      <c r="F93" s="3274">
        <v>20</v>
      </c>
    </row>
    <row r="94" spans="1:6" s="1024" customFormat="1" ht="24">
      <c r="A94" s="3274">
        <v>22</v>
      </c>
      <c r="B94" s="3917"/>
      <c r="C94" s="3252" t="s">
        <v>2575</v>
      </c>
      <c r="D94" s="3252" t="s">
        <v>2576</v>
      </c>
      <c r="E94" s="3275">
        <v>0.15</v>
      </c>
      <c r="F94" s="3274">
        <v>20</v>
      </c>
    </row>
    <row r="95" spans="1:6" s="1024" customFormat="1" ht="36">
      <c r="A95" s="3274">
        <v>23</v>
      </c>
      <c r="B95" s="3917"/>
      <c r="C95" s="3252" t="s">
        <v>2577</v>
      </c>
      <c r="D95" s="3252" t="s">
        <v>2578</v>
      </c>
      <c r="E95" s="3275">
        <v>0.15</v>
      </c>
      <c r="F95" s="3274">
        <v>20</v>
      </c>
    </row>
    <row r="96" spans="1:6" s="1024" customFormat="1">
      <c r="A96" s="3274">
        <v>24</v>
      </c>
      <c r="B96" s="3917"/>
      <c r="C96" s="3252" t="s">
        <v>2579</v>
      </c>
      <c r="D96" s="3252" t="s">
        <v>2580</v>
      </c>
      <c r="E96" s="3275">
        <v>0.1</v>
      </c>
      <c r="F96" s="3274">
        <v>15</v>
      </c>
    </row>
    <row r="97" spans="1:6" s="1024" customFormat="1" ht="24">
      <c r="A97" s="3274">
        <v>25</v>
      </c>
      <c r="B97" s="3917"/>
      <c r="C97" s="3252" t="s">
        <v>2581</v>
      </c>
      <c r="D97" s="3252" t="s">
        <v>2582</v>
      </c>
      <c r="E97" s="3275">
        <v>0.1</v>
      </c>
      <c r="F97" s="3274">
        <v>15</v>
      </c>
    </row>
    <row r="98" spans="1:6" s="1024" customFormat="1" ht="24">
      <c r="A98" s="3274">
        <v>26</v>
      </c>
      <c r="B98" s="3917"/>
      <c r="C98" s="3252" t="s">
        <v>2583</v>
      </c>
      <c r="D98" s="3252" t="s">
        <v>2584</v>
      </c>
      <c r="E98" s="3275">
        <v>0.1</v>
      </c>
      <c r="F98" s="3274">
        <v>15</v>
      </c>
    </row>
    <row r="99" spans="1:6" s="1024" customFormat="1" ht="24">
      <c r="A99" s="3274">
        <v>27</v>
      </c>
      <c r="B99" s="3917"/>
      <c r="C99" s="3252" t="s">
        <v>2585</v>
      </c>
      <c r="D99" s="3252" t="s">
        <v>2586</v>
      </c>
      <c r="E99" s="3275">
        <v>0.1</v>
      </c>
      <c r="F99" s="3274">
        <v>15</v>
      </c>
    </row>
    <row r="100" spans="1:6" s="1024" customFormat="1" ht="24">
      <c r="A100" s="3274">
        <v>28</v>
      </c>
      <c r="B100" s="3917"/>
      <c r="C100" s="3252" t="s">
        <v>2587</v>
      </c>
      <c r="D100" s="3252" t="s">
        <v>2588</v>
      </c>
      <c r="E100" s="3275">
        <v>0.1</v>
      </c>
      <c r="F100" s="3274">
        <v>15</v>
      </c>
    </row>
    <row r="101" spans="1:6" s="1024" customFormat="1" ht="24">
      <c r="A101" s="3274">
        <v>29</v>
      </c>
      <c r="B101" s="3917"/>
      <c r="C101" s="3252" t="s">
        <v>2589</v>
      </c>
      <c r="D101" s="3252" t="s">
        <v>2590</v>
      </c>
      <c r="E101" s="3275">
        <v>0.1</v>
      </c>
      <c r="F101" s="3274">
        <v>15</v>
      </c>
    </row>
    <row r="102" spans="1:6" s="1024" customFormat="1" ht="24">
      <c r="A102" s="3274">
        <v>30</v>
      </c>
      <c r="B102" s="3917"/>
      <c r="C102" s="3252" t="s">
        <v>2591</v>
      </c>
      <c r="D102" s="3252" t="s">
        <v>2592</v>
      </c>
      <c r="E102" s="3275">
        <v>0.1</v>
      </c>
      <c r="F102" s="3274">
        <v>15</v>
      </c>
    </row>
    <row r="103" spans="1:6" s="1024" customFormat="1" ht="24">
      <c r="A103" s="3274">
        <v>31</v>
      </c>
      <c r="B103" s="3917"/>
      <c r="C103" s="3252" t="s">
        <v>2593</v>
      </c>
      <c r="D103" s="3252" t="s">
        <v>2594</v>
      </c>
      <c r="E103" s="3275">
        <v>0.1</v>
      </c>
      <c r="F103" s="3274">
        <v>15</v>
      </c>
    </row>
    <row r="104" spans="1:6" s="1024" customFormat="1" ht="24">
      <c r="A104" s="3274">
        <v>32</v>
      </c>
      <c r="B104" s="3917"/>
      <c r="C104" s="3252" t="s">
        <v>2595</v>
      </c>
      <c r="D104" s="3252" t="s">
        <v>2596</v>
      </c>
      <c r="E104" s="3275">
        <v>0.1</v>
      </c>
      <c r="F104" s="3274">
        <v>15</v>
      </c>
    </row>
    <row r="105" spans="1:6" s="1024" customFormat="1" ht="24">
      <c r="A105" s="3274">
        <v>33</v>
      </c>
      <c r="B105" s="3917"/>
      <c r="C105" s="3252" t="s">
        <v>2597</v>
      </c>
      <c r="D105" s="3252" t="s">
        <v>2598</v>
      </c>
      <c r="E105" s="3275">
        <v>0.1</v>
      </c>
      <c r="F105" s="3274">
        <v>15</v>
      </c>
    </row>
    <row r="106" spans="1:6" s="1024" customFormat="1" ht="24">
      <c r="A106" s="3274">
        <v>34</v>
      </c>
      <c r="B106" s="3916"/>
      <c r="C106" s="3252" t="s">
        <v>2599</v>
      </c>
      <c r="D106" s="3252" t="s">
        <v>2600</v>
      </c>
      <c r="E106" s="3275">
        <v>0.1</v>
      </c>
      <c r="F106" s="3274">
        <v>15</v>
      </c>
    </row>
    <row r="107" spans="1:6" s="1024" customFormat="1" ht="24">
      <c r="A107" s="3274">
        <v>35</v>
      </c>
      <c r="B107" s="3915" t="s">
        <v>2601</v>
      </c>
      <c r="C107" s="3274" t="s">
        <v>2602</v>
      </c>
      <c r="D107" s="3252" t="s">
        <v>2603</v>
      </c>
      <c r="E107" s="3275">
        <v>0.15</v>
      </c>
      <c r="F107" s="3274">
        <v>20</v>
      </c>
    </row>
    <row r="108" spans="1:6" s="1024" customFormat="1" ht="24">
      <c r="A108" s="3274">
        <v>36</v>
      </c>
      <c r="B108" s="3917"/>
      <c r="C108" s="3274" t="s">
        <v>2604</v>
      </c>
      <c r="D108" s="3252" t="s">
        <v>2605</v>
      </c>
      <c r="E108" s="3275">
        <v>0.15</v>
      </c>
      <c r="F108" s="3274">
        <v>20</v>
      </c>
    </row>
    <row r="109" spans="1:6" s="1024" customFormat="1" ht="24">
      <c r="A109" s="3274">
        <v>37</v>
      </c>
      <c r="B109" s="3917"/>
      <c r="C109" s="3274" t="s">
        <v>2606</v>
      </c>
      <c r="D109" s="3252" t="s">
        <v>2607</v>
      </c>
      <c r="E109" s="3275">
        <v>0.15</v>
      </c>
      <c r="F109" s="3274">
        <v>20</v>
      </c>
    </row>
    <row r="110" spans="1:6" s="1024" customFormat="1">
      <c r="A110" s="3274">
        <v>38</v>
      </c>
      <c r="B110" s="3917"/>
      <c r="C110" s="3274" t="s">
        <v>2608</v>
      </c>
      <c r="D110" s="3252" t="s">
        <v>2609</v>
      </c>
      <c r="E110" s="3275">
        <v>0.1</v>
      </c>
      <c r="F110" s="3274">
        <v>15</v>
      </c>
    </row>
    <row r="111" spans="1:6" s="1024" customFormat="1" ht="24">
      <c r="A111" s="3274">
        <v>39</v>
      </c>
      <c r="B111" s="3917"/>
      <c r="C111" s="3274" t="s">
        <v>2610</v>
      </c>
      <c r="D111" s="3252" t="s">
        <v>2611</v>
      </c>
      <c r="E111" s="3275">
        <v>0.1</v>
      </c>
      <c r="F111" s="3274">
        <v>15</v>
      </c>
    </row>
    <row r="112" spans="1:6" s="1024" customFormat="1" ht="24">
      <c r="A112" s="3274">
        <v>40</v>
      </c>
      <c r="B112" s="3916"/>
      <c r="C112" s="3274" t="s">
        <v>2612</v>
      </c>
      <c r="D112" s="3252" t="s">
        <v>2613</v>
      </c>
      <c r="E112" s="3275">
        <v>0.1</v>
      </c>
      <c r="F112" s="3274">
        <v>15</v>
      </c>
    </row>
    <row r="113" spans="1:6" s="1024" customFormat="1" ht="24">
      <c r="A113" s="3274">
        <v>41</v>
      </c>
      <c r="B113" s="3914" t="s">
        <v>2614</v>
      </c>
      <c r="C113" s="3274" t="s">
        <v>2615</v>
      </c>
      <c r="D113" s="3252" t="s">
        <v>2616</v>
      </c>
      <c r="E113" s="3275">
        <v>0.1</v>
      </c>
      <c r="F113" s="3274">
        <v>15</v>
      </c>
    </row>
    <row r="114" spans="1:6" s="1024" customFormat="1">
      <c r="A114" s="3274">
        <v>42</v>
      </c>
      <c r="B114" s="3914"/>
      <c r="C114" s="3274" t="s">
        <v>2617</v>
      </c>
      <c r="D114" s="3252" t="s">
        <v>2618</v>
      </c>
      <c r="E114" s="3275">
        <v>0.1</v>
      </c>
      <c r="F114" s="3274">
        <v>15</v>
      </c>
    </row>
    <row r="115" spans="1:6" s="1024" customFormat="1" ht="24">
      <c r="A115" s="3274">
        <v>43</v>
      </c>
      <c r="B115" s="3914"/>
      <c r="C115" s="3274" t="s">
        <v>2619</v>
      </c>
      <c r="D115" s="3252" t="s">
        <v>2620</v>
      </c>
      <c r="E115" s="3275">
        <v>0.1</v>
      </c>
      <c r="F115" s="3274">
        <v>15</v>
      </c>
    </row>
    <row r="116" spans="1:6" s="1024" customFormat="1" ht="24">
      <c r="A116" s="3274">
        <v>44</v>
      </c>
      <c r="B116" s="3915" t="s">
        <v>2621</v>
      </c>
      <c r="C116" s="3274" t="s">
        <v>2622</v>
      </c>
      <c r="D116" s="3252" t="s">
        <v>2623</v>
      </c>
      <c r="E116" s="3275">
        <v>0.1</v>
      </c>
      <c r="F116" s="3274">
        <v>15</v>
      </c>
    </row>
    <row r="117" spans="1:6" s="1024" customFormat="1" ht="24">
      <c r="A117" s="3274">
        <v>45</v>
      </c>
      <c r="B117" s="3916"/>
      <c r="C117" s="3252" t="s">
        <v>2624</v>
      </c>
      <c r="D117" s="3252" t="s">
        <v>2625</v>
      </c>
      <c r="E117" s="3275">
        <v>0.1</v>
      </c>
      <c r="F117" s="3274">
        <v>15</v>
      </c>
    </row>
    <row r="118" spans="1:6" s="1024" customFormat="1" ht="24">
      <c r="A118" s="3274">
        <v>46</v>
      </c>
      <c r="B118" s="3915" t="s">
        <v>2626</v>
      </c>
      <c r="C118" s="3274" t="s">
        <v>2627</v>
      </c>
      <c r="D118" s="3252" t="s">
        <v>2628</v>
      </c>
      <c r="E118" s="3275">
        <v>0.1</v>
      </c>
      <c r="F118" s="3274">
        <v>15</v>
      </c>
    </row>
    <row r="119" spans="1:6" s="1024" customFormat="1" ht="24">
      <c r="A119" s="3274">
        <v>47</v>
      </c>
      <c r="B119" s="3916"/>
      <c r="C119" s="3274" t="s">
        <v>2629</v>
      </c>
      <c r="D119" s="3252" t="s">
        <v>2630</v>
      </c>
      <c r="E119" s="3275">
        <v>0.1</v>
      </c>
      <c r="F119" s="3274">
        <v>15</v>
      </c>
    </row>
    <row r="120" spans="1:6" s="1024" customFormat="1" ht="24">
      <c r="A120" s="3274">
        <v>48</v>
      </c>
      <c r="B120" s="3915" t="s">
        <v>2631</v>
      </c>
      <c r="C120" s="3274" t="s">
        <v>2632</v>
      </c>
      <c r="D120" s="3252" t="s">
        <v>2633</v>
      </c>
      <c r="E120" s="3275">
        <v>0.1</v>
      </c>
      <c r="F120" s="3274">
        <v>15</v>
      </c>
    </row>
    <row r="121" spans="1:6" s="1024" customFormat="1">
      <c r="A121" s="3274">
        <v>49</v>
      </c>
      <c r="B121" s="3916"/>
      <c r="C121" s="3274" t="s">
        <v>2634</v>
      </c>
      <c r="D121" s="3252" t="s">
        <v>2635</v>
      </c>
      <c r="E121" s="3275">
        <v>0.1</v>
      </c>
      <c r="F121" s="3274">
        <v>15</v>
      </c>
    </row>
    <row r="122" spans="1:6" s="1024" customFormat="1" ht="24">
      <c r="A122" s="3274">
        <v>50</v>
      </c>
      <c r="B122" s="3914" t="s">
        <v>2636</v>
      </c>
      <c r="C122" s="3274" t="s">
        <v>2637</v>
      </c>
      <c r="D122" s="3252" t="s">
        <v>2638</v>
      </c>
      <c r="E122" s="3275">
        <v>0.1</v>
      </c>
      <c r="F122" s="3274">
        <v>15</v>
      </c>
    </row>
    <row r="123" spans="1:6" s="1024" customFormat="1" ht="24">
      <c r="A123" s="3274">
        <v>51</v>
      </c>
      <c r="B123" s="3914"/>
      <c r="C123" s="3274" t="s">
        <v>2639</v>
      </c>
      <c r="D123" s="3252" t="s">
        <v>2640</v>
      </c>
      <c r="E123" s="3275">
        <v>0.1</v>
      </c>
      <c r="F123" s="3274">
        <v>15</v>
      </c>
    </row>
    <row r="124" spans="1:6" s="1024" customFormat="1" ht="24">
      <c r="A124" s="3274">
        <v>52</v>
      </c>
      <c r="B124" s="3914" t="s">
        <v>2641</v>
      </c>
      <c r="C124" s="3274" t="s">
        <v>2642</v>
      </c>
      <c r="D124" s="3252" t="s">
        <v>2643</v>
      </c>
      <c r="E124" s="3275">
        <v>0.1</v>
      </c>
      <c r="F124" s="3274">
        <v>15</v>
      </c>
    </row>
    <row r="125" spans="1:6" s="1024" customFormat="1" ht="24">
      <c r="A125" s="3274">
        <v>53</v>
      </c>
      <c r="B125" s="3914"/>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3914" t="s">
        <v>2649</v>
      </c>
      <c r="C127" s="3274" t="s">
        <v>2650</v>
      </c>
      <c r="D127" s="3252" t="s">
        <v>2651</v>
      </c>
      <c r="E127" s="3275">
        <v>0.1</v>
      </c>
      <c r="F127" s="3274">
        <v>15</v>
      </c>
    </row>
    <row r="128" spans="1:6">
      <c r="A128" s="3274">
        <v>56</v>
      </c>
      <c r="B128" s="3914"/>
      <c r="C128" s="3274" t="s">
        <v>2652</v>
      </c>
      <c r="D128" s="3252" t="s">
        <v>2653</v>
      </c>
      <c r="E128" s="3275">
        <v>0.1</v>
      </c>
      <c r="F128" s="3274">
        <v>15</v>
      </c>
    </row>
    <row r="129" spans="1:14" ht="24">
      <c r="A129" s="3274">
        <v>57</v>
      </c>
      <c r="B129" s="3914"/>
      <c r="C129" s="3274" t="s">
        <v>2654</v>
      </c>
      <c r="D129" s="3252" t="s">
        <v>2655</v>
      </c>
      <c r="E129" s="3275">
        <v>0.1</v>
      </c>
      <c r="F129" s="3274">
        <v>15</v>
      </c>
    </row>
    <row r="130" spans="1:14" ht="24">
      <c r="A130" s="3274">
        <v>58</v>
      </c>
      <c r="B130" s="3914" t="s">
        <v>2656</v>
      </c>
      <c r="C130" s="3274" t="s">
        <v>2657</v>
      </c>
      <c r="D130" s="3252" t="s">
        <v>2658</v>
      </c>
      <c r="E130" s="3275">
        <v>0.1</v>
      </c>
      <c r="F130" s="3274">
        <v>15</v>
      </c>
    </row>
    <row r="131" spans="1:14" ht="24">
      <c r="A131" s="3274">
        <v>59</v>
      </c>
      <c r="B131" s="3914"/>
      <c r="C131" s="3274" t="s">
        <v>2659</v>
      </c>
      <c r="D131" s="3252" t="s">
        <v>2660</v>
      </c>
      <c r="E131" s="3275">
        <v>0.1</v>
      </c>
      <c r="F131" s="3274">
        <v>15</v>
      </c>
    </row>
    <row r="132" spans="1:14" ht="24">
      <c r="A132" s="3274">
        <v>60</v>
      </c>
      <c r="B132" s="3915" t="s">
        <v>2661</v>
      </c>
      <c r="C132" s="3274" t="s">
        <v>2662</v>
      </c>
      <c r="D132" s="3252" t="s">
        <v>2663</v>
      </c>
      <c r="E132" s="3275">
        <v>0.1</v>
      </c>
      <c r="F132" s="3274">
        <v>15</v>
      </c>
    </row>
    <row r="133" spans="1:14" ht="24">
      <c r="A133" s="3274">
        <v>61</v>
      </c>
      <c r="B133" s="3916"/>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14" t="s">
        <v>2669</v>
      </c>
      <c r="C135" s="3274" t="s">
        <v>2670</v>
      </c>
      <c r="D135" s="3252" t="s">
        <v>2671</v>
      </c>
      <c r="E135" s="3275">
        <v>0.1</v>
      </c>
      <c r="F135" s="3274">
        <v>15</v>
      </c>
    </row>
    <row r="136" spans="1:14">
      <c r="A136" s="3274">
        <v>64</v>
      </c>
      <c r="B136" s="3914"/>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26" t="s">
        <v>2817</v>
      </c>
      <c r="B1" s="3926"/>
      <c r="C1" s="3926"/>
      <c r="D1" s="3926"/>
      <c r="E1" s="3926"/>
      <c r="F1" s="3926"/>
      <c r="G1" s="3927"/>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1" customFormat="1" ht="19.5" customHeight="1">
      <c r="A3" s="3928" t="s">
        <v>2820</v>
      </c>
      <c r="B3" s="3415"/>
      <c r="C3" s="3416" t="s">
        <v>2797</v>
      </c>
      <c r="D3" s="3416" t="s">
        <v>2821</v>
      </c>
      <c r="E3" s="3416" t="s">
        <v>2799</v>
      </c>
      <c r="F3" s="3416" t="s">
        <v>2822</v>
      </c>
      <c r="G3" s="3416" t="s">
        <v>2741</v>
      </c>
      <c r="H3" s="1014"/>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1" customFormat="1" ht="19.5" customHeight="1" thickBot="1">
      <c r="A4" s="3929"/>
      <c r="B4" s="3417" t="s">
        <v>2823</v>
      </c>
      <c r="C4" s="3417" t="s">
        <v>2824</v>
      </c>
      <c r="D4" s="3417" t="s">
        <v>2824</v>
      </c>
      <c r="E4" s="3417" t="s">
        <v>2824</v>
      </c>
      <c r="F4" s="3418" t="s">
        <v>2824</v>
      </c>
      <c r="G4" s="3418" t="s">
        <v>2824</v>
      </c>
      <c r="H4" s="1014"/>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8" t="s">
        <v>3028</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1630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8"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8"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8"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8"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8"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8"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0" t="s">
        <v>1107</v>
      </c>
      <c r="C28" s="1286"/>
      <c r="D28" s="1286">
        <v>31520</v>
      </c>
      <c r="E28" s="1286">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8" t="s">
        <v>2829</v>
      </c>
      <c r="C30" s="1288">
        <v>26890</v>
      </c>
      <c r="D30" s="1288">
        <v>26770</v>
      </c>
      <c r="E30" s="1288">
        <v>25700</v>
      </c>
      <c r="F30" s="3424">
        <v>8180</v>
      </c>
      <c r="G30" s="3424">
        <v>18740</v>
      </c>
      <c r="I30" s="1021"/>
      <c r="M30" s="3432" t="s">
        <v>2841</v>
      </c>
      <c r="N30" s="3423" t="s">
        <v>2848</v>
      </c>
      <c r="O30" s="3423" t="s">
        <v>2865</v>
      </c>
      <c r="P30" s="3423" t="s">
        <v>2912</v>
      </c>
      <c r="Q30" s="3423" t="s">
        <v>2942</v>
      </c>
      <c r="R30" s="3423" t="s">
        <v>2969</v>
      </c>
      <c r="S30" s="3432" t="s">
        <v>3008</v>
      </c>
    </row>
    <row r="31" spans="1:20" ht="14.25" customHeight="1">
      <c r="A31" s="3423" t="s">
        <v>1145</v>
      </c>
      <c r="B31" s="1288" t="s">
        <v>974</v>
      </c>
      <c r="C31" s="3423">
        <v>24550</v>
      </c>
      <c r="D31" s="3423">
        <v>23990</v>
      </c>
      <c r="E31" s="3423">
        <v>22930</v>
      </c>
      <c r="F31" s="3429">
        <v>7470</v>
      </c>
      <c r="G31" s="3429">
        <v>16790</v>
      </c>
      <c r="I31" s="1021"/>
      <c r="M31" s="3432" t="s">
        <v>2842</v>
      </c>
      <c r="N31" s="3423" t="s">
        <v>2849</v>
      </c>
      <c r="O31" s="3423" t="s">
        <v>2866</v>
      </c>
      <c r="P31" s="3423" t="s">
        <v>2913</v>
      </c>
      <c r="Q31" s="3423" t="s">
        <v>2943</v>
      </c>
      <c r="R31" s="3423" t="s">
        <v>2970</v>
      </c>
      <c r="S31" s="3432" t="s">
        <v>3009</v>
      </c>
    </row>
    <row r="32" spans="1:20" ht="14.25" customHeight="1">
      <c r="A32" s="3423" t="s">
        <v>1145</v>
      </c>
      <c r="B32" s="1288" t="s">
        <v>984</v>
      </c>
      <c r="C32" s="3423">
        <v>27210</v>
      </c>
      <c r="D32" s="3423">
        <v>23240</v>
      </c>
      <c r="E32" s="3423">
        <v>23260</v>
      </c>
      <c r="F32" s="3429">
        <v>7130</v>
      </c>
      <c r="G32" s="3429">
        <v>16270</v>
      </c>
      <c r="I32" s="1021"/>
      <c r="M32" s="3432" t="s">
        <v>2843</v>
      </c>
      <c r="N32" s="3423" t="s">
        <v>2850</v>
      </c>
      <c r="O32" s="3423" t="s">
        <v>1149</v>
      </c>
      <c r="P32" s="3423" t="s">
        <v>2914</v>
      </c>
      <c r="Q32" s="3423" t="s">
        <v>1148</v>
      </c>
      <c r="R32" s="3423" t="s">
        <v>2971</v>
      </c>
      <c r="S32" s="3432" t="s">
        <v>3010</v>
      </c>
    </row>
    <row r="33" spans="1:18" ht="14.25" customHeight="1">
      <c r="A33" s="3423" t="s">
        <v>1145</v>
      </c>
      <c r="B33" s="1288" t="s">
        <v>993</v>
      </c>
      <c r="C33" s="3423">
        <v>27300</v>
      </c>
      <c r="D33" s="3423">
        <v>22980</v>
      </c>
      <c r="E33" s="3423">
        <v>24260</v>
      </c>
      <c r="F33" s="3429">
        <v>5860</v>
      </c>
      <c r="G33" s="3429">
        <v>16090</v>
      </c>
      <c r="I33" s="1021"/>
      <c r="M33" s="3432" t="s">
        <v>2844</v>
      </c>
      <c r="N33" s="3423" t="s">
        <v>2851</v>
      </c>
      <c r="O33" s="3423" t="s">
        <v>1150</v>
      </c>
      <c r="P33" s="3423" t="s">
        <v>2915</v>
      </c>
      <c r="Q33" s="3423" t="s">
        <v>2944</v>
      </c>
      <c r="R33" s="3423" t="s">
        <v>2972</v>
      </c>
    </row>
    <row r="34" spans="1:18" ht="14.25" customHeight="1">
      <c r="A34" s="3423" t="s">
        <v>1145</v>
      </c>
      <c r="B34" s="1288" t="s">
        <v>1003</v>
      </c>
      <c r="C34" s="3423">
        <v>23090</v>
      </c>
      <c r="D34" s="3423">
        <v>23390</v>
      </c>
      <c r="E34" s="3423">
        <v>23510</v>
      </c>
      <c r="F34" s="3429">
        <v>6700</v>
      </c>
      <c r="G34" s="3429">
        <v>16370</v>
      </c>
      <c r="I34" s="1021"/>
      <c r="N34" s="3423" t="s">
        <v>2852</v>
      </c>
      <c r="O34" s="3423" t="s">
        <v>1151</v>
      </c>
      <c r="P34" s="3423" t="s">
        <v>2916</v>
      </c>
      <c r="Q34" s="3423" t="s">
        <v>2945</v>
      </c>
      <c r="R34" s="3423" t="s">
        <v>2973</v>
      </c>
    </row>
    <row r="35" spans="1:18" ht="14.25" customHeight="1">
      <c r="A35" s="3423" t="s">
        <v>1145</v>
      </c>
      <c r="B35" s="1288" t="s">
        <v>1010</v>
      </c>
      <c r="C35" s="3423">
        <v>27270</v>
      </c>
      <c r="D35" s="3423">
        <v>24270</v>
      </c>
      <c r="E35" s="3423">
        <v>24950</v>
      </c>
      <c r="F35" s="3429">
        <v>6600</v>
      </c>
      <c r="G35" s="3429">
        <v>16990</v>
      </c>
      <c r="I35" s="1021"/>
      <c r="N35" s="3423" t="s">
        <v>2853</v>
      </c>
      <c r="O35" s="3423" t="s">
        <v>2867</v>
      </c>
      <c r="P35" s="3423" t="s">
        <v>2917</v>
      </c>
      <c r="Q35" s="3423" t="s">
        <v>2946</v>
      </c>
      <c r="R35" s="3423" t="s">
        <v>2974</v>
      </c>
    </row>
    <row r="36" spans="1:18" ht="14.25" customHeight="1">
      <c r="A36" s="3423" t="s">
        <v>1145</v>
      </c>
      <c r="B36" s="1288" t="s">
        <v>1016</v>
      </c>
      <c r="C36" s="3423">
        <v>23490</v>
      </c>
      <c r="D36" s="3423">
        <v>23020</v>
      </c>
      <c r="E36" s="3423">
        <v>25230</v>
      </c>
      <c r="F36" s="3429">
        <v>6780</v>
      </c>
      <c r="G36" s="3429">
        <v>16120</v>
      </c>
      <c r="I36" s="1021"/>
      <c r="N36" s="3432" t="s">
        <v>2854</v>
      </c>
      <c r="O36" s="3460" t="s">
        <v>2868</v>
      </c>
      <c r="P36" s="3423" t="s">
        <v>2918</v>
      </c>
      <c r="Q36" s="3423" t="s">
        <v>2947</v>
      </c>
      <c r="R36" s="3423" t="s">
        <v>2975</v>
      </c>
    </row>
    <row r="37" spans="1:18" ht="14.25" customHeight="1">
      <c r="A37" s="3423" t="s">
        <v>1145</v>
      </c>
      <c r="B37" s="1288" t="s">
        <v>1023</v>
      </c>
      <c r="C37" s="3423">
        <v>24380</v>
      </c>
      <c r="D37" s="3423">
        <v>22240</v>
      </c>
      <c r="E37" s="3423">
        <v>25980</v>
      </c>
      <c r="F37" s="3429">
        <v>8160</v>
      </c>
      <c r="G37" s="3429">
        <v>15570</v>
      </c>
      <c r="I37" s="1022"/>
      <c r="N37" s="3432" t="s">
        <v>2855</v>
      </c>
      <c r="O37" s="3460" t="s">
        <v>2869</v>
      </c>
      <c r="P37" s="3423" t="s">
        <v>2919</v>
      </c>
      <c r="Q37" s="3423" t="s">
        <v>2948</v>
      </c>
      <c r="R37" s="3423" t="s">
        <v>2976</v>
      </c>
    </row>
    <row r="38" spans="1:18" ht="14.25" customHeight="1">
      <c r="A38" s="3423" t="s">
        <v>1145</v>
      </c>
      <c r="B38" s="1288" t="s">
        <v>1033</v>
      </c>
      <c r="C38" s="3423">
        <v>23120</v>
      </c>
      <c r="D38" s="3423">
        <v>24630</v>
      </c>
      <c r="E38" s="3423">
        <v>25030</v>
      </c>
      <c r="F38" s="3429">
        <v>7710</v>
      </c>
      <c r="G38" s="3429">
        <v>17240</v>
      </c>
      <c r="I38" s="1023"/>
      <c r="N38" s="3432" t="s">
        <v>2856</v>
      </c>
      <c r="O38" s="3460" t="s">
        <v>2870</v>
      </c>
      <c r="P38" s="3423" t="s">
        <v>2920</v>
      </c>
      <c r="Q38" s="3423" t="s">
        <v>2949</v>
      </c>
      <c r="R38" s="3423" t="s">
        <v>2977</v>
      </c>
    </row>
    <row r="39" spans="1:18" ht="14.25" customHeight="1">
      <c r="A39" s="3423" t="s">
        <v>1145</v>
      </c>
      <c r="B39" s="1288" t="s">
        <v>1042</v>
      </c>
      <c r="C39" s="3423">
        <v>22330</v>
      </c>
      <c r="D39" s="3423">
        <v>21140</v>
      </c>
      <c r="E39" s="3423">
        <v>23970</v>
      </c>
      <c r="F39" s="3429">
        <v>7940</v>
      </c>
      <c r="G39" s="3429">
        <v>14790</v>
      </c>
      <c r="I39" s="1023"/>
      <c r="N39" s="3432" t="s">
        <v>2857</v>
      </c>
      <c r="O39" s="3460" t="s">
        <v>2871</v>
      </c>
      <c r="P39" s="3423" t="s">
        <v>2921</v>
      </c>
      <c r="Q39" s="3423" t="s">
        <v>2950</v>
      </c>
      <c r="R39" s="3423" t="s">
        <v>2978</v>
      </c>
    </row>
    <row r="40" spans="1:18" ht="14.25" customHeight="1">
      <c r="A40" s="3423" t="s">
        <v>1145</v>
      </c>
      <c r="B40" s="1288" t="s">
        <v>1049</v>
      </c>
      <c r="C40" s="3423">
        <v>24740</v>
      </c>
      <c r="D40" s="3423">
        <v>24690</v>
      </c>
      <c r="E40" s="3423">
        <v>22610</v>
      </c>
      <c r="F40" s="3429"/>
      <c r="G40" s="3429">
        <v>17280</v>
      </c>
      <c r="I40" s="1023"/>
      <c r="N40" s="3432" t="s">
        <v>2858</v>
      </c>
      <c r="O40" s="3460" t="s">
        <v>2872</v>
      </c>
      <c r="P40" s="3423" t="s">
        <v>2922</v>
      </c>
      <c r="Q40" s="3423" t="s">
        <v>2951</v>
      </c>
      <c r="R40" s="3423" t="s">
        <v>2979</v>
      </c>
    </row>
    <row r="41" spans="1:18" ht="14.25" customHeight="1">
      <c r="A41" s="3423" t="s">
        <v>1145</v>
      </c>
      <c r="B41" s="1288" t="s">
        <v>1056</v>
      </c>
      <c r="C41" s="3423">
        <v>21220</v>
      </c>
      <c r="D41" s="3423">
        <v>21120</v>
      </c>
      <c r="E41" s="3423">
        <v>22590</v>
      </c>
      <c r="F41" s="3429"/>
      <c r="G41" s="3429">
        <v>14780</v>
      </c>
      <c r="I41" s="1023"/>
      <c r="N41" s="3432" t="s">
        <v>2859</v>
      </c>
      <c r="O41" s="3461" t="s">
        <v>2873</v>
      </c>
      <c r="P41" s="1288" t="s">
        <v>2923</v>
      </c>
      <c r="Q41" s="3432" t="s">
        <v>2952</v>
      </c>
      <c r="R41" s="1288" t="s">
        <v>2980</v>
      </c>
    </row>
    <row r="42" spans="1:18" ht="14.25" customHeight="1">
      <c r="A42" s="3423" t="s">
        <v>1145</v>
      </c>
      <c r="B42" s="1288" t="s">
        <v>1063</v>
      </c>
      <c r="C42" s="3423">
        <v>24800</v>
      </c>
      <c r="D42" s="3423">
        <v>22280</v>
      </c>
      <c r="E42" s="3423">
        <v>24350</v>
      </c>
      <c r="F42" s="3429"/>
      <c r="G42" s="3429">
        <v>15590</v>
      </c>
      <c r="I42" s="1023"/>
      <c r="O42" s="3423" t="s">
        <v>2874</v>
      </c>
      <c r="P42" s="3423" t="s">
        <v>2924</v>
      </c>
      <c r="Q42" s="3432" t="s">
        <v>2953</v>
      </c>
      <c r="R42" s="3423" t="s">
        <v>2981</v>
      </c>
    </row>
    <row r="43" spans="1:18" ht="14.25" customHeight="1">
      <c r="A43" s="3423" t="s">
        <v>1145</v>
      </c>
      <c r="B43" s="1288" t="s">
        <v>1071</v>
      </c>
      <c r="C43" s="3423">
        <v>21210</v>
      </c>
      <c r="D43" s="3423">
        <v>21160</v>
      </c>
      <c r="E43" s="3423">
        <v>22650</v>
      </c>
      <c r="F43" s="3429"/>
      <c r="G43" s="3429">
        <v>14800</v>
      </c>
      <c r="I43" s="1023"/>
      <c r="O43" s="3423" t="s">
        <v>2875</v>
      </c>
      <c r="P43" s="3423" t="s">
        <v>2925</v>
      </c>
      <c r="Q43" s="3432" t="s">
        <v>2954</v>
      </c>
      <c r="R43" s="3423" t="s">
        <v>2982</v>
      </c>
    </row>
    <row r="44" spans="1:18" ht="14.25" customHeight="1">
      <c r="A44" s="3423" t="s">
        <v>1145</v>
      </c>
      <c r="B44" s="1288" t="s">
        <v>1079</v>
      </c>
      <c r="C44" s="3423">
        <v>22370</v>
      </c>
      <c r="D44" s="3423">
        <v>23140</v>
      </c>
      <c r="E44" s="3423">
        <v>25090</v>
      </c>
      <c r="F44" s="3429"/>
      <c r="G44" s="3429">
        <v>16190</v>
      </c>
      <c r="I44" s="1023"/>
      <c r="O44" s="3423" t="s">
        <v>2876</v>
      </c>
      <c r="P44" s="3423" t="s">
        <v>2926</v>
      </c>
      <c r="Q44" s="3432" t="s">
        <v>2955</v>
      </c>
      <c r="R44" s="3423" t="s">
        <v>2983</v>
      </c>
    </row>
    <row r="45" spans="1:18" ht="14.25" customHeight="1">
      <c r="A45" s="3423" t="s">
        <v>1145</v>
      </c>
      <c r="B45" s="1288" t="s">
        <v>1084</v>
      </c>
      <c r="C45" s="3423">
        <v>21240</v>
      </c>
      <c r="D45" s="3423">
        <v>27050</v>
      </c>
      <c r="E45" s="3423">
        <v>28000</v>
      </c>
      <c r="F45" s="3429"/>
      <c r="G45" s="3429">
        <v>18940</v>
      </c>
      <c r="I45" s="1021"/>
      <c r="O45" s="3423" t="s">
        <v>2877</v>
      </c>
      <c r="P45" s="3423" t="s">
        <v>2927</v>
      </c>
      <c r="R45" s="3423" t="s">
        <v>2984</v>
      </c>
    </row>
    <row r="46" spans="1:18" ht="14.25" customHeight="1">
      <c r="A46" s="3423" t="s">
        <v>1145</v>
      </c>
      <c r="B46" s="1288" t="s">
        <v>1093</v>
      </c>
      <c r="C46" s="3423">
        <v>23240</v>
      </c>
      <c r="D46" s="3423">
        <v>23000</v>
      </c>
      <c r="E46" s="3423">
        <v>24980</v>
      </c>
      <c r="F46" s="3429"/>
      <c r="G46" s="3429">
        <v>16100</v>
      </c>
      <c r="I46" s="1023"/>
      <c r="O46" s="3423" t="s">
        <v>2878</v>
      </c>
      <c r="P46" s="3423"/>
      <c r="R46" s="3423" t="s">
        <v>2985</v>
      </c>
    </row>
    <row r="47" spans="1:18" ht="14.25" customHeight="1">
      <c r="A47" s="3423" t="s">
        <v>1145</v>
      </c>
      <c r="B47" s="2600" t="s">
        <v>1100</v>
      </c>
      <c r="C47" s="1286">
        <v>27150</v>
      </c>
      <c r="D47" s="1286">
        <v>23310</v>
      </c>
      <c r="E47" s="1286">
        <v>25150</v>
      </c>
      <c r="F47" s="3434"/>
      <c r="G47" s="3434">
        <v>16310</v>
      </c>
      <c r="I47" s="1023"/>
      <c r="O47" s="3423" t="s">
        <v>2879</v>
      </c>
      <c r="P47" s="3423"/>
      <c r="R47" s="3432" t="s">
        <v>2986</v>
      </c>
    </row>
    <row r="48" spans="1:18" ht="14.25" customHeight="1">
      <c r="A48" s="3423" t="s">
        <v>1145</v>
      </c>
      <c r="B48" s="3423" t="s">
        <v>1108</v>
      </c>
      <c r="C48" s="3423">
        <v>23100</v>
      </c>
      <c r="D48" s="3423">
        <v>21110</v>
      </c>
      <c r="E48" s="3423">
        <v>23080</v>
      </c>
      <c r="F48" s="3429"/>
      <c r="G48" s="3436">
        <v>14780</v>
      </c>
      <c r="I48" s="1021"/>
      <c r="O48" s="3423" t="s">
        <v>2880</v>
      </c>
      <c r="P48" s="3423"/>
      <c r="R48" s="3432" t="s">
        <v>2987</v>
      </c>
    </row>
    <row r="49" spans="1:18" ht="14.25" customHeight="1">
      <c r="A49" s="3423" t="s">
        <v>1145</v>
      </c>
      <c r="B49" s="1288" t="s">
        <v>1115</v>
      </c>
      <c r="C49" s="1288">
        <v>23400</v>
      </c>
      <c r="D49" s="1288">
        <v>22920</v>
      </c>
      <c r="E49" s="1288">
        <v>24900</v>
      </c>
      <c r="F49" s="3424"/>
      <c r="G49" s="3424">
        <v>16040</v>
      </c>
      <c r="I49" s="1023"/>
      <c r="O49" s="3423" t="s">
        <v>2881</v>
      </c>
      <c r="P49" s="3423"/>
      <c r="R49" s="3432" t="s">
        <v>2988</v>
      </c>
    </row>
    <row r="50" spans="1:18" ht="14.25" customHeight="1">
      <c r="A50" s="3423" t="s">
        <v>1145</v>
      </c>
      <c r="B50" s="3423" t="s">
        <v>2830</v>
      </c>
      <c r="C50" s="3423">
        <v>21200</v>
      </c>
      <c r="D50" s="3423">
        <v>26540</v>
      </c>
      <c r="E50" s="3423">
        <v>23200</v>
      </c>
      <c r="F50" s="3429"/>
      <c r="G50" s="3429">
        <v>18580</v>
      </c>
      <c r="I50" s="1023"/>
      <c r="O50" s="3432" t="s">
        <v>2882</v>
      </c>
      <c r="R50" s="3432" t="s">
        <v>2989</v>
      </c>
    </row>
    <row r="51" spans="1:18" ht="14.25" customHeight="1">
      <c r="A51" s="3423" t="s">
        <v>1145</v>
      </c>
      <c r="B51" s="3423" t="s">
        <v>2831</v>
      </c>
      <c r="C51" s="3423">
        <v>23000</v>
      </c>
      <c r="D51" s="3423">
        <v>23460</v>
      </c>
      <c r="E51" s="3423">
        <v>25290</v>
      </c>
      <c r="F51" s="3429"/>
      <c r="G51" s="3429">
        <v>16420</v>
      </c>
      <c r="I51" s="1023"/>
      <c r="O51" s="3432" t="s">
        <v>2883</v>
      </c>
      <c r="R51" s="3432" t="s">
        <v>2990</v>
      </c>
    </row>
    <row r="52" spans="1:18" ht="14.25" customHeight="1">
      <c r="A52" s="3423" t="s">
        <v>1145</v>
      </c>
      <c r="B52" s="3423" t="s">
        <v>2832</v>
      </c>
      <c r="C52" s="3423">
        <v>26660</v>
      </c>
      <c r="D52" s="3423">
        <v>22350</v>
      </c>
      <c r="E52" s="3423">
        <v>22920</v>
      </c>
      <c r="F52" s="3429"/>
      <c r="G52" s="3429">
        <v>15640</v>
      </c>
      <c r="I52" s="1023"/>
      <c r="O52" s="3432" t="s">
        <v>2884</v>
      </c>
    </row>
    <row r="53" spans="1:18" ht="14.25" customHeight="1">
      <c r="A53" s="3423" t="s">
        <v>1145</v>
      </c>
      <c r="B53" s="3423" t="s">
        <v>2833</v>
      </c>
      <c r="C53" s="3423">
        <v>23580</v>
      </c>
      <c r="D53" s="3423"/>
      <c r="E53" s="3423">
        <v>24280</v>
      </c>
      <c r="F53" s="3429"/>
      <c r="G53" s="3429"/>
      <c r="I53" s="1023"/>
      <c r="O53" s="3432" t="s">
        <v>2885</v>
      </c>
    </row>
    <row r="54" spans="1:18" ht="14.25" customHeight="1" thickBot="1">
      <c r="A54" s="3438" t="s">
        <v>1145</v>
      </c>
      <c r="B54" s="3426" t="s">
        <v>2834</v>
      </c>
      <c r="C54" s="3426">
        <v>22460</v>
      </c>
      <c r="D54" s="3426"/>
      <c r="E54" s="3426"/>
      <c r="F54" s="3427"/>
      <c r="G54" s="3439"/>
      <c r="I54" s="1023"/>
      <c r="O54" s="3432" t="s">
        <v>2886</v>
      </c>
    </row>
    <row r="55" spans="1:18" ht="14.25" customHeight="1">
      <c r="A55" s="3437" t="s">
        <v>853</v>
      </c>
      <c r="B55" s="1288" t="s">
        <v>2835</v>
      </c>
      <c r="C55" s="1288">
        <v>21970</v>
      </c>
      <c r="D55" s="1288">
        <v>20370</v>
      </c>
      <c r="E55" s="1288">
        <v>20180</v>
      </c>
      <c r="F55" s="3424">
        <v>5730</v>
      </c>
      <c r="G55" s="3424">
        <v>13820</v>
      </c>
      <c r="I55" s="1023"/>
      <c r="O55" s="3432" t="s">
        <v>2887</v>
      </c>
    </row>
    <row r="56" spans="1:18" ht="14.25" customHeight="1">
      <c r="A56" s="3423" t="s">
        <v>853</v>
      </c>
      <c r="B56" s="3423" t="s">
        <v>975</v>
      </c>
      <c r="C56" s="3423">
        <v>20470</v>
      </c>
      <c r="D56" s="3423">
        <v>20700</v>
      </c>
      <c r="E56" s="3423">
        <v>20380</v>
      </c>
      <c r="F56" s="3429">
        <v>4760</v>
      </c>
      <c r="G56" s="3429">
        <v>14050</v>
      </c>
      <c r="I56" s="1023"/>
      <c r="O56" s="3432" t="s">
        <v>2888</v>
      </c>
    </row>
    <row r="57" spans="1:18" ht="14.25" customHeight="1">
      <c r="A57" s="3423" t="s">
        <v>853</v>
      </c>
      <c r="B57" s="3423" t="s">
        <v>985</v>
      </c>
      <c r="C57" s="3423">
        <v>20790</v>
      </c>
      <c r="D57" s="3423">
        <v>21370</v>
      </c>
      <c r="E57" s="3423">
        <v>20890</v>
      </c>
      <c r="F57" s="3429">
        <v>4910</v>
      </c>
      <c r="G57" s="3429">
        <v>14510</v>
      </c>
      <c r="I57" s="1023"/>
      <c r="O57" s="3432" t="s">
        <v>2889</v>
      </c>
    </row>
    <row r="58" spans="1:18" ht="14.25" customHeight="1">
      <c r="A58" s="3423" t="s">
        <v>853</v>
      </c>
      <c r="B58" s="3423" t="s">
        <v>994</v>
      </c>
      <c r="C58" s="3423">
        <v>21460</v>
      </c>
      <c r="D58" s="3423">
        <v>20920</v>
      </c>
      <c r="E58" s="3423">
        <v>23410</v>
      </c>
      <c r="F58" s="3429">
        <v>5100</v>
      </c>
      <c r="G58" s="3429">
        <v>14200</v>
      </c>
      <c r="I58" s="1023"/>
      <c r="O58" s="3432" t="s">
        <v>2890</v>
      </c>
    </row>
    <row r="59" spans="1:18" ht="14.25" customHeight="1">
      <c r="A59" s="3423" t="s">
        <v>853</v>
      </c>
      <c r="B59" s="3423" t="s">
        <v>1004</v>
      </c>
      <c r="C59" s="3423">
        <v>21000</v>
      </c>
      <c r="D59" s="3423">
        <v>21550</v>
      </c>
      <c r="E59" s="3423">
        <v>21150</v>
      </c>
      <c r="F59" s="3429">
        <v>5250</v>
      </c>
      <c r="G59" s="3429">
        <v>14630</v>
      </c>
      <c r="I59" s="1023"/>
      <c r="O59" s="3432" t="s">
        <v>2891</v>
      </c>
    </row>
    <row r="60" spans="1:18" ht="14.25" customHeight="1">
      <c r="A60" s="3423" t="s">
        <v>853</v>
      </c>
      <c r="B60" s="3423" t="s">
        <v>1011</v>
      </c>
      <c r="C60" s="3423">
        <v>21640</v>
      </c>
      <c r="D60" s="3423">
        <v>21260</v>
      </c>
      <c r="E60" s="3423">
        <v>24040</v>
      </c>
      <c r="F60" s="3429">
        <v>4470</v>
      </c>
      <c r="G60" s="3429">
        <v>14430</v>
      </c>
      <c r="I60" s="1023"/>
      <c r="O60" s="3432" t="s">
        <v>2892</v>
      </c>
    </row>
    <row r="61" spans="1:18" ht="14.25" customHeight="1">
      <c r="A61" s="3423" t="s">
        <v>853</v>
      </c>
      <c r="B61" s="3423" t="s">
        <v>1017</v>
      </c>
      <c r="C61" s="3423">
        <v>21330</v>
      </c>
      <c r="D61" s="3423">
        <v>18640</v>
      </c>
      <c r="E61" s="3423">
        <v>21190</v>
      </c>
      <c r="F61" s="3429">
        <v>4180</v>
      </c>
      <c r="G61" s="3431">
        <v>12650</v>
      </c>
      <c r="I61" s="1023"/>
      <c r="O61" s="3432" t="s">
        <v>2893</v>
      </c>
    </row>
    <row r="62" spans="1:18" ht="14.25" customHeight="1">
      <c r="A62" s="3423" t="s">
        <v>853</v>
      </c>
      <c r="B62" s="3423" t="s">
        <v>1024</v>
      </c>
      <c r="C62" s="3423">
        <v>18710</v>
      </c>
      <c r="D62" s="3423">
        <v>19400</v>
      </c>
      <c r="E62" s="3423">
        <v>23750</v>
      </c>
      <c r="F62" s="3429">
        <v>4860</v>
      </c>
      <c r="G62" s="3431">
        <v>13170</v>
      </c>
      <c r="I62" s="1023"/>
      <c r="O62" s="3432" t="s">
        <v>2894</v>
      </c>
    </row>
    <row r="63" spans="1:18" ht="14.25" customHeight="1">
      <c r="A63" s="3423" t="s">
        <v>853</v>
      </c>
      <c r="B63" s="3423" t="s">
        <v>1034</v>
      </c>
      <c r="C63" s="3423">
        <v>19480</v>
      </c>
      <c r="D63" s="3423">
        <v>16830</v>
      </c>
      <c r="E63" s="3423">
        <v>21590</v>
      </c>
      <c r="F63" s="3429">
        <v>4560</v>
      </c>
      <c r="G63" s="3431">
        <v>11420</v>
      </c>
      <c r="I63" s="1023"/>
      <c r="O63" s="3432" t="s">
        <v>2895</v>
      </c>
    </row>
    <row r="64" spans="1:18" ht="14.25" customHeight="1">
      <c r="A64" s="3423" t="s">
        <v>853</v>
      </c>
      <c r="B64" s="3423" t="s">
        <v>1043</v>
      </c>
      <c r="C64" s="3423">
        <v>16920</v>
      </c>
      <c r="D64" s="3423">
        <v>19190</v>
      </c>
      <c r="E64" s="3423">
        <v>22200</v>
      </c>
      <c r="F64" s="3429">
        <v>4390</v>
      </c>
      <c r="G64" s="3431">
        <v>13030</v>
      </c>
      <c r="I64" s="1023"/>
      <c r="O64" s="3432" t="s">
        <v>2896</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2836</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2837</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2838</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2839</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2840</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2841</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2842</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2843</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2844</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2845</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2846</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2847</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2848</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2849</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2850</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2851</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2852</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2853</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2854</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2855</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2856</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2857</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2858</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2859</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2860</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2861</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2862</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2863</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2864</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2865</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2866</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2867</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2868</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2869</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2870</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2871</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2872</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2873</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2874</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2875</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2876</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2877</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2878</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2879</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2880</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2881</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2882</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2883</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2884</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2885</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2886</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2887</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2888</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2889</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2890</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2891</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2892</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2893</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2894</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2895</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2896</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2897</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2898</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2899</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2900</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2901</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2902</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2903</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2904</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2905</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2906</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2907</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2908</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2909</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2910</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2911</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2912</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2913</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2914</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2915</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2916</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2917</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2918</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2919</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2920</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2921</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2922</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2923</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2924</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2925</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2926</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2927</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2928</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2929</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2930</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2931</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2932</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2933</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2934</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2935</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2936</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2937</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2938</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2939</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2940</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2941</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2942</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2943</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2944</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2945</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2946</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2947</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2948</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2949</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2950</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2951</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2952</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2953</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2954</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2955</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2956</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2957</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2958</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2959</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2960</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2961</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2962</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2963</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2964</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2965</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2966</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2967</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2968</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2969</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2970</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2971</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2972</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2973</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2974</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2975</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2976</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2977</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2978</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2979</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2980</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2981</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2982</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2983</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2984</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2985</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2986</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2987</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2988</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2989</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2990</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2991</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2992</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2993</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2994</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2995</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2996</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2997</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2998</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2999</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17"/>
  <sheetViews>
    <sheetView workbookViewId="0">
      <selection sqref="A1:XFD1048576"/>
    </sheetView>
  </sheetViews>
  <sheetFormatPr defaultRowHeight="13.5"/>
  <sheetData>
    <row r="1" spans="1:6">
      <c r="A1" s="3930" t="s">
        <v>3192</v>
      </c>
      <c r="B1" s="3930"/>
      <c r="C1" s="3930"/>
      <c r="D1" s="3930"/>
      <c r="E1" s="3930"/>
      <c r="F1" s="3931"/>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2779</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2766</v>
      </c>
      <c r="M2" s="974" t="s">
        <v>2767</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2780</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2766</v>
      </c>
      <c r="M94" s="980" t="s">
        <v>2767</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2781</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2766</v>
      </c>
      <c r="M186" s="980" t="s">
        <v>2767</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2782</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2766</v>
      </c>
      <c r="M278" s="980" t="s">
        <v>2767</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2783</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2766</v>
      </c>
      <c r="M370" s="980" t="s">
        <v>2767</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32" t="s">
        <v>3030</v>
      </c>
      <c r="B1" s="3932"/>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5" t="s">
        <v>1858</v>
      </c>
      <c r="C1" s="3935"/>
      <c r="D1" s="3935"/>
      <c r="E1" s="3935"/>
      <c r="F1" s="3935"/>
      <c r="G1" s="3934" t="s">
        <v>1859</v>
      </c>
      <c r="H1" s="3934"/>
      <c r="I1" s="3934"/>
      <c r="J1" s="3934"/>
      <c r="K1" s="3934"/>
      <c r="L1" s="3934"/>
      <c r="N1" s="3934" t="s">
        <v>1860</v>
      </c>
      <c r="O1" s="3934"/>
      <c r="P1" s="3934"/>
      <c r="Q1" s="3934"/>
      <c r="S1" s="3934" t="s">
        <v>1861</v>
      </c>
      <c r="T1" s="3934"/>
      <c r="U1" s="3934"/>
      <c r="V1" s="3934"/>
      <c r="X1" s="3933" t="s">
        <v>1921</v>
      </c>
      <c r="Y1" s="3934"/>
      <c r="Z1" s="3934"/>
      <c r="AA1" s="3934"/>
      <c r="AB1" s="3934"/>
      <c r="AD1" s="3933" t="s">
        <v>1925</v>
      </c>
      <c r="AE1" s="3934"/>
      <c r="AF1" s="3934"/>
      <c r="AG1" s="3934"/>
      <c r="AH1" s="3934"/>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3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3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3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43"/>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4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43"/>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4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8"/>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6">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8"/>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6">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8"/>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39">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0"/>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40"/>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41"/>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36">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38"/>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36">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38">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36">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38">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36">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38">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36">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38">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36">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38">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36">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38">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36">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38">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36">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38">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36">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7">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7">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38">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36">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7">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7">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38">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D42"/>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9">
        <f>基准地价!G23</f>
        <v>45378</v>
      </c>
      <c r="B1" s="3347" t="s">
        <v>2793</v>
      </c>
      <c r="C1" s="3348"/>
      <c r="D1" s="3348"/>
      <c r="E1" s="3348"/>
      <c r="F1" s="3348"/>
      <c r="G1" s="3348"/>
      <c r="H1" s="3348"/>
      <c r="I1" s="3348"/>
      <c r="J1" s="3349"/>
      <c r="K1" s="3348" t="s">
        <v>2794</v>
      </c>
      <c r="L1" s="3348"/>
      <c r="M1" s="3348"/>
      <c r="N1" s="3348"/>
      <c r="O1" s="3348"/>
      <c r="P1" s="3348"/>
      <c r="Q1" s="3349"/>
      <c r="R1" s="3944" t="s">
        <v>2803</v>
      </c>
      <c r="S1" s="3945"/>
      <c r="T1" s="3945"/>
      <c r="U1" s="3945"/>
      <c r="V1" s="3945"/>
      <c r="W1" s="3945"/>
      <c r="X1" s="3349"/>
      <c r="Y1" s="3944" t="s">
        <v>2814</v>
      </c>
      <c r="Z1" s="3945"/>
      <c r="AA1" s="3945"/>
      <c r="AB1" s="3945"/>
      <c r="AC1" s="3945"/>
      <c r="AD1" s="3945"/>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3262</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1.0804</v>
      </c>
      <c r="S5" s="3380">
        <f>ROUND(IF(项目基本情况!$B$8="出让",SUMPRODUCT(PRODUCT(1+L5:$L$18)),SUMPRODUCT(PRODUCT(1+L5:$L$17))),4)</f>
        <v>1.0471999999999999</v>
      </c>
      <c r="T5" s="3380">
        <f>ROUND(IF(项目基本情况!$B$8="出让",SUMPRODUCT(PRODUCT(1+M5:$M$18)),SUMPRODUCT(PRODUCT(1+M5:$M$17))),4)</f>
        <v>1.0266</v>
      </c>
      <c r="U5" s="3380">
        <f>ROUND(IF(项目基本情况!$B$8="出让",SUMPRODUCT(PRODUCT(1+N5:$N$18)),SUMPRODUCT(PRODUCT(1+N5:$N$17))),4)</f>
        <v>1.0859000000000001</v>
      </c>
      <c r="V5" s="3380">
        <f>ROUND(IF(项目基本情况!$B$8="出让",SUMPRODUCT(PRODUCT(1+O5:$O$18)),SUMPRODUCT(PRODUCT(1+O5:$O$17))),4)</f>
        <v>1.0741000000000001</v>
      </c>
      <c r="W5" s="3380">
        <f>T5</f>
        <v>1.0266</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3263</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1.0804</v>
      </c>
      <c r="S6" s="3380">
        <f>ROUND(IF(项目基本情况!$B$8="出让",SUMPRODUCT(PRODUCT(1+L6:$L$18)),SUMPRODUCT(PRODUCT(1+L6:$L$17))),4)</f>
        <v>1.0471999999999999</v>
      </c>
      <c r="T6" s="3380">
        <f>ROUND(IF(项目基本情况!$B$8="出让",SUMPRODUCT(PRODUCT(1+M6:$M$18)),SUMPRODUCT(PRODUCT(1+M6:$M$17))),4)</f>
        <v>1.0266</v>
      </c>
      <c r="U6" s="3380">
        <f>ROUND(IF(项目基本情况!$B$8="出让",SUMPRODUCT(PRODUCT(1+N6:$N$18)),SUMPRODUCT(PRODUCT(1+N6:$N$17))),4)</f>
        <v>1.0859000000000001</v>
      </c>
      <c r="V6" s="3380">
        <f>ROUND(IF(项目基本情况!$B$8="出让",SUMPRODUCT(PRODUCT(1+O6:$O$18)),SUMPRODUCT(PRODUCT(1+O6:$O$17))),4)</f>
        <v>1.0741000000000001</v>
      </c>
      <c r="W6" s="3380">
        <f t="shared" ref="W6" si="9">T6</f>
        <v>1.0266</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3264</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1.0804</v>
      </c>
      <c r="S7" s="3367">
        <f>ROUND(IF(项目基本情况!$B$8="出让",SUMPRODUCT(PRODUCT(1+L7:$L$18)),SUMPRODUCT(PRODUCT(1+L7:$L$17))),4)</f>
        <v>1.0471999999999999</v>
      </c>
      <c r="T7" s="3367">
        <f>ROUND(IF(项目基本情况!$B$8="出让",SUMPRODUCT(PRODUCT(1+M7:$M$18)),SUMPRODUCT(PRODUCT(1+M7:$M$17))),4)</f>
        <v>1.0266</v>
      </c>
      <c r="U7" s="3367">
        <f>ROUND(IF(项目基本情况!$B$8="出让",SUMPRODUCT(PRODUCT(1+N7:$N$18)),SUMPRODUCT(PRODUCT(1+N7:$N$17))),4)</f>
        <v>1.0859000000000001</v>
      </c>
      <c r="V7" s="3367">
        <f>ROUND(IF(项目基本情况!$B$8="出让",SUMPRODUCT(PRODUCT(1+O7:$O$18)),SUMPRODUCT(PRODUCT(1+O7:$O$17))),4)</f>
        <v>1.0741000000000001</v>
      </c>
      <c r="W7" s="3367">
        <f t="shared" ref="W7" si="18">T7</f>
        <v>1.0266</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3265</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1.0783</v>
      </c>
      <c r="S8" s="3380">
        <f>ROUND(IF(项目基本情况!$B$8="出让",SUMPRODUCT(PRODUCT(1+L8:$L$18)),SUMPRODUCT(PRODUCT(1+L8:$L$17))),4)</f>
        <v>1.0447</v>
      </c>
      <c r="T8" s="3380">
        <f>ROUND(IF(项目基本情况!$B$8="出让",SUMPRODUCT(PRODUCT(1+M8:$M$18)),SUMPRODUCT(PRODUCT(1+M8:$M$17))),4)</f>
        <v>1.0282</v>
      </c>
      <c r="U8" s="3380">
        <f>ROUND(IF(项目基本情况!$B$8="出让",SUMPRODUCT(PRODUCT(1+N8:$N$18)),SUMPRODUCT(PRODUCT(1+N8:$N$17))),4)</f>
        <v>1.0841000000000001</v>
      </c>
      <c r="V8" s="3380">
        <f>ROUND(IF(项目基本情况!$B$8="出让",SUMPRODUCT(PRODUCT(1+O8:$O$18)),SUMPRODUCT(PRODUCT(1+O8:$O$17))),4)</f>
        <v>1.0674999999999999</v>
      </c>
      <c r="W8" s="3380">
        <f t="shared" ref="W8:W10" si="30">T8</f>
        <v>1.0282</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3260</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1.0755999999999999</v>
      </c>
      <c r="S9" s="3380">
        <f>ROUND(IF(项目基本情况!$B$8="出让",SUMPRODUCT(PRODUCT(1+L9:$L$18)),SUMPRODUCT(PRODUCT(1+L9:$L$17))),4)</f>
        <v>1.0395000000000001</v>
      </c>
      <c r="T9" s="3380">
        <f>ROUND(IF(项目基本情况!$B$8="出让",SUMPRODUCT(PRODUCT(1+M9:$M$18)),SUMPRODUCT(PRODUCT(1+M9:$M$17))),4)</f>
        <v>1.0250999999999999</v>
      </c>
      <c r="U9" s="3380">
        <f>ROUND(IF(项目基本情况!$B$8="出让",SUMPRODUCT(PRODUCT(1+N9:$N$18)),SUMPRODUCT(PRODUCT(1+N9:$N$17))),4)</f>
        <v>1.0818000000000001</v>
      </c>
      <c r="V9" s="3380">
        <f>ROUND(IF(项目基本情况!$B$8="出让",SUMPRODUCT(PRODUCT(1+O9:$O$18)),SUMPRODUCT(PRODUCT(1+O9:$O$17))),4)</f>
        <v>1.0629999999999999</v>
      </c>
      <c r="W9" s="3380">
        <f t="shared" si="30"/>
        <v>1.0250999999999999</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3258</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1.0659000000000001</v>
      </c>
      <c r="S10" s="3380">
        <f>ROUND(IF(项目基本情况!$B$8="出让",SUMPRODUCT(PRODUCT(1+L10:$L$18)),SUMPRODUCT(PRODUCT(1+L10:$L$17))),4)</f>
        <v>1.0326</v>
      </c>
      <c r="T10" s="3380">
        <f>ROUND(IF(项目基本情况!$B$8="出让",SUMPRODUCT(PRODUCT(1+M10:$M$18)),SUMPRODUCT(PRODUCT(1+M10:$M$17))),4)</f>
        <v>1.0203</v>
      </c>
      <c r="U10" s="3380">
        <f>ROUND(IF(项目基本情况!$B$8="出让",SUMPRODUCT(PRODUCT(1+N10:$N$18)),SUMPRODUCT(PRODUCT(1+N10:$N$17))),4)</f>
        <v>1.0714999999999999</v>
      </c>
      <c r="V10" s="3380">
        <f>ROUND(IF(项目基本情况!$B$8="出让",SUMPRODUCT(PRODUCT(1+O10:$O$18)),SUMPRODUCT(PRODUCT(1+O10:$O$17))),4)</f>
        <v>1.0555000000000001</v>
      </c>
      <c r="W10" s="3380">
        <f t="shared" si="30"/>
        <v>1.0203</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3256</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1.0565</v>
      </c>
      <c r="S11" s="3380">
        <f>ROUND(IF(项目基本情况!B8="出让",SUMPRODUCT(PRODUCT(1+L11:L18)),SUMPRODUCT(PRODUCT(1+L11:L17))),4)</f>
        <v>1.0250999999999999</v>
      </c>
      <c r="T11" s="3380">
        <f>ROUND(IF(项目基本情况!B8="出让",SUMPRODUCT(PRODUCT(1+M11:M18)),SUMPRODUCT(PRODUCT(1+M11:M17))),4)</f>
        <v>1.0145</v>
      </c>
      <c r="U11" s="3380">
        <f>ROUND(IF(项目基本情况!B8="出让",SUMPRODUCT(PRODUCT(1+N11:N18)),SUMPRODUCT(PRODUCT(1+N11:N17))),4)</f>
        <v>1.0618000000000001</v>
      </c>
      <c r="V11" s="3380">
        <f>ROUND(IF(项目基本情况!B8="出让",SUMPRODUCT(PRODUCT(1+O11:O18)),SUMPRODUCT(PRODUCT(1+O11:O17))),4)</f>
        <v>1.0502</v>
      </c>
      <c r="W11" s="3380">
        <f t="shared" ref="W11:W18" si="36">T11</f>
        <v>1.0145</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3251</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1.05</v>
      </c>
      <c r="S12" s="3380">
        <f>ROUND(IF(项目基本情况!B8="出让",SUMPRODUCT(PRODUCT(1+L12:L18)),SUMPRODUCT(PRODUCT(1+L12:L17))),4)</f>
        <v>1.0229999999999999</v>
      </c>
      <c r="T12" s="3380">
        <f>ROUND(IF(项目基本情况!B8="出让",SUMPRODUCT(PRODUCT(1+M12:M18)),SUMPRODUCT(PRODUCT(1+M12:M17))),4)</f>
        <v>1.0134000000000001</v>
      </c>
      <c r="U12" s="3380">
        <f>ROUND(IF(项目基本情况!B8="出让",SUMPRODUCT(PRODUCT(1+N12:N18)),SUMPRODUCT(PRODUCT(1+N12:N17))),4)</f>
        <v>1.0545</v>
      </c>
      <c r="V12" s="3380">
        <f>ROUND(IF(项目基本情况!B8="出让",SUMPRODUCT(PRODUCT(1+O12:O18)),SUMPRODUCT(PRODUCT(1+O12:O17))),4)</f>
        <v>1.0447</v>
      </c>
      <c r="W12" s="3380">
        <f t="shared" si="36"/>
        <v>1.0134000000000001</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3252</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1.0430999999999999</v>
      </c>
      <c r="S13" s="3380">
        <f>ROUND(IF(项目基本情况!B8="出让",SUMPRODUCT(PRODUCT(1+L13:L18)),SUMPRODUCT(PRODUCT(1+L13:L17))),4)</f>
        <v>1.0197000000000001</v>
      </c>
      <c r="T13" s="3380">
        <f>ROUND(IF(项目基本情况!B8="出让",SUMPRODUCT(PRODUCT(1+M13:M18)),SUMPRODUCT(PRODUCT(1+M13:M17))),4)</f>
        <v>1.0109999999999999</v>
      </c>
      <c r="U13" s="3380">
        <f>ROUND(IF(项目基本情况!B8="出让",SUMPRODUCT(PRODUCT(1+N13:N18)),SUMPRODUCT(PRODUCT(1+N13:N17))),4)</f>
        <v>1.0468999999999999</v>
      </c>
      <c r="V13" s="3380">
        <f>ROUND(IF(项目基本情况!B8="出让",SUMPRODUCT(PRODUCT(1+O13:O18)),SUMPRODUCT(PRODUCT(1+O13:O17))),4)</f>
        <v>1.0382</v>
      </c>
      <c r="W13" s="3380">
        <f t="shared" si="36"/>
        <v>1.0109999999999999</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1.0335000000000001</v>
      </c>
      <c r="S14" s="3380">
        <f>ROUND(IF(项目基本情况!B8="出让",SUMPRODUCT(PRODUCT(1+L14:L18)),SUMPRODUCT(PRODUCT(1+L14:L17))),4)</f>
        <v>1.0182</v>
      </c>
      <c r="T14" s="3380">
        <f>ROUND(IF(项目基本情况!B8="出让",SUMPRODUCT(PRODUCT(1+M14:M18)),SUMPRODUCT(PRODUCT(1+M14:M17))),4)</f>
        <v>1.0108999999999999</v>
      </c>
      <c r="U14" s="3380">
        <f>ROUND(IF(项目基本情况!B8="出让",SUMPRODUCT(PRODUCT(1+N14:N18)),SUMPRODUCT(PRODUCT(1+N14:N17))),4)</f>
        <v>1.0361</v>
      </c>
      <c r="V14" s="3380">
        <f>ROUND(IF(项目基本情况!B8="出让",SUMPRODUCT(PRODUCT(1+O14:O18)),SUMPRODUCT(PRODUCT(1+O14:O17))),4)</f>
        <v>1.0270999999999999</v>
      </c>
      <c r="W14" s="3380">
        <f t="shared" si="36"/>
        <v>1.0108999999999999</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1.0244</v>
      </c>
      <c r="S15" s="3380">
        <f>ROUND(IF(项目基本情况!B8="出让",SUMPRODUCT(PRODUCT(1+L15:L18)),SUMPRODUCT(PRODUCT(1+L15:L17))),4)</f>
        <v>1.0138</v>
      </c>
      <c r="T15" s="3380">
        <f>ROUND(IF(项目基本情况!B8="出让",SUMPRODUCT(PRODUCT(1+M15:M18)),SUMPRODUCT(PRODUCT(1+M15:M17))),4)</f>
        <v>1.0072000000000001</v>
      </c>
      <c r="U15" s="3380">
        <f>ROUND(IF(项目基本情况!B8="出让",SUMPRODUCT(PRODUCT(1+N15:N18)),SUMPRODUCT(PRODUCT(1+N15:N17))),4)</f>
        <v>1.0262</v>
      </c>
      <c r="V15" s="3380">
        <f>ROUND(IF(项目基本情况!B8="出让",SUMPRODUCT(PRODUCT(1+O15:O18)),SUMPRODUCT(PRODUCT(1+O15:O17))),4)</f>
        <v>1.0205</v>
      </c>
      <c r="W15" s="3380">
        <f t="shared" si="36"/>
        <v>1.0072000000000001</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1.0139</v>
      </c>
      <c r="S16" s="3380">
        <f>ROUND(IF(项目基本情况!B8="出让",SUMPRODUCT(PRODUCT(1+L16:L18)),SUMPRODUCT(PRODUCT(1+L16:L17))),4)</f>
        <v>1.0113000000000001</v>
      </c>
      <c r="T16" s="3380">
        <f>ROUND(IF(项目基本情况!B8="出让",SUMPRODUCT(PRODUCT(1+M16:M18)),SUMPRODUCT(PRODUCT(1+M16:M17))),4)</f>
        <v>1.0065</v>
      </c>
      <c r="U16" s="3380">
        <f>ROUND(IF(项目基本情况!B8="出让",SUMPRODUCT(PRODUCT(1+N16:N18)),SUMPRODUCT(PRODUCT(1+N16:N17))),4)</f>
        <v>1.0143</v>
      </c>
      <c r="V16" s="3380">
        <f>ROUND(IF(项目基本情况!B8="出让",SUMPRODUCT(PRODUCT(1+O16:O18)),SUMPRODUCT(PRODUCT(1+O16:O17))),4)</f>
        <v>1.0148999999999999</v>
      </c>
      <c r="W16" s="3380">
        <f t="shared" si="36"/>
        <v>1.0065</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1.0092000000000001</v>
      </c>
      <c r="S17" s="3380">
        <f>ROUND(IF(项目基本情况!B8="出让",SUMPRODUCT(PRODUCT(1+L17:L18)),SUMPRODUCT(PRODUCT(1+L17:L17))),4)</f>
        <v>1.0072000000000001</v>
      </c>
      <c r="T17" s="3380">
        <f>ROUND(IF(项目基本情况!B8="出让",SUMPRODUCT(PRODUCT(1+M17:M18)),SUMPRODUCT(PRODUCT(1+M17:M17))),4)</f>
        <v>1.0041</v>
      </c>
      <c r="U17" s="3380">
        <f>ROUND(IF(项目基本情况!B8="出让",SUMPRODUCT(PRODUCT(1+N17:N18)),SUMPRODUCT(PRODUCT(1+N17:N17))),4)</f>
        <v>1.0095000000000001</v>
      </c>
      <c r="V17" s="3380">
        <f>ROUND(IF(项目基本情况!B8="出让",SUMPRODUCT(PRODUCT(1+O17:O18)),SUMPRODUCT(PRODUCT(1+O17:O17))),4)</f>
        <v>1.0101</v>
      </c>
      <c r="W17" s="3380">
        <f t="shared" si="36"/>
        <v>1.0041</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3254</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44" t="s">
        <v>2810</v>
      </c>
      <c r="S23" s="3945"/>
      <c r="T23" s="3945"/>
      <c r="U23" s="3945"/>
      <c r="V23" s="3945"/>
      <c r="W23" s="3945"/>
      <c r="X23" s="3349"/>
      <c r="Y23" s="3944" t="s">
        <v>1925</v>
      </c>
      <c r="Z23" s="3945"/>
      <c r="AA23" s="3945"/>
      <c r="AB23" s="3945"/>
      <c r="AC23" s="3945"/>
      <c r="AD23" s="3945"/>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3262</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1.0439000000000001</v>
      </c>
      <c r="T27" s="3380">
        <f>ROUND(IF(项目基本情况!$B$8="出让",SUMPRODUCT(PRODUCT(1+M27:M$40)),SUMPRODUCT(PRODUCT(1+M27:M$39))),4)</f>
        <v>1.0297000000000001</v>
      </c>
      <c r="U27" s="3380">
        <f>ROUND(IF(项目基本情况!$B$8="出让",SUMPRODUCT(PRODUCT(1+N27:N$40)),SUMPRODUCT(PRODUCT(1+N27:N$39))),4)</f>
        <v>1.0727</v>
      </c>
      <c r="V27" s="3380"/>
      <c r="W27" s="3380">
        <f>T27</f>
        <v>1.0297000000000001</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3263</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1.0439000000000001</v>
      </c>
      <c r="T28" s="3380">
        <f>ROUND(IF(项目基本情况!$B$8="出让",SUMPRODUCT(PRODUCT(1+M28:M$40)),SUMPRODUCT(PRODUCT(1+M28:M$39))),4)</f>
        <v>1.0297000000000001</v>
      </c>
      <c r="U28" s="3380">
        <f>ROUND(IF(项目基本情况!$B$8="出让",SUMPRODUCT(PRODUCT(1+N28:N$40)),SUMPRODUCT(PRODUCT(1+N28:N$39))),4)</f>
        <v>1.0727</v>
      </c>
      <c r="V28" s="3380"/>
      <c r="W28" s="3380">
        <f t="shared" ref="W28" si="43">T28</f>
        <v>1.0297000000000001</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3264</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1.0439000000000001</v>
      </c>
      <c r="T29" s="3367">
        <f>ROUND(IF(项目基本情况!$B$8="出让",SUMPRODUCT(PRODUCT(1+M29:M$40)),SUMPRODUCT(PRODUCT(1+M29:M$39))),4)</f>
        <v>1.0297000000000001</v>
      </c>
      <c r="U29" s="3367">
        <f>ROUND(IF(项目基本情况!$B$8="出让",SUMPRODUCT(PRODUCT(1+N29:N$40)),SUMPRODUCT(PRODUCT(1+N29:N$39))),4)</f>
        <v>1.0727</v>
      </c>
      <c r="V29" s="3367"/>
      <c r="W29" s="3367">
        <f t="shared" ref="W29" si="50">T29</f>
        <v>1.0297000000000001</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3265</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1.0431999999999999</v>
      </c>
      <c r="T30" s="3380">
        <f>ROUND(IF(项目基本情况!$B$8="出让",SUMPRODUCT(PRODUCT(1+M30:M$40)),SUMPRODUCT(PRODUCT(1+M30:M$39))),4)</f>
        <v>1.0286999999999999</v>
      </c>
      <c r="U30" s="3380">
        <f>ROUND(IF(项目基本情况!$B$8="出让",SUMPRODUCT(PRODUCT(1+N30:N$40)),SUMPRODUCT(PRODUCT(1+N30:N$39))),4)</f>
        <v>1.0723</v>
      </c>
      <c r="V30" s="3380"/>
      <c r="W30" s="3380">
        <f t="shared" ref="W30:W32" si="59">T30</f>
        <v>1.0286999999999999</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3261</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1.0396000000000001</v>
      </c>
      <c r="T31" s="3380">
        <f>ROUND(IF(项目基本情况!$B$8="出让",SUMPRODUCT(PRODUCT(1+M31:M$40)),SUMPRODUCT(PRODUCT(1+M31:M$39))),4)</f>
        <v>1.0269999999999999</v>
      </c>
      <c r="U31" s="3380">
        <f>ROUND(IF(项目基本情况!$B$8="出让",SUMPRODUCT(PRODUCT(1+N31:N$40)),SUMPRODUCT(PRODUCT(1+N31:N$39))),4)</f>
        <v>1.0668</v>
      </c>
      <c r="V31" s="3380"/>
      <c r="W31" s="3380">
        <f t="shared" si="59"/>
        <v>1.0269999999999999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3259</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1.0344</v>
      </c>
      <c r="T32" s="3380">
        <f>ROUND(IF(项目基本情况!$B$8="出让",SUMPRODUCT(PRODUCT(1+M32:M$40)),SUMPRODUCT(PRODUCT(1+M32:M$39))),4)</f>
        <v>1.0224</v>
      </c>
      <c r="U32" s="3380">
        <f>ROUND(IF(项目基本情况!$B$8="出让",SUMPRODUCT(PRODUCT(1+N32:N$40)),SUMPRODUCT(PRODUCT(1+N32:N$39))),4)</f>
        <v>1.0573999999999999</v>
      </c>
      <c r="V32" s="3380"/>
      <c r="W32" s="3380">
        <f t="shared" si="59"/>
        <v>1.0224</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3257</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1.0286999999999999</v>
      </c>
      <c r="T33" s="3380">
        <f>ROUND(IF(项目基本情况!$B$8="出让",SUMPRODUCT(PRODUCT(1+M33:M$40)),SUMPRODUCT(PRODUCT(1+M33:M$39))),4)</f>
        <v>1.0164</v>
      </c>
      <c r="U33" s="3380">
        <f>ROUND(IF(项目基本情况!$B$8="出让",SUMPRODUCT(PRODUCT(1+N33:N$40)),SUMPRODUCT(PRODUCT(1+N33:N$39))),4)</f>
        <v>1.0506</v>
      </c>
      <c r="V33" s="3380"/>
      <c r="W33" s="3380">
        <f t="shared" ref="W33:W40" si="65">T33</f>
        <v>1.0164</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3253</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1.0241</v>
      </c>
      <c r="T34" s="3380">
        <f>ROUND(IF(项目基本情况!$B$8="出让",SUMPRODUCT(PRODUCT(1+M34:M$40)),SUMPRODUCT(PRODUCT(1+M34:M$39))),4)</f>
        <v>1.0144</v>
      </c>
      <c r="U34" s="3380">
        <f>ROUND(IF(项目基本情况!$B$8="出让",SUMPRODUCT(PRODUCT(1+N34:N$40)),SUMPRODUCT(PRODUCT(1+N34:N$39))),4)</f>
        <v>1.0467</v>
      </c>
      <c r="V34" s="3380"/>
      <c r="W34" s="3380">
        <f t="shared" si="65"/>
        <v>1.0144</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3252</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1.0210999999999999</v>
      </c>
      <c r="T35" s="3380">
        <f>ROUND(IF(项目基本情况!$B$8="出让",SUMPRODUCT(PRODUCT(1+M35:M$40)),SUMPRODUCT(PRODUCT(1+M35:M$39))),4)</f>
        <v>1.0114000000000001</v>
      </c>
      <c r="U35" s="3380">
        <f>ROUND(IF(项目基本情况!$B$8="出让",SUMPRODUCT(PRODUCT(1+N35:N$40)),SUMPRODUCT(PRODUCT(1+N35:N$39))),4)</f>
        <v>1.0381</v>
      </c>
      <c r="V35" s="3380"/>
      <c r="W35" s="3380">
        <f t="shared" si="65"/>
        <v>1.0114000000000001</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1.0222</v>
      </c>
      <c r="T36" s="3380">
        <f>ROUND(IF(项目基本情况!$B$8="出让",SUMPRODUCT(PRODUCT(1+M36:M$40)),SUMPRODUCT(PRODUCT(1+M36:M$39))),4)</f>
        <v>1.0127999999999999</v>
      </c>
      <c r="U36" s="3380">
        <f>ROUND(IF(项目基本情况!$B$8="出让",SUMPRODUCT(PRODUCT(1+N36:N$40)),SUMPRODUCT(PRODUCT(1+N36:N$39))),4)</f>
        <v>1.0326</v>
      </c>
      <c r="V36" s="3380"/>
      <c r="W36" s="3380">
        <f t="shared" si="65"/>
        <v>1.0127999999999999</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1.0161</v>
      </c>
      <c r="T37" s="3380">
        <f>ROUND(IF(项目基本情况!$B$8="出让",SUMPRODUCT(PRODUCT(1+M37:M$40)),SUMPRODUCT(PRODUCT(1+M37:M$39))),4)</f>
        <v>1.0082</v>
      </c>
      <c r="U37" s="3380">
        <f>ROUND(IF(项目基本情况!$B$8="出让",SUMPRODUCT(PRODUCT(1+N37:N$40)),SUMPRODUCT(PRODUCT(1+N37:N$39))),4)</f>
        <v>1.0270999999999999</v>
      </c>
      <c r="V37" s="3380"/>
      <c r="W37" s="3380">
        <f t="shared" si="65"/>
        <v>1.0082</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1.0102</v>
      </c>
      <c r="T38" s="3380">
        <f>ROUND(IF(项目基本情况!$B$8="出让",SUMPRODUCT(PRODUCT(1+M38:M$40)),SUMPRODUCT(PRODUCT(1+M38:M$39))),4)</f>
        <v>1.0074000000000001</v>
      </c>
      <c r="U38" s="3380">
        <f>ROUND(IF(项目基本情况!$B$8="出让",SUMPRODUCT(PRODUCT(1+N38:N$40)),SUMPRODUCT(PRODUCT(1+N38:N$39))),4)</f>
        <v>1.0202</v>
      </c>
      <c r="V38" s="3380"/>
      <c r="W38" s="3380">
        <f t="shared" si="65"/>
        <v>1.0074000000000001</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1.0055000000000001</v>
      </c>
      <c r="T39" s="3380">
        <f>ROUND(IF(项目基本情况!$B$8="出让",SUMPRODUCT(PRODUCT(1+M39:M$40)),SUMPRODUCT(PRODUCT(1+M39:M$39))),4)</f>
        <v>1.0045999999999999</v>
      </c>
      <c r="U39" s="3380">
        <f>ROUND(IF(项目基本情况!$B$8="出让",SUMPRODUCT(PRODUCT(1+N39:N$40)),SUMPRODUCT(PRODUCT(1+N39:N$39))),4)</f>
        <v>1.0109999999999999</v>
      </c>
      <c r="V39" s="3380"/>
      <c r="W39" s="3380">
        <f t="shared" si="65"/>
        <v>1.0045999999999999</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2024年3月27日（评估专业人员勘察现场之日）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根据《国有土地使用证》[]，本次评估估价对象证载（地类）用途为工业。</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18.75">
      <c r="A21" s="1578" t="s">
        <v>1592</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本次估价对象为出让国有建设用地使用权，《国有土地使用证》[]证载土地终止日期为工业2063年1月21日。截至估价期日，出让国有建设用地使用权剩余土地使用年限为。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7" t="s">
        <v>576</v>
      </c>
      <c r="B1" s="705"/>
      <c r="C1" s="738"/>
      <c r="D1" s="1773"/>
      <c r="E1" s="2078" t="s">
        <v>1728</v>
      </c>
      <c r="F1" s="2079">
        <f ca="1">J54</f>
        <v>-1</v>
      </c>
      <c r="G1" s="739">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4"/>
      <c r="D4" s="1778"/>
      <c r="E4" s="1779"/>
      <c r="F4" s="1779"/>
      <c r="G4" s="1402"/>
      <c r="H4" s="741"/>
      <c r="I4" s="1780"/>
      <c r="J4" s="1780"/>
      <c r="K4" s="1781"/>
      <c r="L4" s="1780"/>
      <c r="M4" s="1780"/>
    </row>
    <row r="5" spans="1:25" ht="18" customHeight="1" thickBot="1">
      <c r="A5" s="1451"/>
      <c r="B5" s="416">
        <f ca="1">ROUND(B2/('数据-汇总表'!D3/666.67),0)</f>
        <v>0</v>
      </c>
      <c r="C5" s="417"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1802</v>
      </c>
      <c r="C7" s="51">
        <f ca="1">C8+C12+C14</f>
        <v>0</v>
      </c>
      <c r="D7" s="2142" t="s">
        <v>1805</v>
      </c>
      <c r="E7" s="2136"/>
      <c r="F7" s="2137"/>
      <c r="G7" s="1404"/>
      <c r="H7" s="746">
        <v>1</v>
      </c>
      <c r="I7" s="747" t="s">
        <v>1802</v>
      </c>
      <c r="J7" s="51">
        <f ca="1">J8+J12+J14</f>
        <v>0</v>
      </c>
      <c r="K7" s="2142" t="s">
        <v>1805</v>
      </c>
      <c r="L7" s="2136"/>
      <c r="M7" s="2137"/>
    </row>
    <row r="8" spans="1:25" ht="18" customHeight="1">
      <c r="A8" s="1616" t="s">
        <v>1353</v>
      </c>
      <c r="B8" s="3947" t="s">
        <v>1807</v>
      </c>
      <c r="C8" s="1611">
        <f ca="1">ROUND(F8*F10*F9*(1-F11)/10000,0)</f>
        <v>0</v>
      </c>
      <c r="D8" s="1608" t="s">
        <v>1817</v>
      </c>
      <c r="E8" s="59" t="s">
        <v>585</v>
      </c>
      <c r="F8" s="750">
        <f ca="1">INDIRECT("'数据-取费表'!u"&amp;$G$1)</f>
        <v>0</v>
      </c>
      <c r="G8" s="1404"/>
      <c r="H8" s="2150" t="s">
        <v>1353</v>
      </c>
      <c r="I8" s="3947" t="s">
        <v>1807</v>
      </c>
      <c r="J8" s="748">
        <f ca="1">ROUND(M8*M10*M9*(1-M11)/10000,0)</f>
        <v>0</v>
      </c>
      <c r="K8" s="331" t="s">
        <v>1817</v>
      </c>
      <c r="L8" s="749" t="s">
        <v>1267</v>
      </c>
      <c r="M8" s="750">
        <f ca="1">INDIRECT("'数据-取费表'!z"&amp;$G$1)</f>
        <v>0</v>
      </c>
    </row>
    <row r="9" spans="1:25" ht="18" customHeight="1">
      <c r="A9" s="2146"/>
      <c r="B9" s="3948"/>
      <c r="C9" s="1612"/>
      <c r="D9" s="1609"/>
      <c r="E9" s="59" t="s">
        <v>586</v>
      </c>
      <c r="F9" s="750">
        <f ca="1">IF(INDIRECT("'数据-取费表'!ah"&amp;$G$1)="",INDIRECT("'数据-取费表'!k"&amp;$G$1),INDIRECT("'数据-取费表'!ah"&amp;$G$1))</f>
        <v>0</v>
      </c>
      <c r="G9" s="1404"/>
      <c r="H9" s="2135"/>
      <c r="I9" s="3948"/>
      <c r="J9" s="753"/>
      <c r="K9" s="754"/>
      <c r="L9" s="749" t="s">
        <v>1268</v>
      </c>
      <c r="M9" s="750">
        <f ca="1">F9</f>
        <v>0</v>
      </c>
    </row>
    <row r="10" spans="1:25" ht="18" customHeight="1">
      <c r="A10" s="2139"/>
      <c r="B10" s="3949"/>
      <c r="C10" s="1612"/>
      <c r="D10" s="1609"/>
      <c r="E10" s="59" t="s">
        <v>587</v>
      </c>
      <c r="F10" s="750">
        <f ca="1">INDIRECT("'数据-取费表'!ai"&amp;$G$1)</f>
        <v>0</v>
      </c>
      <c r="G10" s="1404"/>
      <c r="H10" s="2135"/>
      <c r="I10" s="3949"/>
      <c r="J10" s="753"/>
      <c r="K10" s="754"/>
      <c r="L10" s="749" t="s">
        <v>1269</v>
      </c>
      <c r="M10" s="750">
        <f ca="1">INDIRECT("'数据-取费表'!ai"&amp;$G$1)</f>
        <v>0</v>
      </c>
    </row>
    <row r="11" spans="1:25" ht="18" customHeight="1">
      <c r="A11" s="751"/>
      <c r="B11" s="3950"/>
      <c r="C11" s="1612"/>
      <c r="D11" s="1609"/>
      <c r="E11" s="59" t="s">
        <v>588</v>
      </c>
      <c r="F11" s="759">
        <f ca="1">INDIRECT("'数据-取费表'!w"&amp;$G$1)</f>
        <v>0</v>
      </c>
      <c r="G11" s="1404"/>
      <c r="H11" s="2151"/>
      <c r="I11" s="3949"/>
      <c r="J11" s="753"/>
      <c r="K11" s="754"/>
      <c r="L11" s="760" t="s">
        <v>1270</v>
      </c>
      <c r="M11" s="761">
        <f ca="1">INDIRECT("'数据-取费表'!ab"&amp;$G$1)</f>
        <v>0</v>
      </c>
    </row>
    <row r="12" spans="1:25" ht="18" customHeight="1">
      <c r="A12" s="1616" t="s">
        <v>1354</v>
      </c>
      <c r="B12" s="2140" t="s">
        <v>1803</v>
      </c>
      <c r="C12" s="764">
        <f ca="1">ROUND(IF(F12="押一",C8/12*F13,IF(F12="押二",C8/12*2*F13,IF(F12="押三",C8/12*3*F13,C13*F13))),0)</f>
        <v>0</v>
      </c>
      <c r="D12" s="2147" t="s">
        <v>2232</v>
      </c>
      <c r="E12" s="2144" t="s">
        <v>1808</v>
      </c>
      <c r="F12" s="2228"/>
      <c r="G12" s="1404"/>
      <c r="H12" s="2178" t="s">
        <v>1354</v>
      </c>
      <c r="I12" s="2183" t="s">
        <v>1803</v>
      </c>
      <c r="J12" s="748">
        <f ca="1">ROUND(IF(M12="押一",J8/12*M13,IF(M12="押二",J8/12*2*M13,IF(M12="押三",J8/12*3*M13,J13*M13))),0)</f>
        <v>0</v>
      </c>
      <c r="K12" s="2147" t="s">
        <v>2232</v>
      </c>
      <c r="L12" s="2144" t="s">
        <v>1808</v>
      </c>
      <c r="M12" s="2228"/>
    </row>
    <row r="13" spans="1:25" ht="18" customHeight="1">
      <c r="A13" s="755"/>
      <c r="B13" s="2141" t="s">
        <v>1856</v>
      </c>
      <c r="C13" s="2145"/>
      <c r="D13" s="754"/>
      <c r="E13" s="2144" t="s">
        <v>1801</v>
      </c>
      <c r="F13" s="761">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1587</v>
      </c>
      <c r="I16" s="1949" t="s">
        <v>2102</v>
      </c>
      <c r="J16" s="51">
        <f ca="1">C31</f>
        <v>0</v>
      </c>
      <c r="K16" s="24"/>
      <c r="L16" s="766"/>
      <c r="M16" s="767"/>
    </row>
    <row r="17" spans="1:25" s="1787" customFormat="1" ht="18" customHeight="1">
      <c r="A17" s="768" t="s">
        <v>1378</v>
      </c>
      <c r="B17" s="749" t="s">
        <v>595</v>
      </c>
      <c r="C17" s="51">
        <f ca="1">ROUND(C16*F17,0)</f>
        <v>0</v>
      </c>
      <c r="D17" s="771" t="s">
        <v>596</v>
      </c>
      <c r="E17" s="771" t="s">
        <v>597</v>
      </c>
      <c r="F17" s="772">
        <f>'数据-取费表'!B33</f>
        <v>0.03</v>
      </c>
      <c r="G17" s="1405"/>
      <c r="H17" s="768" t="s">
        <v>1588</v>
      </c>
      <c r="I17" s="749" t="s">
        <v>591</v>
      </c>
      <c r="J17" s="773">
        <f ca="1">INDIRECT("'数据-取费表'!ad"&amp;$G$1)</f>
        <v>0</v>
      </c>
      <c r="K17" s="24"/>
      <c r="L17" s="766"/>
      <c r="M17" s="767"/>
      <c r="N17" s="1786"/>
      <c r="O17" s="1786"/>
      <c r="P17" s="1786"/>
      <c r="Q17" s="1786"/>
      <c r="R17" s="1786"/>
      <c r="S17" s="1786"/>
      <c r="T17" s="1786"/>
      <c r="U17" s="1786"/>
      <c r="V17" s="1786"/>
      <c r="W17" s="1786"/>
      <c r="X17" s="1786"/>
      <c r="Y17" s="1786"/>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4" t="s">
        <v>600</v>
      </c>
      <c r="L18" s="1736"/>
      <c r="M18" s="54"/>
    </row>
    <row r="19" spans="1:25" s="1787" customFormat="1" ht="18" customHeight="1">
      <c r="A19" s="768" t="s">
        <v>1380</v>
      </c>
      <c r="B19" s="749" t="s">
        <v>601</v>
      </c>
      <c r="C19" s="51">
        <f ca="1">ROUND(F19*(INDIRECT("'数据-取费表'!k"&amp;$G$1)+INDIRECT("'数据-取费表'!S"&amp;$G$1))/10000,0)</f>
        <v>0</v>
      </c>
      <c r="D19" s="749" t="s">
        <v>602</v>
      </c>
      <c r="E19" s="749" t="s">
        <v>603</v>
      </c>
      <c r="F19" s="54">
        <f>'数据-取费表'!B35</f>
        <v>200</v>
      </c>
      <c r="G19" s="1405"/>
      <c r="H19" s="768" t="s">
        <v>1587</v>
      </c>
      <c r="I19" s="749"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8" t="s">
        <v>1381</v>
      </c>
      <c r="B20" s="749" t="s">
        <v>607</v>
      </c>
      <c r="C20" s="51">
        <f ca="1">ROUND(C16*F20,0)</f>
        <v>0</v>
      </c>
      <c r="D20" s="749" t="s">
        <v>596</v>
      </c>
      <c r="E20" s="749" t="s">
        <v>597</v>
      </c>
      <c r="F20" s="774">
        <f>'数据-取费表'!B36</f>
        <v>1.4999999999999999E-2</v>
      </c>
      <c r="G20" s="1405"/>
      <c r="H20" s="768" t="s">
        <v>1360</v>
      </c>
      <c r="I20" s="749" t="s">
        <v>608</v>
      </c>
      <c r="J20" s="51">
        <f ca="1">ROUND(J8*M20/(1+'数据-取费表'!C42),1)</f>
        <v>0</v>
      </c>
      <c r="K20" s="1731" t="s">
        <v>609</v>
      </c>
      <c r="L20" s="749" t="s">
        <v>597</v>
      </c>
      <c r="M20" s="774">
        <f>'数据-取费表'!B41</f>
        <v>5.5000000000000007E-2</v>
      </c>
      <c r="N20" s="1786"/>
      <c r="O20" s="1786"/>
      <c r="P20" s="1786"/>
      <c r="Q20" s="1786"/>
      <c r="R20" s="1786"/>
      <c r="S20" s="1786"/>
      <c r="T20" s="1786"/>
      <c r="U20" s="1786"/>
      <c r="V20" s="1786"/>
      <c r="W20" s="1786"/>
      <c r="X20" s="1786"/>
      <c r="Y20" s="1786"/>
    </row>
    <row r="21" spans="1:25" ht="18" customHeight="1">
      <c r="A21" s="768" t="s">
        <v>1401</v>
      </c>
      <c r="B21" s="749" t="s">
        <v>610</v>
      </c>
      <c r="C21" s="51">
        <f ca="1">SUM(C16:C20)</f>
        <v>0</v>
      </c>
      <c r="D21" s="251" t="s">
        <v>611</v>
      </c>
      <c r="E21" s="1736"/>
      <c r="F21" s="54"/>
      <c r="G21" s="1404"/>
      <c r="H21" s="1616" t="s">
        <v>1378</v>
      </c>
      <c r="I21" s="749" t="s">
        <v>612</v>
      </c>
      <c r="J21" s="51">
        <f ca="1">IF(K21="按租金收入计税",ROUND(J8*M21/(1+'数据-取费表'!C42),1),ROUND(C31*F35*0.7,1))</f>
        <v>0</v>
      </c>
      <c r="K21" s="775" t="s">
        <v>3250</v>
      </c>
      <c r="L21" s="749" t="s">
        <v>597</v>
      </c>
      <c r="M21" s="774">
        <f>IF(K21="按租金收入计税",'数据-取费表'!B51,'数据-取费表'!B50)</f>
        <v>0.12</v>
      </c>
    </row>
    <row r="22" spans="1:25" s="1787" customFormat="1" ht="18" customHeight="1">
      <c r="A22" s="768" t="s">
        <v>1402</v>
      </c>
      <c r="B22" s="749" t="s">
        <v>613</v>
      </c>
      <c r="C22" s="51">
        <f ca="1">ROUND(C21*F22,0)</f>
        <v>0</v>
      </c>
      <c r="D22" s="776" t="s">
        <v>614</v>
      </c>
      <c r="E22" s="749" t="s">
        <v>597</v>
      </c>
      <c r="F22" s="774">
        <f>'数据-取费表'!B37</f>
        <v>0.02</v>
      </c>
      <c r="G22" s="1405"/>
      <c r="H22" s="1618" t="s">
        <v>1379</v>
      </c>
      <c r="I22" s="1608" t="s">
        <v>615</v>
      </c>
      <c r="J22" s="52">
        <f ca="1">ROUND(M22*M23/10000,0)</f>
        <v>0</v>
      </c>
      <c r="K22" s="778" t="s">
        <v>616</v>
      </c>
      <c r="L22" s="749" t="s">
        <v>617</v>
      </c>
      <c r="M22" s="607">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1" t="s">
        <v>0</v>
      </c>
      <c r="D23" s="776" t="s">
        <v>619</v>
      </c>
      <c r="E23" s="749" t="s">
        <v>620</v>
      </c>
      <c r="F23" s="774">
        <f>'数据-取费表'!B38</f>
        <v>0.02</v>
      </c>
      <c r="G23" s="1405"/>
      <c r="H23" s="1619"/>
      <c r="I23" s="1610"/>
      <c r="J23" s="67"/>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1"/>
      <c r="D24" s="2187" t="str">
        <f>IF(F25&lt;=1,"单利计息。","复利计息。")&amp;"建造成本、管理费用、销售费用产生的利息。"</f>
        <v>单利计息。建造成本、管理费用、销售费用产生的利息。</v>
      </c>
      <c r="E24" s="1736"/>
      <c r="F24" s="54"/>
      <c r="G24" s="1404"/>
      <c r="H24" s="1617" t="s">
        <v>1588</v>
      </c>
      <c r="I24" s="749" t="s">
        <v>623</v>
      </c>
      <c r="J24" s="51">
        <f ca="1">ROUND(J16*M24,0)</f>
        <v>0</v>
      </c>
      <c r="K24" s="1731" t="s">
        <v>624</v>
      </c>
      <c r="L24" s="749" t="s">
        <v>597</v>
      </c>
      <c r="M24" s="781">
        <f ca="1">INDIRECT("'数据-取费表'!Ak"&amp;$G$1)</f>
        <v>0</v>
      </c>
    </row>
    <row r="25" spans="1:25" s="1787" customFormat="1" ht="18" customHeight="1">
      <c r="A25" s="768" t="s">
        <v>1400</v>
      </c>
      <c r="B25" s="749" t="s">
        <v>1784</v>
      </c>
      <c r="C25" s="51">
        <f ca="1">ROUND(IF('数据-取费表'!B22&lt;=1,(C21+C22)*F26*F25/2,(C21+C22)*(POWER((1+F26),F25/2)-1)),0)</f>
        <v>0</v>
      </c>
      <c r="D25" s="2186" t="str">
        <f>IF(F25&lt;=1,"(建造成本+管理费用)×利率×(建设周期÷2)","(建造成本+管理费用)×((1+利率)^(建设周期÷2)-1)")</f>
        <v>(建造成本+管理费用)×利率×(建设周期÷2)</v>
      </c>
      <c r="E25" s="749" t="s">
        <v>625</v>
      </c>
      <c r="F25" s="607">
        <f>'数据-取费表'!B20</f>
        <v>1</v>
      </c>
      <c r="G25" s="1405"/>
      <c r="H25" s="768" t="s">
        <v>1403</v>
      </c>
      <c r="I25" s="749" t="s">
        <v>626</v>
      </c>
      <c r="J25" s="51">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1">
        <f ca="1">ROUND(IF('数据-取费表'!B22&lt;=1,F23*F26*F25/2,F23*(POWER((1+F26),F25/2)-1)),4)</f>
        <v>2.9999999999999997E-4</v>
      </c>
      <c r="D26" s="2186" t="str">
        <f>IF(F25&lt;=1,"销售费用×利率×(建设周期÷2)","销售费用×((1+利率)^(建设周期÷2)-1)")</f>
        <v>销售费用×利率×(建设周期÷2)</v>
      </c>
      <c r="E26" s="749" t="s">
        <v>629</v>
      </c>
      <c r="F26" s="783">
        <f ca="1">'数据-取费表'!B40</f>
        <v>3.4500000000000003E-2</v>
      </c>
      <c r="G26" s="1405"/>
      <c r="H26" s="768" t="s">
        <v>1404</v>
      </c>
      <c r="I26" s="749" t="s">
        <v>613</v>
      </c>
      <c r="J26" s="51">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1"/>
      <c r="D27" s="251" t="s">
        <v>632</v>
      </c>
      <c r="E27" s="1736"/>
      <c r="F27" s="54"/>
      <c r="G27" s="1404"/>
      <c r="H27" s="762" t="s">
        <v>1357</v>
      </c>
      <c r="I27" s="2484" t="s">
        <v>2099</v>
      </c>
      <c r="J27" s="764">
        <f ca="1">J7-J18</f>
        <v>0</v>
      </c>
      <c r="K27" s="1733" t="s">
        <v>647</v>
      </c>
      <c r="L27" s="1735"/>
      <c r="M27" s="784"/>
    </row>
    <row r="28" spans="1:25" ht="18" customHeight="1">
      <c r="A28" s="768" t="s">
        <v>1400</v>
      </c>
      <c r="B28" s="749" t="s">
        <v>1785</v>
      </c>
      <c r="C28" s="51">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1">
        <f>ROUND(F30/(1+'数据-取费表'!C42),4)</f>
        <v>5.2400000000000002E-2</v>
      </c>
      <c r="D30" s="776" t="s">
        <v>656</v>
      </c>
      <c r="E30" s="749" t="s">
        <v>597</v>
      </c>
      <c r="F30" s="774">
        <f>'数据-取费表'!B41</f>
        <v>5.5000000000000007E-2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7" t="s">
        <v>1397</v>
      </c>
      <c r="I31" s="2485" t="s">
        <v>2101</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2283</v>
      </c>
      <c r="I33" s="1789"/>
      <c r="J33" s="1790"/>
      <c r="K33" s="1791"/>
      <c r="L33" s="1792"/>
      <c r="M33" s="1793"/>
    </row>
    <row r="34" spans="1:18" ht="18" customHeight="1">
      <c r="A34" s="768" t="s">
        <v>1400</v>
      </c>
      <c r="B34" s="749" t="s">
        <v>608</v>
      </c>
      <c r="C34" s="51">
        <f ca="1">ROUND(C8*F34/(1+'数据-取费表'!C42),2)</f>
        <v>0</v>
      </c>
      <c r="D34" s="1731" t="s">
        <v>609</v>
      </c>
      <c r="E34" s="749" t="s">
        <v>597</v>
      </c>
      <c r="F34" s="774">
        <f>'数据-取费表'!B41</f>
        <v>5.5000000000000007E-2</v>
      </c>
      <c r="G34" s="1785"/>
      <c r="H34" s="1794"/>
      <c r="I34" s="1795"/>
      <c r="J34" s="1796"/>
      <c r="K34" s="1797"/>
      <c r="L34" s="1798"/>
      <c r="M34" s="1799"/>
    </row>
    <row r="35" spans="1:18" ht="18" customHeight="1">
      <c r="A35" s="768" t="s">
        <v>1378</v>
      </c>
      <c r="B35" s="749" t="s">
        <v>612</v>
      </c>
      <c r="C35" s="51">
        <f ca="1">IF(D35="按租金收入计税",ROUND(C8*F35/(1+'数据-取费表'!C42),2),IF(D35="按房产原值计税",ROUND(C31*F35*0.7,2),INDIRECT("'数据-取费表'!Aj"&amp;$G$1)))</f>
        <v>0</v>
      </c>
      <c r="D35" s="775" t="s">
        <v>3250</v>
      </c>
      <c r="E35" s="749" t="s">
        <v>597</v>
      </c>
      <c r="F35" s="774">
        <f>IF(D35="按租金收入计税",'数据-取费表'!B51,'数据-取费表'!B50)</f>
        <v>0.12</v>
      </c>
      <c r="G35" s="1785"/>
      <c r="H35" s="1800"/>
      <c r="I35" s="1800"/>
      <c r="J35" s="1800"/>
      <c r="K35" s="1801"/>
      <c r="L35" s="1800"/>
      <c r="M35" s="1800"/>
    </row>
    <row r="36" spans="1:18" ht="18" customHeight="1">
      <c r="A36" s="777" t="s">
        <v>1405</v>
      </c>
      <c r="B36" s="331" t="s">
        <v>615</v>
      </c>
      <c r="C36" s="52">
        <f ca="1">ROUND(F36*F37/10000,2)</f>
        <v>0</v>
      </c>
      <c r="D36" s="778" t="s">
        <v>616</v>
      </c>
      <c r="E36" s="749" t="s">
        <v>617</v>
      </c>
      <c r="F36" s="607">
        <f>'数据-取费表'!B52</f>
        <v>1.5</v>
      </c>
      <c r="G36" s="1785"/>
      <c r="H36" s="1788"/>
      <c r="I36" s="3946"/>
      <c r="J36" s="1802"/>
      <c r="K36" s="1803"/>
      <c r="L36" s="1802"/>
      <c r="M36" s="1802"/>
    </row>
    <row r="37" spans="1:18" ht="18" customHeight="1">
      <c r="A37" s="779"/>
      <c r="B37" s="758"/>
      <c r="C37" s="67"/>
      <c r="D37" s="780"/>
      <c r="E37" s="749" t="s">
        <v>621</v>
      </c>
      <c r="F37" s="750">
        <f ca="1">INDIRECT("'数据-取费表'!r"&amp;$G$1)</f>
        <v>0</v>
      </c>
      <c r="G37" s="1785"/>
      <c r="H37" s="1788"/>
      <c r="I37" s="3946"/>
      <c r="J37" s="1800"/>
      <c r="K37" s="1801"/>
      <c r="L37" s="1800"/>
      <c r="M37" s="1800"/>
    </row>
    <row r="38" spans="1:18" ht="18" customHeight="1">
      <c r="A38" s="768" t="s">
        <v>1402</v>
      </c>
      <c r="B38" s="749" t="s">
        <v>623</v>
      </c>
      <c r="C38" s="51">
        <f ca="1">ROUND(C31*F38,2)</f>
        <v>0</v>
      </c>
      <c r="D38" s="1731" t="s">
        <v>638</v>
      </c>
      <c r="E38" s="749" t="s">
        <v>597</v>
      </c>
      <c r="F38" s="781">
        <f ca="1">INDIRECT("'数据-取费表'!Ak"&amp;$G$1)</f>
        <v>0</v>
      </c>
      <c r="G38" s="1785"/>
      <c r="H38" s="1800"/>
      <c r="I38" s="2764"/>
      <c r="J38" s="1740"/>
      <c r="K38" s="1804"/>
      <c r="L38" s="1800"/>
      <c r="M38" s="1800"/>
    </row>
    <row r="39" spans="1:18" ht="18" customHeight="1">
      <c r="A39" s="768" t="s">
        <v>1403</v>
      </c>
      <c r="B39" s="749" t="s">
        <v>626</v>
      </c>
      <c r="C39" s="51">
        <f ca="1">ROUND(C15*F39,2)</f>
        <v>0</v>
      </c>
      <c r="D39" s="1731" t="s">
        <v>627</v>
      </c>
      <c r="E39" s="749" t="s">
        <v>597</v>
      </c>
      <c r="F39" s="782">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9" t="s">
        <v>2222</v>
      </c>
      <c r="F43" s="2550">
        <f ca="1">INDIRECT("'数据-取费表'!j"&amp;$G$1)</f>
        <v>0</v>
      </c>
      <c r="G43" s="1785"/>
      <c r="H43" s="1785"/>
      <c r="I43" s="1785"/>
      <c r="J43" s="1785"/>
      <c r="K43" s="1805"/>
      <c r="L43" s="1785"/>
      <c r="M43" s="1785"/>
    </row>
    <row r="44" spans="1:18" ht="18" customHeight="1">
      <c r="A44" s="768" t="s">
        <v>1403</v>
      </c>
      <c r="B44" s="799" t="s">
        <v>660</v>
      </c>
      <c r="C44" s="1216">
        <f ca="1">C42-C43</f>
        <v>0</v>
      </c>
      <c r="D44" s="448" t="s">
        <v>661</v>
      </c>
      <c r="E44" s="449"/>
      <c r="F44" s="450"/>
      <c r="G44" s="1785"/>
      <c r="H44" s="1785"/>
      <c r="I44" s="1785"/>
      <c r="J44" s="1785"/>
      <c r="K44" s="1805"/>
      <c r="L44" s="1785"/>
      <c r="M44" s="1785"/>
    </row>
    <row r="45" spans="1:18" ht="18" customHeight="1">
      <c r="A45" s="768" t="s">
        <v>1404</v>
      </c>
      <c r="B45" s="1215" t="s">
        <v>662</v>
      </c>
      <c r="C45" s="2508">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51" t="s">
        <v>2225</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2236</v>
      </c>
      <c r="J54" s="2610">
        <f ca="1">IF(M48="住宅",MAX(J52,L49-'数据-取费表'!B20),MIN(J52,L49-'数据-取费表'!B20))</f>
        <v>-1</v>
      </c>
      <c r="K54" s="3951"/>
      <c r="L54" s="3952"/>
      <c r="O54" s="2092" t="s">
        <v>1742</v>
      </c>
      <c r="P54" s="2090" t="s">
        <v>1743</v>
      </c>
      <c r="Q54" s="2091">
        <f ca="1">J54</f>
        <v>-1</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0">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G39" sqref="G39"/>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6" t="s">
        <v>1254</v>
      </c>
      <c r="B1" s="705"/>
      <c r="C1" s="738" t="s">
        <v>3277</v>
      </c>
      <c r="D1" s="2552" t="s">
        <v>877</v>
      </c>
      <c r="E1" s="2078" t="s">
        <v>1728</v>
      </c>
      <c r="F1" s="2079">
        <f ca="1">J53</f>
        <v>38.840000000000003</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09" t="s">
        <v>1255</v>
      </c>
      <c r="B2" s="740">
        <f ca="1">C40+J29+L46</f>
        <v>3234</v>
      </c>
      <c r="C2" s="3005"/>
      <c r="D2" s="3006"/>
      <c r="E2" s="3007"/>
      <c r="F2" s="3007"/>
      <c r="G2" s="3001"/>
      <c r="H2" s="1780"/>
      <c r="I2" s="1780"/>
      <c r="J2" s="1780"/>
      <c r="K2" s="1781"/>
      <c r="L2" s="1780"/>
      <c r="M2" s="1780"/>
    </row>
    <row r="3" spans="1:33" ht="18" customHeight="1" thickBot="1">
      <c r="A3" s="797" t="s">
        <v>1256</v>
      </c>
      <c r="B3" s="798">
        <f ca="1">IF(ISERROR(B2*10000/F43),0,ROUND(B2*10000/F43,0))</f>
        <v>5099</v>
      </c>
      <c r="C3" s="3005"/>
      <c r="D3" s="3006"/>
      <c r="E3" s="3007"/>
      <c r="F3" s="3007"/>
      <c r="G3" s="3001"/>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1802</v>
      </c>
      <c r="C5" s="53">
        <f ca="1">C6+C10+C12</f>
        <v>207</v>
      </c>
      <c r="D5" s="2142" t="s">
        <v>1805</v>
      </c>
      <c r="E5" s="2136"/>
      <c r="F5" s="2137"/>
      <c r="G5" s="1785"/>
      <c r="H5" s="746">
        <v>1</v>
      </c>
      <c r="I5" s="747" t="s">
        <v>1802</v>
      </c>
      <c r="J5" s="53">
        <f ca="1">J6+J10+J12</f>
        <v>0</v>
      </c>
      <c r="K5" s="2142" t="s">
        <v>1805</v>
      </c>
      <c r="L5" s="2136"/>
      <c r="M5" s="2137"/>
    </row>
    <row r="6" spans="1:33" ht="18" customHeight="1">
      <c r="A6" s="1616" t="s">
        <v>1353</v>
      </c>
      <c r="B6" s="3947" t="s">
        <v>1807</v>
      </c>
      <c r="C6" s="748">
        <f ca="1">ROUND(F6*F8*F7*(1-F9)/10000,0)</f>
        <v>207</v>
      </c>
      <c r="D6" s="2143" t="s">
        <v>1806</v>
      </c>
      <c r="E6" s="749" t="s">
        <v>1267</v>
      </c>
      <c r="F6" s="750">
        <f ca="1">INDIRECT("'数据-取费表'!u"&amp;$G$1)</f>
        <v>1.05</v>
      </c>
      <c r="G6" s="1785"/>
      <c r="H6" s="2150" t="s">
        <v>1812</v>
      </c>
      <c r="I6" s="3947" t="s">
        <v>1807</v>
      </c>
      <c r="J6" s="748">
        <f ca="1">ROUND(M6*M8*M7*(1-M9)/10000,0)</f>
        <v>0</v>
      </c>
      <c r="K6" s="331" t="s">
        <v>1266</v>
      </c>
      <c r="L6" s="749" t="s">
        <v>1267</v>
      </c>
      <c r="M6" s="750">
        <f ca="1">INDIRECT("'数据-取费表'!z"&amp;$G$1)</f>
        <v>0</v>
      </c>
    </row>
    <row r="7" spans="1:33" ht="18" customHeight="1">
      <c r="A7" s="2146"/>
      <c r="B7" s="3948"/>
      <c r="C7" s="753"/>
      <c r="D7" s="754"/>
      <c r="E7" s="749" t="s">
        <v>1268</v>
      </c>
      <c r="F7" s="750">
        <f ca="1">IF(INDIRECT("'数据-取费表'!ah"&amp;$G$1)="",INDIRECT("'数据-取费表'!k"&amp;$G$1),INDIRECT("'数据-取费表'!ah"&amp;$G$1))</f>
        <v>6342.01</v>
      </c>
      <c r="G7" s="1785"/>
      <c r="H7" s="2135"/>
      <c r="I7" s="3948"/>
      <c r="J7" s="753"/>
      <c r="K7" s="754"/>
      <c r="L7" s="749" t="s">
        <v>1268</v>
      </c>
      <c r="M7" s="750">
        <f ca="1">F7</f>
        <v>6342.01</v>
      </c>
    </row>
    <row r="8" spans="1:33" ht="18" customHeight="1">
      <c r="A8" s="2139"/>
      <c r="B8" s="3949"/>
      <c r="C8" s="753"/>
      <c r="D8" s="754"/>
      <c r="E8" s="749" t="s">
        <v>1269</v>
      </c>
      <c r="F8" s="750">
        <f ca="1">INDIRECT("'数据-取费表'!ai"&amp;$G$1)</f>
        <v>365</v>
      </c>
      <c r="G8" s="1785"/>
      <c r="H8" s="2135"/>
      <c r="I8" s="3949"/>
      <c r="J8" s="753"/>
      <c r="K8" s="754"/>
      <c r="L8" s="749" t="s">
        <v>1269</v>
      </c>
      <c r="M8" s="750">
        <f ca="1">INDIRECT("'数据-取费表'!ai"&amp;$G$1)</f>
        <v>365</v>
      </c>
    </row>
    <row r="9" spans="1:33" ht="18" customHeight="1">
      <c r="A9" s="751"/>
      <c r="B9" s="3950"/>
      <c r="C9" s="753"/>
      <c r="D9" s="754"/>
      <c r="E9" s="749" t="s">
        <v>1270</v>
      </c>
      <c r="F9" s="759">
        <f ca="1">INDIRECT("'数据-取费表'!w"&amp;$G$1)</f>
        <v>0.15</v>
      </c>
      <c r="G9" s="1785"/>
      <c r="H9" s="2151"/>
      <c r="I9" s="3949"/>
      <c r="J9" s="753"/>
      <c r="K9" s="754"/>
      <c r="L9" s="760" t="s">
        <v>1270</v>
      </c>
      <c r="M9" s="761">
        <f ca="1">INDIRECT("'数据-取费表'!ab"&amp;$G$1)</f>
        <v>0</v>
      </c>
    </row>
    <row r="10" spans="1:33" ht="18" customHeight="1">
      <c r="A10" s="1616" t="s">
        <v>1810</v>
      </c>
      <c r="B10" s="2140" t="s">
        <v>1803</v>
      </c>
      <c r="C10" s="764">
        <f ca="1">ROUND(IF(F10="押一",C6/12*F11,IF(F10="押二",C6/12*2*F11,IF(F10="押三",C6/12*3*F11,C11*F11))),0)</f>
        <v>0</v>
      </c>
      <c r="D10" s="2147" t="s">
        <v>2232</v>
      </c>
      <c r="E10" s="2144" t="s">
        <v>1808</v>
      </c>
      <c r="F10" s="2228" t="s">
        <v>3509</v>
      </c>
      <c r="G10" s="1785"/>
      <c r="H10" s="2178" t="s">
        <v>1813</v>
      </c>
      <c r="I10" s="2183" t="s">
        <v>1803</v>
      </c>
      <c r="J10" s="748">
        <f ca="1">ROUND(IF(M10="押一",J6/12*M11,IF(M10="押二",J6/12*2*M11,IF(M10="押三",J6/12*3*M11,J11*M11))),0)</f>
        <v>0</v>
      </c>
      <c r="K10" s="2147" t="s">
        <v>2232</v>
      </c>
      <c r="L10" s="2144" t="s">
        <v>1808</v>
      </c>
      <c r="M10" s="2228"/>
    </row>
    <row r="11" spans="1:33" ht="18" customHeight="1">
      <c r="A11" s="755"/>
      <c r="B11" s="2141" t="s">
        <v>1856</v>
      </c>
      <c r="C11" s="2145"/>
      <c r="D11" s="754"/>
      <c r="E11" s="2144" t="s">
        <v>1809</v>
      </c>
      <c r="F11" s="761">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7">
        <f ca="1">ROUND(C29*F13,0)</f>
        <v>2486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49" t="s">
        <v>593</v>
      </c>
      <c r="C14" s="769">
        <f ca="1">INDIRECT("'数据-取费表'!m"&amp;$G$1)+INDIRECT("'数据-取费表'!t"&amp;$G$1)</f>
        <v>1903</v>
      </c>
      <c r="D14" s="1733" t="s">
        <v>1274</v>
      </c>
      <c r="E14" s="1734"/>
      <c r="F14" s="770"/>
      <c r="G14" s="1785"/>
      <c r="H14" s="1453" t="s">
        <v>1359</v>
      </c>
      <c r="I14" s="1949" t="s">
        <v>2103</v>
      </c>
      <c r="J14" s="51">
        <f ca="1">C29</f>
        <v>2486</v>
      </c>
      <c r="K14" s="24"/>
      <c r="L14" s="766"/>
      <c r="M14" s="767"/>
    </row>
    <row r="15" spans="1:33" s="1787" customFormat="1" ht="18" customHeight="1" thickBot="1">
      <c r="A15" s="1452" t="s">
        <v>1410</v>
      </c>
      <c r="B15" s="749" t="s">
        <v>595</v>
      </c>
      <c r="C15" s="51">
        <f ca="1">ROUND(C14*F15,0)</f>
        <v>57</v>
      </c>
      <c r="D15" s="771" t="s">
        <v>1275</v>
      </c>
      <c r="E15" s="771" t="s">
        <v>1276</v>
      </c>
      <c r="F15" s="772">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1">
        <f ca="1">ROUND(INDIRECT("'数据-取费表'!m"&amp;$G$1)*F16,0)</f>
        <v>0</v>
      </c>
      <c r="D16" s="749" t="s">
        <v>1275</v>
      </c>
      <c r="E16" s="749" t="s">
        <v>1276</v>
      </c>
      <c r="F16" s="774">
        <f ca="1">IF(INDIRECT("'数据-取费表'!c"&amp;$G$1)="住宅",'数据-取费表'!B34,0)</f>
        <v>0</v>
      </c>
      <c r="G16" s="1785"/>
      <c r="H16" s="1615" t="s">
        <v>1277</v>
      </c>
      <c r="I16" s="1613" t="s">
        <v>1278</v>
      </c>
      <c r="J16" s="757">
        <f ca="1">ROUND(J17+J22+J23+J24,0)</f>
        <v>13</v>
      </c>
      <c r="K16" s="1607" t="s">
        <v>1279</v>
      </c>
      <c r="L16" s="2132"/>
      <c r="M16" s="2137"/>
    </row>
    <row r="17" spans="1:33" s="1787" customFormat="1" ht="18" customHeight="1">
      <c r="A17" s="1452" t="s">
        <v>1412</v>
      </c>
      <c r="B17" s="749" t="s">
        <v>601</v>
      </c>
      <c r="C17" s="51">
        <f ca="1">ROUND(F17*(F43+INDIRECT("'数据-取费表'!S"&amp;$G$1))/10000,0)</f>
        <v>127</v>
      </c>
      <c r="D17" s="749" t="s">
        <v>1280</v>
      </c>
      <c r="E17" s="749" t="s">
        <v>1281</v>
      </c>
      <c r="F17" s="54">
        <f>'数据-取费表'!B35</f>
        <v>200</v>
      </c>
      <c r="G17" s="3002"/>
      <c r="H17" s="1453" t="s">
        <v>1359</v>
      </c>
      <c r="I17" s="749" t="s">
        <v>604</v>
      </c>
      <c r="J17" s="2761">
        <f ca="1">ROUND(IF(AND(项目基本情况!B11="自然人",项目基本情况!B10="北京市"),J6*M17/(1+'数据-取费表'!C42),J18+J19+J20),2)</f>
        <v>0.64</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1">
        <f ca="1">ROUND(C14*F18,0)</f>
        <v>29</v>
      </c>
      <c r="D18" s="749" t="s">
        <v>1275</v>
      </c>
      <c r="E18" s="749" t="s">
        <v>1276</v>
      </c>
      <c r="F18" s="774">
        <f>'数据-取费表'!B36</f>
        <v>1.4999999999999999E-2</v>
      </c>
      <c r="G18" s="3002"/>
      <c r="H18" s="1452" t="s">
        <v>1409</v>
      </c>
      <c r="I18" s="749" t="s">
        <v>1284</v>
      </c>
      <c r="J18" s="51">
        <f ca="1">ROUND(J6*M18/(1+'数据-取费表'!C42),2)</f>
        <v>0</v>
      </c>
      <c r="K18" s="2130" t="s">
        <v>1285</v>
      </c>
      <c r="L18" s="749" t="s">
        <v>1276</v>
      </c>
      <c r="M18" s="774">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1">
        <f ca="1">SUM(C14:C18)</f>
        <v>2116</v>
      </c>
      <c r="D19" s="251" t="s">
        <v>1286</v>
      </c>
      <c r="E19" s="1736"/>
      <c r="F19" s="54"/>
      <c r="G19" s="1785"/>
      <c r="H19" s="1452" t="s">
        <v>1410</v>
      </c>
      <c r="I19" s="749" t="s">
        <v>1287</v>
      </c>
      <c r="J19" s="51">
        <f ca="1">IF(K19="按租金收入计税",ROUND(J6*M19/(1+'数据-取费表'!C42),1),ROUND(C29*F33*0.7,2))</f>
        <v>0</v>
      </c>
      <c r="K19" s="775" t="s">
        <v>3250</v>
      </c>
      <c r="L19" s="749" t="s">
        <v>1276</v>
      </c>
      <c r="M19" s="774">
        <f>IF(K19="按租金收入计税",'数据-取费表'!B51,'数据-取费表'!B50)</f>
        <v>0.12</v>
      </c>
    </row>
    <row r="20" spans="1:33" s="1787" customFormat="1" ht="18" customHeight="1">
      <c r="A20" s="1453" t="s">
        <v>1414</v>
      </c>
      <c r="B20" s="749" t="s">
        <v>613</v>
      </c>
      <c r="C20" s="51">
        <f ca="1">ROUND(C19*F20,0)</f>
        <v>42</v>
      </c>
      <c r="D20" s="776" t="s">
        <v>1288</v>
      </c>
      <c r="E20" s="749" t="s">
        <v>1276</v>
      </c>
      <c r="F20" s="774">
        <f>'数据-取费表'!B37</f>
        <v>0.02</v>
      </c>
      <c r="G20" s="3002"/>
      <c r="H20" s="1455" t="s">
        <v>1405</v>
      </c>
      <c r="I20" s="331" t="s">
        <v>1289</v>
      </c>
      <c r="J20" s="52">
        <f ca="1">ROUND(M20*M21/10000,2)</f>
        <v>0.64</v>
      </c>
      <c r="K20" s="778" t="s">
        <v>1290</v>
      </c>
      <c r="L20" s="749" t="s">
        <v>1291</v>
      </c>
      <c r="M20" s="607">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1" t="s">
        <v>1293</v>
      </c>
      <c r="D21" s="776" t="s">
        <v>1655</v>
      </c>
      <c r="E21" s="749" t="s">
        <v>1294</v>
      </c>
      <c r="F21" s="774">
        <f>'数据-取费表'!B38</f>
        <v>0.02</v>
      </c>
      <c r="G21" s="3002"/>
      <c r="H21" s="2152"/>
      <c r="I21" s="758"/>
      <c r="J21" s="67"/>
      <c r="K21" s="780"/>
      <c r="L21" s="749" t="s">
        <v>1295</v>
      </c>
      <c r="M21" s="750">
        <f ca="1">INDIRECT("'数据-取费表'!r"&amp;$G$1)</f>
        <v>4259.9399999999996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1"/>
      <c r="D22" s="2187" t="str">
        <f>IF(F23&lt;=1,"单利计息。","复利计息。")&amp;"建造成本、管理费用、销售费用产生的利息。"</f>
        <v>单利计息。建造成本、管理费用、销售费用产生的利息。</v>
      </c>
      <c r="E22" s="1736"/>
      <c r="F22" s="54"/>
      <c r="G22" s="1785"/>
      <c r="H22" s="1453" t="s">
        <v>1414</v>
      </c>
      <c r="I22" s="749" t="s">
        <v>1297</v>
      </c>
      <c r="J22" s="51">
        <f ca="1">ROUND(J14*M22,2)</f>
        <v>12.43</v>
      </c>
      <c r="K22" s="2130" t="s">
        <v>1298</v>
      </c>
      <c r="L22" s="749" t="s">
        <v>1276</v>
      </c>
      <c r="M22" s="781">
        <f ca="1">INDIRECT("'数据-取费表'!Ak"&amp;$G$1)</f>
        <v>5.0000000000000001E-3</v>
      </c>
    </row>
    <row r="23" spans="1:33" s="1787" customFormat="1" ht="18" customHeight="1">
      <c r="A23" s="1452" t="s">
        <v>1360</v>
      </c>
      <c r="B23" s="749" t="s">
        <v>1818</v>
      </c>
      <c r="C23" s="51">
        <f ca="1">ROUND(IF('数据-取费表'!B22&lt;=1,(C19+C20)*F24*F23/2,(C19+C20)*(POWER((1+F24),F23/2)-1)),0)</f>
        <v>37</v>
      </c>
      <c r="D23" s="2186" t="str">
        <f>IF(F23&lt;=1,"(建造成本+管理费用)×利率×(建设周期÷2)","(建造成本+管理费用)×((1+利率)^(建设周期÷2)-1)")</f>
        <v>(建造成本+管理费用)×利率×(建设周期÷2)</v>
      </c>
      <c r="E23" s="749" t="s">
        <v>1299</v>
      </c>
      <c r="F23" s="607">
        <f>'数据-取费表'!B20</f>
        <v>1</v>
      </c>
      <c r="G23" s="3002"/>
      <c r="H23" s="1453" t="s">
        <v>1415</v>
      </c>
      <c r="I23" s="749" t="s">
        <v>626</v>
      </c>
      <c r="J23" s="51">
        <f ca="1">ROUND(J13*M23,2)</f>
        <v>0</v>
      </c>
      <c r="K23" s="2130" t="s">
        <v>1300</v>
      </c>
      <c r="L23" s="749" t="s">
        <v>1276</v>
      </c>
      <c r="M23" s="782">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1">
        <f ca="1">ROUND(IF('数据-取费表'!B22&lt;=1,F21*F24*F23/2,F21*(POWER((1+F24),F23/2)-1)),4)</f>
        <v>2.9999999999999997E-4</v>
      </c>
      <c r="D24" s="2186" t="str">
        <f>IF(F23&lt;=1,"销售费用×利率×(建设周期÷2)","销售费用×((1+利率)^(建设周期÷2)-1)")</f>
        <v>销售费用×利率×(建设周期÷2)</v>
      </c>
      <c r="E24" s="749" t="s">
        <v>1302</v>
      </c>
      <c r="F24" s="783">
        <f ca="1">'数据-取费表'!B40</f>
        <v>3.4500000000000003E-2</v>
      </c>
      <c r="G24" s="3002"/>
      <c r="H24" s="2168" t="s">
        <v>1416</v>
      </c>
      <c r="I24" s="2163" t="s">
        <v>613</v>
      </c>
      <c r="J24" s="2161">
        <f ca="1">ROUND(J5*M24,2)</f>
        <v>0</v>
      </c>
      <c r="K24" s="2162" t="s">
        <v>1303</v>
      </c>
      <c r="L24" s="2163" t="s">
        <v>1276</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1"/>
      <c r="D25" s="251" t="s">
        <v>1304</v>
      </c>
      <c r="E25" s="1736"/>
      <c r="F25" s="54"/>
      <c r="G25" s="1785"/>
      <c r="H25" s="1615" t="s">
        <v>1305</v>
      </c>
      <c r="I25" s="2483" t="s">
        <v>2099</v>
      </c>
      <c r="J25" s="757">
        <f ca="1">J5-J16</f>
        <v>-13</v>
      </c>
      <c r="K25" s="2165" t="s">
        <v>1306</v>
      </c>
      <c r="L25" s="2166"/>
      <c r="M25" s="2167"/>
    </row>
    <row r="26" spans="1:33" ht="18" customHeight="1">
      <c r="A26" s="1452" t="s">
        <v>1360</v>
      </c>
      <c r="B26" s="749" t="s">
        <v>1785</v>
      </c>
      <c r="C26" s="51">
        <f ca="1">ROUND((C19+C20)*F26,0)</f>
        <v>108</v>
      </c>
      <c r="D26" s="776" t="s">
        <v>1307</v>
      </c>
      <c r="E26" s="760" t="s">
        <v>1308</v>
      </c>
      <c r="F26" s="759">
        <f ca="1">INDIRECT("'数据-取费表'!q"&amp;$G$1)</f>
        <v>0.05</v>
      </c>
      <c r="G26" s="1785"/>
      <c r="H26" s="2148" t="s">
        <v>1309</v>
      </c>
      <c r="I26" s="1950" t="s">
        <v>2104</v>
      </c>
      <c r="J26" s="748">
        <f ca="1">IF(J5&lt;&gt;0,ROUND(J25*(1-((1+M28)/(1+M26))^M27)/(M26-M28),0),0)</f>
        <v>0</v>
      </c>
      <c r="K26" s="778" t="s">
        <v>1310</v>
      </c>
      <c r="L26" s="749" t="s">
        <v>1773</v>
      </c>
      <c r="M26" s="759">
        <f ca="1">INDIRECT("'数据-取费表'!I"&amp;$G$1)</f>
        <v>5.5E-2</v>
      </c>
    </row>
    <row r="27" spans="1:33" ht="18" customHeight="1">
      <c r="A27" s="1452" t="s">
        <v>1361</v>
      </c>
      <c r="B27" s="749" t="s">
        <v>633</v>
      </c>
      <c r="C27" s="51">
        <f ca="1">ROUND(F21*F26,4)</f>
        <v>1E-3</v>
      </c>
      <c r="D27" s="776" t="s">
        <v>1311</v>
      </c>
      <c r="E27" s="771"/>
      <c r="F27" s="772"/>
      <c r="G27" s="1785"/>
      <c r="H27" s="2149"/>
      <c r="I27" s="752"/>
      <c r="J27" s="753"/>
      <c r="K27" s="785" t="s">
        <v>1312</v>
      </c>
      <c r="L27" s="749" t="s">
        <v>1313</v>
      </c>
      <c r="M27" s="786">
        <f ca="1">INDIRECT("'数据-取费表'!ag"&amp;$G$1)</f>
        <v>0</v>
      </c>
    </row>
    <row r="28" spans="1:33" s="1787" customFormat="1" ht="18" customHeight="1">
      <c r="A28" s="1454" t="s">
        <v>1370</v>
      </c>
      <c r="B28" s="749" t="s">
        <v>634</v>
      </c>
      <c r="C28" s="51">
        <f>ROUND(F28/(1+'数据-取费表'!C42),4)</f>
        <v>5.2400000000000002E-2</v>
      </c>
      <c r="D28" s="776" t="s">
        <v>1656</v>
      </c>
      <c r="E28" s="749" t="s">
        <v>1314</v>
      </c>
      <c r="F28" s="774">
        <f>'数据-取费表'!B41</f>
        <v>5.5000000000000007E-2</v>
      </c>
      <c r="G28" s="3002"/>
      <c r="H28" s="1615"/>
      <c r="I28" s="756"/>
      <c r="J28" s="757"/>
      <c r="K28" s="780"/>
      <c r="L28" s="749" t="s">
        <v>1315</v>
      </c>
      <c r="M28" s="759">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2486</v>
      </c>
      <c r="D29" s="2162"/>
      <c r="E29" s="2163"/>
      <c r="F29" s="2164"/>
      <c r="G29" s="3002"/>
      <c r="H29" s="787" t="s">
        <v>1316</v>
      </c>
      <c r="I29" s="788" t="s">
        <v>1317</v>
      </c>
      <c r="J29" s="789">
        <f ca="1">ROUND(J26/(1+F40)^F41,0)</f>
        <v>0</v>
      </c>
      <c r="K29" s="790" t="s">
        <v>1318</v>
      </c>
      <c r="L29" s="791"/>
      <c r="M29" s="792">
        <f ca="1">INDIRECT("'数据-取费表'!k"&amp;$G$1)</f>
        <v>6342.01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f ca="1">ROUND(C31+C36+C37+C38,0)</f>
        <v>52</v>
      </c>
      <c r="D30" s="1607" t="s">
        <v>1320</v>
      </c>
      <c r="E30" s="2132"/>
      <c r="F30" s="2137"/>
      <c r="G30" s="1785"/>
      <c r="H30" s="1788"/>
      <c r="I30" s="1789"/>
      <c r="J30" s="1790"/>
      <c r="K30" s="1791"/>
      <c r="L30" s="1792"/>
      <c r="M30" s="1793"/>
    </row>
    <row r="31" spans="1:33" ht="18" customHeight="1">
      <c r="A31" s="1453" t="s">
        <v>1359</v>
      </c>
      <c r="B31" s="749" t="s">
        <v>604</v>
      </c>
      <c r="C31" s="2761">
        <f ca="1">ROUND(IF(AND(项目基本情况!B11="自然人",项目基本情况!B10="北京市"),C6*F31/(1+'数据-取费表'!C42),C32+C33+C34),2)</f>
        <v>35.14</v>
      </c>
      <c r="D31" s="1733" t="s">
        <v>1321</v>
      </c>
      <c r="E31" s="1731"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49" t="s">
        <v>1323</v>
      </c>
      <c r="C32" s="51">
        <f ca="1">ROUND(C6*F32/(1+'数据-取费表'!C42),2)</f>
        <v>10.84</v>
      </c>
      <c r="D32" s="1731" t="s">
        <v>1324</v>
      </c>
      <c r="E32" s="749" t="s">
        <v>1325</v>
      </c>
      <c r="F32" s="774">
        <f>'数据-取费表'!B41</f>
        <v>5.5000000000000007E-2</v>
      </c>
      <c r="G32" s="1785"/>
      <c r="H32" s="1794"/>
      <c r="I32" s="1795"/>
      <c r="J32" s="1796"/>
      <c r="K32" s="1797"/>
      <c r="L32" s="1798"/>
      <c r="M32" s="1799"/>
    </row>
    <row r="33" spans="1:18" ht="18" customHeight="1">
      <c r="A33" s="1452" t="s">
        <v>1361</v>
      </c>
      <c r="B33" s="749" t="s">
        <v>1326</v>
      </c>
      <c r="C33" s="51">
        <f ca="1">IF(D33="按租金收入计税",ROUND(C6*F33/(1+'数据-取费表'!C42),2),IF(D33="按房产原值计税",ROUND(C29*F33*0.7,2),INDIRECT("'数据-取费表'!Aj"&amp;$G$1)))</f>
        <v>23.66</v>
      </c>
      <c r="D33" s="775" t="s">
        <v>3250</v>
      </c>
      <c r="E33" s="749" t="s">
        <v>1325</v>
      </c>
      <c r="F33" s="774">
        <f>IF(D33="按租金收入计税",'数据-取费表'!B51,'数据-取费表'!B50)</f>
        <v>0.12</v>
      </c>
      <c r="G33" s="1785"/>
      <c r="H33" s="1800"/>
      <c r="I33" s="1800"/>
      <c r="J33" s="1800"/>
      <c r="K33" s="1801"/>
      <c r="L33" s="1800"/>
      <c r="M33" s="1800"/>
    </row>
    <row r="34" spans="1:18" ht="18" customHeight="1">
      <c r="A34" s="1455" t="s">
        <v>1362</v>
      </c>
      <c r="B34" s="331" t="s">
        <v>1327</v>
      </c>
      <c r="C34" s="52">
        <f ca="1">ROUND(F34*F35/10000,2)</f>
        <v>0.64</v>
      </c>
      <c r="D34" s="778" t="s">
        <v>1328</v>
      </c>
      <c r="E34" s="749" t="s">
        <v>1329</v>
      </c>
      <c r="F34" s="607">
        <f>'数据-取费表'!B52</f>
        <v>1.5</v>
      </c>
      <c r="G34" s="1785"/>
      <c r="H34" s="1788"/>
      <c r="I34" s="799" t="s">
        <v>1342</v>
      </c>
      <c r="J34" s="800"/>
      <c r="K34" s="1803"/>
      <c r="L34" s="1802"/>
      <c r="M34" s="1802"/>
    </row>
    <row r="35" spans="1:18" ht="18" customHeight="1">
      <c r="A35" s="779"/>
      <c r="B35" s="758"/>
      <c r="C35" s="67"/>
      <c r="D35" s="780"/>
      <c r="E35" s="749" t="s">
        <v>1330</v>
      </c>
      <c r="F35" s="750">
        <f ca="1">INDIRECT("'数据-取费表'!r"&amp;$G$1)</f>
        <v>4259.9399999999996</v>
      </c>
      <c r="G35" s="1785"/>
      <c r="H35" s="1788"/>
      <c r="I35" s="801" t="s">
        <v>1343</v>
      </c>
      <c r="J35" s="802">
        <f ca="1">ROUND(C13*J36,0)</f>
        <v>174</v>
      </c>
      <c r="K35" s="1801"/>
      <c r="L35" s="1800"/>
      <c r="M35" s="1800"/>
    </row>
    <row r="36" spans="1:18" ht="18" customHeight="1">
      <c r="A36" s="1453" t="s">
        <v>1414</v>
      </c>
      <c r="B36" s="749" t="s">
        <v>1331</v>
      </c>
      <c r="C36" s="51">
        <f ca="1">ROUND(C29*F36,2)</f>
        <v>12.43</v>
      </c>
      <c r="D36" s="1731" t="s">
        <v>1332</v>
      </c>
      <c r="E36" s="749" t="s">
        <v>1325</v>
      </c>
      <c r="F36" s="781">
        <f ca="1">INDIRECT("'数据-取费表'!Ak"&amp;$G$1)</f>
        <v>5.0000000000000001E-3</v>
      </c>
      <c r="G36" s="1785"/>
      <c r="H36" s="1800"/>
      <c r="I36" s="803" t="s">
        <v>1344</v>
      </c>
      <c r="J36" s="804">
        <f ca="1">INDIRECT("'数据-取费表'!j"&amp;$G$1)</f>
        <v>7.0000000000000007E-2</v>
      </c>
      <c r="K36" s="1804"/>
      <c r="L36" s="1800"/>
      <c r="M36" s="1800"/>
    </row>
    <row r="37" spans="1:18" ht="18" customHeight="1">
      <c r="A37" s="1453" t="s">
        <v>1415</v>
      </c>
      <c r="B37" s="749" t="s">
        <v>626</v>
      </c>
      <c r="C37" s="51">
        <f ca="1">ROUND(C13*F37,2)</f>
        <v>3.73</v>
      </c>
      <c r="D37" s="1731" t="s">
        <v>1333</v>
      </c>
      <c r="E37" s="749" t="s">
        <v>1325</v>
      </c>
      <c r="F37" s="782">
        <f ca="1">INDIRECT("'数据-取费表'!Al"&amp;$G$1)</f>
        <v>1.5E-3</v>
      </c>
      <c r="G37" s="1785"/>
      <c r="H37" s="1800"/>
      <c r="I37" s="805" t="s">
        <v>1345</v>
      </c>
      <c r="J37" s="806"/>
      <c r="K37" s="1804"/>
      <c r="L37" s="1800"/>
      <c r="M37" s="1800"/>
    </row>
    <row r="38" spans="1:18" ht="18" customHeight="1" thickBot="1">
      <c r="A38" s="2168" t="s">
        <v>1416</v>
      </c>
      <c r="B38" s="2163" t="s">
        <v>613</v>
      </c>
      <c r="C38" s="2161">
        <f ca="1">ROUND(C5*F38,2)</f>
        <v>1.04</v>
      </c>
      <c r="D38" s="2162" t="s">
        <v>1334</v>
      </c>
      <c r="E38" s="2163" t="s">
        <v>1325</v>
      </c>
      <c r="F38" s="2159">
        <f ca="1">INDIRECT("'数据-取费表'!Am"&amp;$G$1)</f>
        <v>5.0000000000000001E-3</v>
      </c>
      <c r="G38" s="1785">
        <f ca="1">C39/C5</f>
        <v>0.74879227053140096</v>
      </c>
      <c r="H38" s="1800"/>
      <c r="I38" s="807" t="s">
        <v>1346</v>
      </c>
      <c r="J38" s="808"/>
      <c r="K38" s="1805"/>
      <c r="L38" s="1800"/>
      <c r="M38" s="1800"/>
    </row>
    <row r="39" spans="1:18" ht="24.6" customHeight="1" thickTop="1">
      <c r="A39" s="1615" t="s">
        <v>1419</v>
      </c>
      <c r="B39" s="2483" t="s">
        <v>2099</v>
      </c>
      <c r="C39" s="757">
        <f ca="1">C5-C30</f>
        <v>155</v>
      </c>
      <c r="D39" s="2165" t="s">
        <v>1335</v>
      </c>
      <c r="E39" s="2166"/>
      <c r="F39" s="2167"/>
      <c r="G39" s="1785"/>
      <c r="H39" s="1800"/>
      <c r="I39" s="801" t="s">
        <v>1347</v>
      </c>
      <c r="J39" s="809">
        <f ca="1">ROUND(J35/C39,3)</f>
        <v>1.123</v>
      </c>
      <c r="K39" s="1805"/>
      <c r="L39" s="1800"/>
      <c r="M39" s="1800"/>
    </row>
    <row r="40" spans="1:18" ht="18" customHeight="1">
      <c r="A40" s="746" t="s">
        <v>1420</v>
      </c>
      <c r="B40" s="1950" t="s">
        <v>1658</v>
      </c>
      <c r="C40" s="748">
        <f ca="1">ROUND(C39*(1-((1+F42)/(1+F40))^F41)/(F40-F42),0)</f>
        <v>3234</v>
      </c>
      <c r="D40" s="778" t="s">
        <v>1336</v>
      </c>
      <c r="E40" s="749" t="s">
        <v>1773</v>
      </c>
      <c r="F40" s="759">
        <f ca="1">INDIRECT("'数据-取费表'!I"&amp;$G$1)</f>
        <v>5.5E-2</v>
      </c>
      <c r="G40" s="1785"/>
      <c r="H40" s="1785"/>
      <c r="I40" s="801" t="s">
        <v>1348</v>
      </c>
      <c r="J40" s="809">
        <f ca="1">1-J39</f>
        <v>-0.123</v>
      </c>
      <c r="K40" s="1805"/>
      <c r="L40" s="1785"/>
      <c r="M40" s="1785"/>
    </row>
    <row r="41" spans="1:18" ht="18" customHeight="1">
      <c r="A41" s="751"/>
      <c r="B41" s="752"/>
      <c r="C41" s="753"/>
      <c r="D41" s="785" t="s">
        <v>1337</v>
      </c>
      <c r="E41" s="749" t="s">
        <v>2224</v>
      </c>
      <c r="F41" s="786">
        <f ca="1">IF(INDIRECT("'数据-取费表'!af"&amp;$G$1)=0,INDIRECT("'数据-取费表'!ae"&amp;$G$1),INDIRECT("'数据-取费表'!af"&amp;$G$1))</f>
        <v>38.840000000000003</v>
      </c>
      <c r="G41" s="1785"/>
      <c r="H41" s="1740"/>
      <c r="I41" s="807" t="s">
        <v>1349</v>
      </c>
      <c r="J41" s="810"/>
      <c r="K41" s="1804"/>
      <c r="L41" s="1740"/>
      <c r="M41" s="1740"/>
    </row>
    <row r="42" spans="1:18" ht="18" customHeight="1">
      <c r="A42" s="755"/>
      <c r="B42" s="756"/>
      <c r="C42" s="757"/>
      <c r="D42" s="780"/>
      <c r="E42" s="749" t="s">
        <v>1338</v>
      </c>
      <c r="F42" s="759">
        <f ca="1">INDIRECT("'数据-取费表'!v"&amp;$G$1)</f>
        <v>0.02</v>
      </c>
      <c r="G42" s="1785"/>
      <c r="H42" s="1740"/>
      <c r="I42" s="811" t="s">
        <v>1350</v>
      </c>
      <c r="J42" s="809">
        <f ca="1">ROUND(C13/C40,3)</f>
        <v>0.76900000000000002</v>
      </c>
      <c r="K42" s="1804"/>
      <c r="L42" s="1740"/>
      <c r="M42" s="1740"/>
    </row>
    <row r="43" spans="1:18" ht="18" customHeight="1" thickBot="1">
      <c r="A43" s="787" t="s">
        <v>1316</v>
      </c>
      <c r="B43" s="788" t="s">
        <v>1339</v>
      </c>
      <c r="C43" s="789">
        <f ca="1">ROUND(C40*10000/F43,0)</f>
        <v>5099</v>
      </c>
      <c r="D43" s="790" t="s">
        <v>1340</v>
      </c>
      <c r="E43" s="791" t="s">
        <v>1341</v>
      </c>
      <c r="F43" s="792">
        <f ca="1">INDIRECT("'数据-取费表'!k"&amp;$G$1)</f>
        <v>6342.01</v>
      </c>
      <c r="G43" s="1785"/>
      <c r="H43" s="1740"/>
      <c r="I43" s="811" t="s">
        <v>1351</v>
      </c>
      <c r="J43" s="812">
        <f ca="1">1-J42</f>
        <v>0.23099999999999998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-3504</v>
      </c>
      <c r="D46" s="3003"/>
      <c r="E46" s="3003"/>
      <c r="F46" s="3003"/>
      <c r="I46" s="2069" t="s">
        <v>1697</v>
      </c>
      <c r="J46" s="2070"/>
      <c r="K46" s="2071"/>
      <c r="L46" s="2565" t="str">
        <f ca="1">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3288</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1722</v>
      </c>
      <c r="K48" s="2563" t="s">
        <v>1705</v>
      </c>
      <c r="L48" s="1663">
        <f ca="1">INDIRECT("'数据-取费表'!f"&amp;$G$1)</f>
        <v>38.840000000000003</v>
      </c>
      <c r="M48" s="3004"/>
      <c r="O48" s="2089" t="s">
        <v>1733</v>
      </c>
      <c r="P48" s="2090" t="s">
        <v>1759</v>
      </c>
      <c r="Q48" s="2091">
        <f ca="1">C40+J29</f>
        <v>3234</v>
      </c>
      <c r="R48" s="2090" t="s">
        <v>1734</v>
      </c>
    </row>
    <row r="49" spans="1:18" s="1782" customFormat="1" ht="18" customHeight="1" thickBot="1">
      <c r="A49" s="751"/>
      <c r="B49" s="752"/>
      <c r="C49" s="753"/>
      <c r="D49" s="754"/>
      <c r="E49" s="749" t="s">
        <v>1268</v>
      </c>
      <c r="F49" s="750">
        <f ca="1">F7</f>
        <v>6342.01</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1"/>
      <c r="B50" s="752"/>
      <c r="C50" s="753"/>
      <c r="D50" s="754"/>
      <c r="E50" s="749" t="s">
        <v>1269</v>
      </c>
      <c r="F50" s="750">
        <f ca="1">F8</f>
        <v>365</v>
      </c>
      <c r="G50" s="1817"/>
      <c r="H50" s="1815"/>
      <c r="I50" s="2553" t="s">
        <v>1701</v>
      </c>
      <c r="J50" s="2560">
        <f>SUMPRODUCT((I63:I65=J47)*(J62:L62=J48)*(J63:L65))</f>
        <v>70</v>
      </c>
      <c r="K50" s="2564" t="s">
        <v>1707</v>
      </c>
      <c r="L50" s="2075"/>
      <c r="M50" s="3004"/>
      <c r="O50" s="2092" t="s">
        <v>1737</v>
      </c>
      <c r="P50" s="2090" t="s">
        <v>1761</v>
      </c>
      <c r="Q50" s="2091">
        <f ca="1">C29</f>
        <v>2486</v>
      </c>
      <c r="R50" s="2090" t="s">
        <v>1734</v>
      </c>
    </row>
    <row r="51" spans="1:18" s="1782" customFormat="1" ht="18" customHeight="1" thickBot="1">
      <c r="A51" s="751"/>
      <c r="B51" s="752"/>
      <c r="C51" s="753"/>
      <c r="D51" s="754"/>
      <c r="E51" s="749" t="s">
        <v>588</v>
      </c>
      <c r="F51" s="2064"/>
      <c r="H51" s="1815"/>
      <c r="I51" s="2557" t="s">
        <v>1702</v>
      </c>
      <c r="J51" s="2561">
        <f>IF(J49="",J50,J49+J50-YEAR('数据-取费表'!B2))</f>
        <v>71</v>
      </c>
      <c r="K51" s="2553" t="s">
        <v>1708</v>
      </c>
      <c r="L51" s="2567">
        <f ca="1">ROUND(-PV(INDIRECT("'数据-取费表'!h"&amp;$G$1),J51,(C39-C13*J36),0),0)</f>
        <v>-368</v>
      </c>
      <c r="M51" s="3004"/>
      <c r="O51" s="2092" t="s">
        <v>1738</v>
      </c>
      <c r="P51" s="2090" t="s">
        <v>1739</v>
      </c>
      <c r="Q51" s="2093" t="e">
        <f ca="1">J58</f>
        <v>#VALUE!</v>
      </c>
      <c r="R51" s="2094"/>
    </row>
    <row r="52" spans="1:18" s="1782" customFormat="1" ht="18" customHeight="1" thickBot="1">
      <c r="A52" s="746" t="s">
        <v>1819</v>
      </c>
      <c r="B52" s="2140" t="s">
        <v>1803</v>
      </c>
      <c r="C52" s="764">
        <f ca="1">ROUND(IF(F52="押一",C48/12*F11,IF(F52="押二",C48/12*2*F11,IF(F52="押三",C48/12*3*F11,C53*F11))),0)</f>
        <v>0</v>
      </c>
      <c r="D52" s="2147" t="s">
        <v>2233</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1"/>
      <c r="B53" s="2141" t="s">
        <v>1856</v>
      </c>
      <c r="C53" s="2145"/>
      <c r="D53" s="2147"/>
      <c r="E53" s="2144"/>
      <c r="F53" s="765"/>
      <c r="I53" s="2559" t="s">
        <v>2236</v>
      </c>
      <c r="J53" s="2610">
        <f ca="1">IF(M47="住宅",IF(D1="——",MAX(J51,L48),MAX(J51,L48-'数据-取费表'!B20)),IF(D1="——",MIN(J51,L48),MIN(J51,L48-'数据-取费表'!B20)))</f>
        <v>38.840000000000003</v>
      </c>
      <c r="K53" s="3953" t="s">
        <v>2226</v>
      </c>
      <c r="L53" s="3954"/>
      <c r="M53" s="3004"/>
      <c r="O53" s="2092" t="s">
        <v>1742</v>
      </c>
      <c r="P53" s="2090" t="s">
        <v>1743</v>
      </c>
      <c r="Q53" s="2091">
        <f ca="1">J53</f>
        <v>38.840000000000003</v>
      </c>
      <c r="R53" s="2090" t="s">
        <v>1744</v>
      </c>
    </row>
    <row r="54" spans="1:18" s="1782" customFormat="1" ht="18" customHeight="1" thickBot="1">
      <c r="A54" s="2154" t="s">
        <v>1811</v>
      </c>
      <c r="B54" s="2155" t="s">
        <v>1804</v>
      </c>
      <c r="C54" s="2156"/>
      <c r="D54" s="2147"/>
      <c r="E54" s="2144"/>
      <c r="F54" s="765"/>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3234</v>
      </c>
      <c r="R54" s="2094" t="s">
        <v>1746</v>
      </c>
    </row>
    <row r="55" spans="1:18" s="1782" customFormat="1" ht="18" customHeight="1" thickTop="1" thickBot="1">
      <c r="A55" s="762">
        <v>2</v>
      </c>
      <c r="B55" s="763" t="s">
        <v>592</v>
      </c>
      <c r="C55" s="764">
        <f ca="1">C13</f>
        <v>2486</v>
      </c>
      <c r="D55" s="760"/>
      <c r="E55" s="760"/>
      <c r="F55" s="765"/>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2486</v>
      </c>
      <c r="D56" s="2244"/>
      <c r="E56" s="749"/>
      <c r="F56" s="774"/>
      <c r="I56" s="2572" t="s">
        <v>1711</v>
      </c>
      <c r="J56" s="2582" t="s">
        <v>3275</v>
      </c>
      <c r="K56" s="2553" t="s">
        <v>1716</v>
      </c>
      <c r="L56" s="1663" t="str">
        <f ca="1">IF(L48&lt;J51,"——",L48-J51)</f>
        <v>——</v>
      </c>
      <c r="M56" s="3004"/>
      <c r="O56" s="2086" t="s">
        <v>1729</v>
      </c>
      <c r="P56" s="2087" t="s">
        <v>1730</v>
      </c>
      <c r="Q56" s="2088" t="s">
        <v>1731</v>
      </c>
      <c r="R56" s="2087" t="s">
        <v>1732</v>
      </c>
    </row>
    <row r="57" spans="1:18" s="1782" customFormat="1" ht="28.5" customHeight="1" thickBot="1">
      <c r="A57" s="762" t="s">
        <v>1277</v>
      </c>
      <c r="B57" s="763" t="s">
        <v>599</v>
      </c>
      <c r="C57" s="764">
        <f ca="1">ROUND(C58+C63+C64+C65,0)</f>
        <v>17</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3234</v>
      </c>
      <c r="R57" s="2090" t="s">
        <v>1734</v>
      </c>
    </row>
    <row r="58" spans="1:18" s="1782" customFormat="1" ht="28.5" customHeight="1" thickBot="1">
      <c r="A58" s="1453" t="s">
        <v>1353</v>
      </c>
      <c r="B58" s="749" t="s">
        <v>604</v>
      </c>
      <c r="C58" s="2761">
        <f ca="1">ROUND(IF(AND(项目基本情况!B11="自然人",项目基本情况!B10="北京市"),C48*F58/(1+'数据-取费表'!C42),C59+C60+C61),2)</f>
        <v>0.64</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49" t="s">
        <v>608</v>
      </c>
      <c r="C59" s="51">
        <f ca="1">ROUND(C47*F59/1.05,2)</f>
        <v>0</v>
      </c>
      <c r="D59" s="2244" t="s">
        <v>1285</v>
      </c>
      <c r="E59" s="749" t="s">
        <v>1276</v>
      </c>
      <c r="F59" s="774">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49" t="s">
        <v>1287</v>
      </c>
      <c r="C60" s="51">
        <f ca="1">IF(D60="按租金收入计税",ROUND(C48*F60/(1+'数据-取费表'!C42),2),IF(D60="按房产原值计税",ROUND(C56*F60*0.7,2),INDIRECT("'数据-取费表'!Aj"&amp;$G$1)))</f>
        <v>0</v>
      </c>
      <c r="D60" s="2244" t="str">
        <f>D33</f>
        <v>按租金收入计税</v>
      </c>
      <c r="E60" s="749" t="s">
        <v>1276</v>
      </c>
      <c r="F60" s="774">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1" t="s">
        <v>615</v>
      </c>
      <c r="C61" s="52">
        <f ca="1">ROUND(F61*F62/10000,2)</f>
        <v>0.64</v>
      </c>
      <c r="D61" s="778" t="s">
        <v>616</v>
      </c>
      <c r="E61" s="749" t="s">
        <v>617</v>
      </c>
      <c r="F61" s="607">
        <f t="shared" si="0"/>
        <v>1.5</v>
      </c>
      <c r="K61" s="1808"/>
      <c r="O61" s="2092" t="s">
        <v>1740</v>
      </c>
      <c r="P61" s="2090" t="s">
        <v>1748</v>
      </c>
      <c r="Q61" s="2091" t="e">
        <f ca="1">L58</f>
        <v>#DIV/0!</v>
      </c>
      <c r="R61" s="2094" t="s">
        <v>1749</v>
      </c>
    </row>
    <row r="62" spans="1:18" s="1782" customFormat="1" ht="15.75" thickBot="1">
      <c r="A62" s="779"/>
      <c r="B62" s="758"/>
      <c r="C62" s="67"/>
      <c r="D62" s="780"/>
      <c r="E62" s="749" t="s">
        <v>621</v>
      </c>
      <c r="F62" s="750">
        <f t="shared" ca="1" si="0"/>
        <v>4259.9399999999996</v>
      </c>
      <c r="I62" s="2578" t="s">
        <v>1721</v>
      </c>
      <c r="J62" s="2579" t="s">
        <v>1722</v>
      </c>
      <c r="K62" s="2579" t="s">
        <v>1723</v>
      </c>
      <c r="L62" s="2579" t="s">
        <v>1704</v>
      </c>
      <c r="M62" s="2580" t="s">
        <v>2205</v>
      </c>
      <c r="O62" s="2092" t="s">
        <v>1742</v>
      </c>
      <c r="P62" s="2090" t="str">
        <f>K59</f>
        <v>建筑物剩余耐用年限下的土地年期修正系数Kn</v>
      </c>
      <c r="Q62" s="2091" t="e">
        <f ca="1">L59</f>
        <v>#DIV/0!</v>
      </c>
      <c r="R62" s="2094" t="s">
        <v>1751</v>
      </c>
    </row>
    <row r="63" spans="1:18" s="1782" customFormat="1" ht="15.75" thickBot="1">
      <c r="A63" s="1453" t="s">
        <v>1414</v>
      </c>
      <c r="B63" s="749" t="s">
        <v>623</v>
      </c>
      <c r="C63" s="51">
        <f ca="1">ROUND(C56*F63,2)</f>
        <v>12.43</v>
      </c>
      <c r="D63" s="2244" t="s">
        <v>1332</v>
      </c>
      <c r="E63" s="749" t="s">
        <v>1276</v>
      </c>
      <c r="F63" s="781">
        <f t="shared" ca="1" si="0"/>
        <v>5.0000000000000001E-3</v>
      </c>
      <c r="I63" s="2578" t="s">
        <v>1724</v>
      </c>
      <c r="J63" s="2579">
        <v>70</v>
      </c>
      <c r="K63" s="2579">
        <v>50</v>
      </c>
      <c r="L63" s="2579">
        <v>80</v>
      </c>
      <c r="M63" s="2581">
        <v>0.02</v>
      </c>
      <c r="O63" s="2089" t="s">
        <v>1745</v>
      </c>
      <c r="P63" s="2090" t="s">
        <v>1762</v>
      </c>
      <c r="Q63" s="2091">
        <f ca="1">Q57+Q58</f>
        <v>3234</v>
      </c>
      <c r="R63" s="2094" t="s">
        <v>1746</v>
      </c>
    </row>
    <row r="64" spans="1:18" s="1782" customFormat="1" ht="16.5" thickBot="1">
      <c r="A64" s="1453" t="s">
        <v>1415</v>
      </c>
      <c r="B64" s="749" t="s">
        <v>626</v>
      </c>
      <c r="C64" s="51">
        <f ca="1">ROUND(C55*F64,2)</f>
        <v>3.73</v>
      </c>
      <c r="D64" s="2244" t="s">
        <v>627</v>
      </c>
      <c r="E64" s="749" t="s">
        <v>1276</v>
      </c>
      <c r="F64" s="782">
        <f t="shared" ca="1" si="0"/>
        <v>1.5E-3</v>
      </c>
      <c r="I64" s="2578" t="s">
        <v>1725</v>
      </c>
      <c r="J64" s="2579">
        <v>50</v>
      </c>
      <c r="K64" s="2579">
        <v>35</v>
      </c>
      <c r="L64" s="2579">
        <v>60</v>
      </c>
      <c r="M64" s="810">
        <v>0</v>
      </c>
      <c r="O64" s="2095" t="s">
        <v>1769</v>
      </c>
      <c r="P64" s="1404"/>
      <c r="Q64" s="1412"/>
      <c r="R64" s="1404"/>
    </row>
    <row r="65" spans="1:18" s="1782" customFormat="1" ht="15.75" thickBot="1">
      <c r="A65" s="1453" t="s">
        <v>1416</v>
      </c>
      <c r="B65" s="749" t="s">
        <v>613</v>
      </c>
      <c r="C65" s="51">
        <f ca="1">ROUND(C47*F65,2)</f>
        <v>0</v>
      </c>
      <c r="D65" s="2244" t="s">
        <v>630</v>
      </c>
      <c r="E65" s="749" t="s">
        <v>1276</v>
      </c>
      <c r="F65" s="759">
        <f t="shared" ca="1" si="0"/>
        <v>5.0000000000000001E-3</v>
      </c>
      <c r="I65" s="2578" t="s">
        <v>1726</v>
      </c>
      <c r="J65" s="2579">
        <v>40</v>
      </c>
      <c r="K65" s="2579">
        <v>30</v>
      </c>
      <c r="L65" s="2579">
        <v>50</v>
      </c>
      <c r="M65" s="2581">
        <v>0.02</v>
      </c>
      <c r="O65" s="2086" t="s">
        <v>1729</v>
      </c>
      <c r="P65" s="2087" t="s">
        <v>1730</v>
      </c>
      <c r="Q65" s="2088" t="s">
        <v>1731</v>
      </c>
      <c r="R65" s="2087" t="s">
        <v>1732</v>
      </c>
    </row>
    <row r="66" spans="1:18" s="1782" customFormat="1" ht="24.75" thickBot="1">
      <c r="A66" s="762" t="s">
        <v>1305</v>
      </c>
      <c r="B66" s="2484" t="s">
        <v>2099</v>
      </c>
      <c r="C66" s="764">
        <f ca="1">C47-C57</f>
        <v>-17</v>
      </c>
      <c r="D66" s="2243" t="s">
        <v>647</v>
      </c>
      <c r="E66" s="2242"/>
      <c r="F66" s="784"/>
      <c r="K66" s="1808"/>
      <c r="O66" s="2089" t="s">
        <v>1733</v>
      </c>
      <c r="P66" s="2090" t="s">
        <v>1763</v>
      </c>
      <c r="Q66" s="2091">
        <f ca="1">C40+J29</f>
        <v>3234</v>
      </c>
      <c r="R66" s="2090" t="s">
        <v>1734</v>
      </c>
    </row>
    <row r="67" spans="1:18" s="1782" customFormat="1" ht="20.25" thickBot="1">
      <c r="A67" s="746" t="s">
        <v>1309</v>
      </c>
      <c r="B67" s="1950" t="s">
        <v>1658</v>
      </c>
      <c r="C67" s="748">
        <f ca="1">ROUND(C66*(1-((1+F69)/(1+F67))^F68)/(F67-F69),0)</f>
        <v>-270</v>
      </c>
      <c r="D67" s="778" t="s">
        <v>651</v>
      </c>
      <c r="E67" s="749" t="s">
        <v>652</v>
      </c>
      <c r="F67" s="759">
        <f ca="1">F40</f>
        <v>5.5E-2</v>
      </c>
      <c r="K67" s="1808"/>
      <c r="O67" s="2089" t="s">
        <v>1735</v>
      </c>
      <c r="P67" s="2090" t="s">
        <v>1766</v>
      </c>
      <c r="Q67" s="2091">
        <f ca="1">L60</f>
        <v>0</v>
      </c>
      <c r="R67" s="2094" t="s">
        <v>1768</v>
      </c>
    </row>
    <row r="68" spans="1:18" ht="21.75" thickBot="1">
      <c r="A68" s="751"/>
      <c r="B68" s="752"/>
      <c r="C68" s="753"/>
      <c r="D68" s="785" t="s">
        <v>1337</v>
      </c>
      <c r="E68" s="749" t="s">
        <v>1313</v>
      </c>
      <c r="F68" s="786">
        <f ca="1">F41</f>
        <v>38.840000000000003</v>
      </c>
      <c r="O68" s="2092" t="s">
        <v>1737</v>
      </c>
      <c r="P68" s="2090" t="s">
        <v>1767</v>
      </c>
      <c r="Q68" s="2096">
        <f ca="1">L51</f>
        <v>-368</v>
      </c>
      <c r="R68" s="2097" t="s">
        <v>1770</v>
      </c>
    </row>
    <row r="69" spans="1:18" ht="20.25" thickBot="1">
      <c r="A69" s="755"/>
      <c r="B69" s="756"/>
      <c r="C69" s="757"/>
      <c r="D69" s="780"/>
      <c r="E69" s="749" t="s">
        <v>657</v>
      </c>
      <c r="F69" s="2064"/>
      <c r="O69" s="2092" t="s">
        <v>1738</v>
      </c>
      <c r="P69" s="2098" t="s">
        <v>1752</v>
      </c>
      <c r="Q69" s="2091">
        <f ca="1">ROUND(Q70-Q71*Q72,0)</f>
        <v>-19</v>
      </c>
      <c r="R69" s="2094"/>
    </row>
    <row r="70" spans="1:18" ht="15.75" thickBot="1">
      <c r="A70" s="787" t="s">
        <v>1316</v>
      </c>
      <c r="B70" s="788" t="s">
        <v>1339</v>
      </c>
      <c r="C70" s="789">
        <f ca="1">ROUND(C67*10000/F70,0)</f>
        <v>-426</v>
      </c>
      <c r="D70" s="790" t="s">
        <v>1340</v>
      </c>
      <c r="E70" s="791" t="s">
        <v>1341</v>
      </c>
      <c r="F70" s="792">
        <f ca="1">F43</f>
        <v>6342.01</v>
      </c>
      <c r="O70" s="2092" t="s">
        <v>1753</v>
      </c>
      <c r="P70" s="2098" t="s">
        <v>1754</v>
      </c>
      <c r="Q70" s="2091">
        <f ca="1">C39</f>
        <v>155</v>
      </c>
      <c r="R70" s="2090" t="s">
        <v>1734</v>
      </c>
    </row>
    <row r="71" spans="1:18" ht="15.75" thickBot="1">
      <c r="O71" s="2092" t="s">
        <v>1755</v>
      </c>
      <c r="P71" s="2098" t="s">
        <v>1756</v>
      </c>
      <c r="Q71" s="2091">
        <f ca="1">C13</f>
        <v>2486</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建筑物剩余耐用年限下的土地年期修正系数Kn</v>
      </c>
      <c r="Q75" s="2091" t="e">
        <f ca="1">L59</f>
        <v>#DIV/0!</v>
      </c>
      <c r="R75" s="2094" t="s">
        <v>1751</v>
      </c>
    </row>
    <row r="76" spans="1:18" ht="15.75" thickBot="1">
      <c r="O76" s="2089" t="s">
        <v>1745</v>
      </c>
      <c r="P76" s="2090" t="s">
        <v>1762</v>
      </c>
      <c r="Q76" s="2091">
        <f ca="1">Q66+Q67</f>
        <v>3234</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3961" t="s">
        <v>2304</v>
      </c>
      <c r="K2" s="3962"/>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3963" t="s">
        <v>2314</v>
      </c>
      <c r="K3" s="3964"/>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3963" t="s">
        <v>2316</v>
      </c>
      <c r="K4" s="3964"/>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3969" t="s">
        <v>2320</v>
      </c>
      <c r="B6" s="3970"/>
      <c r="C6" s="3971"/>
      <c r="D6" s="3097"/>
      <c r="E6" s="3098"/>
      <c r="F6" s="3099"/>
      <c r="G6" s="3100"/>
      <c r="H6" s="3075"/>
      <c r="I6" s="3076"/>
      <c r="J6" s="3955">
        <v>1</v>
      </c>
      <c r="K6" s="3956"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3955"/>
      <c r="K7" s="3957"/>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3972" t="s">
        <v>2334</v>
      </c>
      <c r="C8" s="3973"/>
      <c r="D8" s="3116" t="s">
        <v>2335</v>
      </c>
      <c r="E8" s="3117" t="s">
        <v>2336</v>
      </c>
      <c r="F8" s="3118" t="s">
        <v>2337</v>
      </c>
      <c r="G8" s="3119"/>
      <c r="H8" s="3075"/>
      <c r="I8" s="3076"/>
      <c r="J8" s="3955"/>
      <c r="K8" s="3957"/>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3972" t="s">
        <v>2340</v>
      </c>
      <c r="C9" s="3973"/>
      <c r="D9" s="3116">
        <f>ROUND(D6*E9,0)</f>
        <v>0</v>
      </c>
      <c r="E9" s="3120"/>
      <c r="F9" s="3121" t="s">
        <v>2341</v>
      </c>
      <c r="G9" s="3100"/>
      <c r="H9" s="3075"/>
      <c r="I9" s="3076"/>
      <c r="J9" s="3955"/>
      <c r="K9" s="3957"/>
      <c r="L9" s="3110" t="s">
        <v>2342</v>
      </c>
      <c r="M9" s="3111"/>
      <c r="N9" s="3087"/>
      <c r="O9" s="3112"/>
      <c r="P9" s="3112"/>
      <c r="Q9" s="3113">
        <v>365</v>
      </c>
      <c r="R9" s="3114">
        <f t="shared" si="0"/>
        <v>0</v>
      </c>
      <c r="S9" s="3067"/>
      <c r="T9" s="3067"/>
      <c r="U9" s="3067"/>
      <c r="V9" s="3076"/>
    </row>
    <row r="10" spans="1:22" s="3080" customFormat="1" ht="13.15" customHeight="1">
      <c r="A10" s="3115">
        <v>2</v>
      </c>
      <c r="B10" s="3972" t="s">
        <v>2343</v>
      </c>
      <c r="C10" s="3973"/>
      <c r="D10" s="3116">
        <f>ROUND(D6*E10,0)</f>
        <v>0</v>
      </c>
      <c r="E10" s="3120"/>
      <c r="F10" s="3121" t="s">
        <v>2344</v>
      </c>
      <c r="G10" s="3100"/>
      <c r="H10" s="3075"/>
      <c r="I10" s="3076"/>
      <c r="J10" s="3955"/>
      <c r="K10" s="3957"/>
      <c r="L10" s="3110" t="s">
        <v>2345</v>
      </c>
      <c r="M10" s="3111"/>
      <c r="N10" s="3087"/>
      <c r="O10" s="3112"/>
      <c r="P10" s="3112"/>
      <c r="Q10" s="3113">
        <v>365</v>
      </c>
      <c r="R10" s="3114">
        <f t="shared" si="0"/>
        <v>0</v>
      </c>
      <c r="S10" s="3067"/>
      <c r="T10" s="3067"/>
      <c r="U10" s="3067"/>
      <c r="V10" s="3076"/>
    </row>
    <row r="11" spans="1:22" s="3080" customFormat="1" ht="13.15" customHeight="1">
      <c r="A11" s="3115">
        <v>3</v>
      </c>
      <c r="B11" s="3972" t="s">
        <v>2346</v>
      </c>
      <c r="C11" s="3973"/>
      <c r="D11" s="3116">
        <f>D12+D14+D15+D16</f>
        <v>0</v>
      </c>
      <c r="E11" s="3122" t="e">
        <f>D11/D6</f>
        <v>#DIV/0!</v>
      </c>
      <c r="F11" s="3118"/>
      <c r="G11" s="3119"/>
      <c r="H11" s="3075"/>
      <c r="I11" s="3076"/>
      <c r="J11" s="3955"/>
      <c r="K11" s="3957"/>
      <c r="L11" s="3110" t="s">
        <v>2347</v>
      </c>
      <c r="M11" s="3111"/>
      <c r="N11" s="3087"/>
      <c r="O11" s="3112"/>
      <c r="P11" s="3112"/>
      <c r="Q11" s="3113">
        <v>365</v>
      </c>
      <c r="R11" s="3114">
        <f t="shared" si="0"/>
        <v>0</v>
      </c>
      <c r="S11" s="3067"/>
      <c r="T11" s="3067"/>
      <c r="U11" s="3067"/>
      <c r="V11" s="3076"/>
    </row>
    <row r="12" spans="1:22" s="3080" customFormat="1" ht="13.15" customHeight="1">
      <c r="A12" s="3123" t="s">
        <v>2348</v>
      </c>
      <c r="B12" s="3965" t="s">
        <v>2349</v>
      </c>
      <c r="C12" s="3966"/>
      <c r="D12" s="3124">
        <f>ROUND(D13*1.2%*(1-30%),0)</f>
        <v>0</v>
      </c>
      <c r="E12" s="3125">
        <v>1.2E-2</v>
      </c>
      <c r="F12" s="3118" t="s">
        <v>2350</v>
      </c>
      <c r="G12" s="3119"/>
      <c r="H12" s="3075"/>
      <c r="I12" s="3076"/>
      <c r="J12" s="3955"/>
      <c r="K12" s="3957"/>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3955"/>
      <c r="K13" s="3957"/>
      <c r="L13" s="3110" t="s">
        <v>2353</v>
      </c>
      <c r="M13" s="3111"/>
      <c r="N13" s="3087"/>
      <c r="O13" s="3112"/>
      <c r="P13" s="3112"/>
      <c r="Q13" s="3113">
        <v>365</v>
      </c>
      <c r="R13" s="3114">
        <f t="shared" si="0"/>
        <v>0</v>
      </c>
      <c r="S13" s="3067"/>
      <c r="T13" s="3067"/>
      <c r="U13" s="3067"/>
      <c r="V13" s="3076"/>
    </row>
    <row r="14" spans="1:22" s="3080" customFormat="1" ht="13.15" customHeight="1">
      <c r="A14" s="3123" t="s">
        <v>2354</v>
      </c>
      <c r="B14" s="3965" t="s">
        <v>2355</v>
      </c>
      <c r="C14" s="3966"/>
      <c r="D14" s="3124">
        <f>ROUND(E14*B5/10000,0)</f>
        <v>0</v>
      </c>
      <c r="E14" s="3113"/>
      <c r="F14" s="3118" t="s">
        <v>2356</v>
      </c>
      <c r="G14" s="3119"/>
      <c r="H14" s="3075"/>
      <c r="I14" s="3076"/>
      <c r="J14" s="3955"/>
      <c r="K14" s="3958"/>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3965" t="s">
        <v>2359</v>
      </c>
      <c r="C15" s="3966"/>
      <c r="D15" s="3124">
        <f>ROUND(D6*E15,0)</f>
        <v>0</v>
      </c>
      <c r="E15" s="3125">
        <v>5.5E-2</v>
      </c>
      <c r="F15" s="3118" t="s">
        <v>2360</v>
      </c>
      <c r="G15" s="3100"/>
      <c r="H15" s="3075"/>
      <c r="I15" s="3076"/>
      <c r="J15" s="3955">
        <v>2</v>
      </c>
      <c r="K15" s="3956"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3965" t="s">
        <v>2370</v>
      </c>
      <c r="C16" s="3966"/>
      <c r="D16" s="3135">
        <f>D6*E16</f>
        <v>0</v>
      </c>
      <c r="E16" s="3136"/>
      <c r="F16" s="3121" t="s">
        <v>2371</v>
      </c>
      <c r="G16" s="3100"/>
      <c r="H16" s="3075"/>
      <c r="I16" s="3076"/>
      <c r="J16" s="3955"/>
      <c r="K16" s="3957"/>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3967" t="s">
        <v>2373</v>
      </c>
      <c r="C17" s="3968"/>
      <c r="D17" s="3138">
        <f>ROUND(D6*E17,0)</f>
        <v>0</v>
      </c>
      <c r="E17" s="3139"/>
      <c r="F17" s="3140" t="s">
        <v>2374</v>
      </c>
      <c r="G17" s="3100"/>
      <c r="H17" s="3075"/>
      <c r="I17" s="3076"/>
      <c r="J17" s="3955"/>
      <c r="K17" s="3957"/>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3955"/>
      <c r="K18" s="3957"/>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3955"/>
      <c r="K19" s="3958"/>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55">
        <v>3</v>
      </c>
      <c r="K20" s="3956"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3955"/>
      <c r="K21" s="3957"/>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3955"/>
      <c r="K22" s="3957"/>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3955"/>
      <c r="K23" s="3957"/>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3955"/>
      <c r="K24" s="3958"/>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3959">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3960"/>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3961" t="s">
        <v>2416</v>
      </c>
      <c r="K32" s="3962"/>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3963" t="s">
        <v>2420</v>
      </c>
      <c r="K33" s="3964"/>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3963" t="s">
        <v>2422</v>
      </c>
      <c r="K34" s="3964"/>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3955">
        <v>1</v>
      </c>
      <c r="K36" s="3956"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3955"/>
      <c r="K37" s="3957"/>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55"/>
      <c r="K38" s="3957"/>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3955"/>
      <c r="K39" s="3957"/>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3955"/>
      <c r="K40" s="3958"/>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3959">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3960"/>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7" t="s">
        <v>551</v>
      </c>
      <c r="B1" s="709"/>
      <c r="C1" s="1903"/>
      <c r="D1" s="1903"/>
      <c r="E1" s="1903"/>
      <c r="F1" s="1903"/>
      <c r="G1" s="1830"/>
    </row>
    <row r="2" spans="1:25" s="1782" customFormat="1" ht="18" customHeight="1">
      <c r="A2" s="409" t="s">
        <v>427</v>
      </c>
      <c r="B2" s="411">
        <f ca="1">C23</f>
        <v>0</v>
      </c>
      <c r="C2" s="3009"/>
      <c r="D2" s="3009"/>
      <c r="E2" s="3009"/>
      <c r="F2" s="3009"/>
      <c r="G2" s="3009"/>
    </row>
    <row r="3" spans="1:25" s="1782" customFormat="1" ht="18" customHeight="1">
      <c r="A3" s="1236" t="s">
        <v>1218</v>
      </c>
      <c r="B3" s="411">
        <f ca="1">ROUND(B2*10000/'数据-汇总表'!E3,0)</f>
        <v>0</v>
      </c>
      <c r="C3" s="3009"/>
      <c r="D3" s="3009"/>
      <c r="E3" s="3009"/>
      <c r="F3" s="3009"/>
      <c r="G3" s="3009"/>
    </row>
    <row r="4" spans="1:25" s="1782" customFormat="1" ht="18" customHeight="1">
      <c r="A4" s="412" t="s">
        <v>428</v>
      </c>
      <c r="B4" s="413">
        <f ca="1">ROUND(B2*10000/'数据-汇总表'!D3,0)</f>
        <v>0</v>
      </c>
      <c r="C4" s="2963"/>
      <c r="D4" s="3009"/>
      <c r="E4" s="3009"/>
      <c r="F4" s="3009"/>
      <c r="G4" s="3009"/>
    </row>
    <row r="5" spans="1:25" s="1782" customFormat="1" ht="18" customHeight="1" thickBot="1">
      <c r="A5" s="415"/>
      <c r="B5" s="416">
        <f ca="1">ROUND(B2/('数据-汇总表'!D3/666.67),0)</f>
        <v>0</v>
      </c>
      <c r="C5" s="417" t="s">
        <v>429</v>
      </c>
      <c r="D5" s="3009"/>
      <c r="E5" s="3009"/>
      <c r="F5" s="3009"/>
      <c r="G5" s="3009"/>
    </row>
    <row r="6" spans="1:25" s="1904" customFormat="1" ht="13.5" customHeight="1">
      <c r="A6" s="710"/>
      <c r="B6" s="711" t="s">
        <v>552</v>
      </c>
      <c r="C6" s="712" t="s">
        <v>553</v>
      </c>
      <c r="D6" s="712" t="s">
        <v>554</v>
      </c>
      <c r="E6" s="713" t="s">
        <v>555</v>
      </c>
      <c r="F6" s="713" t="s">
        <v>556</v>
      </c>
      <c r="G6" s="3008" t="s">
        <v>2285</v>
      </c>
    </row>
    <row r="7" spans="1:25" s="1904" customFormat="1" ht="13.5" customHeight="1">
      <c r="A7" s="2118">
        <v>1</v>
      </c>
      <c r="B7" s="714" t="s">
        <v>557</v>
      </c>
      <c r="C7" s="715">
        <f>C8+C9</f>
        <v>0</v>
      </c>
      <c r="D7" s="715"/>
      <c r="E7" s="716"/>
      <c r="F7" s="716"/>
      <c r="G7" s="2127"/>
    </row>
    <row r="8" spans="1:25" s="1904" customFormat="1" ht="13.5" customHeight="1">
      <c r="A8" s="2118" t="s">
        <v>1786</v>
      </c>
      <c r="B8" s="2121" t="s">
        <v>1788</v>
      </c>
      <c r="C8" s="3012">
        <f>ROUND(D8*E8/10000,0)</f>
        <v>0</v>
      </c>
      <c r="D8" s="3012">
        <v>0</v>
      </c>
      <c r="E8" s="3013">
        <v>0</v>
      </c>
      <c r="F8" s="716"/>
      <c r="G8" s="717"/>
    </row>
    <row r="9" spans="1:25" s="1904" customFormat="1" ht="13.5" customHeight="1">
      <c r="A9" s="2118" t="s">
        <v>1787</v>
      </c>
      <c r="B9" s="2121" t="s">
        <v>1789</v>
      </c>
      <c r="C9" s="3012">
        <f>ROUND(D9*E9/10000,0)</f>
        <v>0</v>
      </c>
      <c r="D9" s="3012">
        <v>0</v>
      </c>
      <c r="E9" s="3013">
        <v>0</v>
      </c>
      <c r="F9" s="716"/>
      <c r="G9" s="717"/>
    </row>
    <row r="10" spans="1:25" s="1904" customFormat="1" ht="36">
      <c r="A10" s="2118">
        <v>2</v>
      </c>
      <c r="B10" s="714" t="s">
        <v>561</v>
      </c>
      <c r="C10" s="715">
        <f>C11+C14+C15</f>
        <v>0</v>
      </c>
      <c r="D10" s="725"/>
      <c r="E10" s="715"/>
      <c r="F10" s="726"/>
      <c r="G10" s="724" t="s">
        <v>562</v>
      </c>
    </row>
    <row r="11" spans="1:25" s="1904" customFormat="1" ht="13.5" customHeight="1">
      <c r="A11" s="2118" t="s">
        <v>1786</v>
      </c>
      <c r="B11" s="718" t="s">
        <v>558</v>
      </c>
      <c r="C11" s="719">
        <f>'数据-取费表'!B29</f>
        <v>0</v>
      </c>
      <c r="D11" s="720"/>
      <c r="E11" s="719"/>
      <c r="F11" s="721"/>
      <c r="G11" s="2126" t="s">
        <v>1797</v>
      </c>
    </row>
    <row r="12" spans="1:25" s="1904" customFormat="1" ht="13.5" customHeight="1">
      <c r="A12" s="2124" t="s">
        <v>1794</v>
      </c>
      <c r="B12" s="722" t="s">
        <v>559</v>
      </c>
      <c r="C12" s="723">
        <f>ROUND(D12*E12/10000,0)</f>
        <v>0</v>
      </c>
      <c r="D12" s="3012">
        <f>'数据-汇总表'!E5</f>
        <v>0</v>
      </c>
      <c r="E12" s="3012">
        <f>'数据-取费表'!B27</f>
        <v>0</v>
      </c>
      <c r="F12" s="721"/>
      <c r="G12" s="724"/>
    </row>
    <row r="13" spans="1:25" s="1904" customFormat="1" ht="13.5" customHeight="1">
      <c r="A13" s="2124" t="s">
        <v>1793</v>
      </c>
      <c r="B13" s="722" t="s">
        <v>560</v>
      </c>
      <c r="C13" s="723">
        <f>ROUND(D13*E13/10000,0)</f>
        <v>127</v>
      </c>
      <c r="D13" s="3012">
        <f>'数据-汇总表'!E6</f>
        <v>6342.01</v>
      </c>
      <c r="E13" s="3012">
        <f>'数据-取费表'!B28</f>
        <v>200</v>
      </c>
      <c r="F13" s="721"/>
      <c r="G13" s="724"/>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4" t="s">
        <v>563</v>
      </c>
      <c r="C16" s="3014">
        <f>ROUND(D16*E16/10000,0)</f>
        <v>0</v>
      </c>
      <c r="D16" s="3012">
        <v>0</v>
      </c>
      <c r="E16" s="3013">
        <v>0</v>
      </c>
      <c r="F16" s="726"/>
      <c r="G16" s="724"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4" t="s">
        <v>564</v>
      </c>
      <c r="C17" s="2188">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4" t="s">
        <v>565</v>
      </c>
      <c r="C18" s="715">
        <f>ROUND((C7+C10+C16)*F18,0)</f>
        <v>0</v>
      </c>
      <c r="D18" s="727"/>
      <c r="E18" s="728"/>
      <c r="F18" s="1208"/>
      <c r="G18" s="730"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4" t="s">
        <v>567</v>
      </c>
      <c r="C19" s="715">
        <f ca="1">C7+C10+C16+C17+C18</f>
        <v>0</v>
      </c>
      <c r="D19" s="725"/>
      <c r="E19" s="715"/>
      <c r="F19" s="726"/>
      <c r="G19" s="730"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4" t="s">
        <v>569</v>
      </c>
      <c r="C20" s="715">
        <f ca="1">ROUND(C19*F20,0)</f>
        <v>0</v>
      </c>
      <c r="D20" s="725"/>
      <c r="E20" s="715"/>
      <c r="F20" s="1208"/>
      <c r="G20" s="730"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4" t="s">
        <v>571</v>
      </c>
      <c r="C21" s="715">
        <f ca="1">C19+C20</f>
        <v>0</v>
      </c>
      <c r="D21" s="725"/>
      <c r="E21" s="715"/>
      <c r="F21" s="726"/>
      <c r="G21" s="730"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4" t="s">
        <v>573</v>
      </c>
      <c r="C22" s="715">
        <f ca="1">ROUND(C21*F22,0)</f>
        <v>0</v>
      </c>
      <c r="D22" s="725"/>
      <c r="E22" s="715"/>
      <c r="F22" s="731">
        <f>'数据-取费表'!AP16</f>
        <v>0.85</v>
      </c>
      <c r="G22" s="730"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 ca="1">C22</f>
        <v>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2230" t="s">
        <v>666</v>
      </c>
      <c r="C1" s="2231" t="s">
        <v>667</v>
      </c>
      <c r="D1" s="2232"/>
      <c r="E1" s="1849"/>
      <c r="F1" s="2286"/>
      <c r="G1" s="1409" t="s">
        <v>668</v>
      </c>
      <c r="H1" s="475"/>
      <c r="I1" s="475"/>
      <c r="J1" s="475"/>
      <c r="K1" s="476"/>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09"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8" t="s">
        <v>468</v>
      </c>
      <c r="B3" s="815" t="e">
        <f>C49</f>
        <v>#DIV/0!</v>
      </c>
      <c r="C3" s="816" t="s">
        <v>669</v>
      </c>
      <c r="D3" s="815">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1" t="s">
        <v>470</v>
      </c>
      <c r="B4" s="482"/>
      <c r="C4" s="3871" t="s">
        <v>471</v>
      </c>
      <c r="D4" s="3872"/>
      <c r="E4" s="3893" t="s">
        <v>472</v>
      </c>
      <c r="F4" s="3894"/>
      <c r="G4" s="3871" t="s">
        <v>473</v>
      </c>
      <c r="H4" s="3872"/>
      <c r="I4" s="3871" t="s">
        <v>474</v>
      </c>
      <c r="J4" s="3872"/>
      <c r="K4" s="817" t="s">
        <v>475</v>
      </c>
      <c r="L4" s="1855"/>
      <c r="M4" s="1856"/>
      <c r="N4" s="1856"/>
      <c r="O4" s="1856"/>
      <c r="P4" s="3873" t="s">
        <v>476</v>
      </c>
      <c r="Q4" s="3874"/>
      <c r="R4" s="3857" t="s">
        <v>472</v>
      </c>
      <c r="S4" s="3858"/>
      <c r="T4" s="3857" t="s">
        <v>473</v>
      </c>
      <c r="U4" s="3858"/>
      <c r="V4" s="3879" t="s">
        <v>474</v>
      </c>
      <c r="W4" s="3879"/>
      <c r="X4" s="1379"/>
      <c r="Y4" s="3857" t="s">
        <v>476</v>
      </c>
      <c r="Z4" s="3858"/>
      <c r="AA4" s="3852" t="s">
        <v>472</v>
      </c>
      <c r="AB4" s="3852" t="s">
        <v>473</v>
      </c>
      <c r="AC4" s="3852" t="s">
        <v>474</v>
      </c>
    </row>
    <row r="5" spans="1:29" ht="15">
      <c r="A5" s="484"/>
      <c r="B5" s="485"/>
      <c r="C5" s="3882" t="s">
        <v>2192</v>
      </c>
      <c r="D5" s="3883"/>
      <c r="E5" s="3895" t="s">
        <v>2193</v>
      </c>
      <c r="F5" s="3896"/>
      <c r="G5" s="3882" t="s">
        <v>2194</v>
      </c>
      <c r="H5" s="3883"/>
      <c r="I5" s="3882" t="s">
        <v>2195</v>
      </c>
      <c r="J5" s="3883"/>
      <c r="K5" s="818"/>
      <c r="L5" s="1855"/>
      <c r="M5" s="1856"/>
      <c r="N5" s="1856"/>
      <c r="O5" s="1856"/>
      <c r="P5" s="3875"/>
      <c r="Q5" s="3876"/>
      <c r="R5" s="3859"/>
      <c r="S5" s="3860"/>
      <c r="T5" s="3859"/>
      <c r="U5" s="3860"/>
      <c r="V5" s="3879"/>
      <c r="W5" s="3879"/>
      <c r="X5" s="1379"/>
      <c r="Y5" s="3859"/>
      <c r="Z5" s="3860"/>
      <c r="AA5" s="3853"/>
      <c r="AB5" s="3853"/>
      <c r="AC5" s="3853"/>
    </row>
    <row r="6" spans="1:29" ht="15.75" thickBot="1">
      <c r="A6" s="486"/>
      <c r="B6" s="487"/>
      <c r="C6" s="3880" t="s">
        <v>2196</v>
      </c>
      <c r="D6" s="3881"/>
      <c r="E6" s="3897" t="s">
        <v>2196</v>
      </c>
      <c r="F6" s="3898"/>
      <c r="G6" s="3880" t="s">
        <v>2196</v>
      </c>
      <c r="H6" s="3881"/>
      <c r="I6" s="3880" t="s">
        <v>2196</v>
      </c>
      <c r="J6" s="3881"/>
      <c r="K6" s="818" t="s">
        <v>477</v>
      </c>
      <c r="L6" s="1855"/>
      <c r="M6" s="1856"/>
      <c r="N6" s="1856"/>
      <c r="O6" s="1856"/>
      <c r="P6" s="3877"/>
      <c r="Q6" s="3878"/>
      <c r="R6" s="3859"/>
      <c r="S6" s="3860"/>
      <c r="T6" s="3861"/>
      <c r="U6" s="3862"/>
      <c r="V6" s="3879"/>
      <c r="W6" s="3879"/>
      <c r="X6" s="1379"/>
      <c r="Y6" s="3861"/>
      <c r="Z6" s="3862"/>
      <c r="AA6" s="3854"/>
      <c r="AB6" s="3854"/>
      <c r="AC6" s="3854"/>
    </row>
    <row r="7" spans="1:29" s="1117" customFormat="1" ht="15.75" thickBot="1">
      <c r="A7" s="2391"/>
      <c r="B7" s="2398" t="s">
        <v>478</v>
      </c>
      <c r="C7" s="488">
        <f>'数据-取费表'!B2</f>
        <v>45378</v>
      </c>
      <c r="D7" s="489">
        <v>100</v>
      </c>
      <c r="E7" s="490"/>
      <c r="F7" s="491">
        <f>SUMIF(58:58,YEAR(E7)&amp;"-"&amp;MONTH(E7),59:59)</f>
        <v>0</v>
      </c>
      <c r="G7" s="492"/>
      <c r="H7" s="489">
        <f>SUMIF(58:58,YEAR(G7)&amp;"-"&amp;MONTH(G7),59:59)</f>
        <v>0</v>
      </c>
      <c r="I7" s="492"/>
      <c r="J7" s="489">
        <f>SUMIF(58:58,YEAR(I7)&amp;"-"&amp;MONTH(I7),59:59)</f>
        <v>0</v>
      </c>
      <c r="K7" s="819"/>
      <c r="L7" s="1857"/>
      <c r="M7" s="1858"/>
      <c r="N7" s="1858"/>
      <c r="O7" s="1858"/>
      <c r="P7" s="3855" t="s">
        <v>479</v>
      </c>
      <c r="Q7" s="3864"/>
      <c r="R7" s="1380" t="s">
        <v>10</v>
      </c>
      <c r="S7" s="1381">
        <f t="shared" ref="S7:S15" si="0">F7</f>
        <v>0</v>
      </c>
      <c r="T7" s="1380" t="s">
        <v>10</v>
      </c>
      <c r="U7" s="1381">
        <f t="shared" ref="U7:U15" si="1">H7</f>
        <v>0</v>
      </c>
      <c r="V7" s="1380" t="s">
        <v>10</v>
      </c>
      <c r="W7" s="1381">
        <f t="shared" ref="W7:W15"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820"/>
      <c r="F8" s="491">
        <f>SUMIF(61:61,E8,62:62)-SUMIF(61:61,C8,62:62)+100</f>
        <v>0</v>
      </c>
      <c r="G8" s="494"/>
      <c r="H8" s="489">
        <f>SUMIF(61:61,G8,62:62)-SUMIF(61:61,C8,62:62)+100</f>
        <v>0</v>
      </c>
      <c r="I8" s="820"/>
      <c r="J8" s="489">
        <f>SUMIF(61:61,I8,62:62)-SUMIF(61:61,C8,62:62)+100</f>
        <v>0</v>
      </c>
      <c r="K8" s="819"/>
      <c r="L8" s="1857"/>
      <c r="M8" s="1858"/>
      <c r="N8" s="1858"/>
      <c r="O8" s="1858"/>
      <c r="P8" s="3855" t="s">
        <v>482</v>
      </c>
      <c r="Q8" s="3856"/>
      <c r="R8" s="1380" t="s">
        <v>10</v>
      </c>
      <c r="S8" s="1381">
        <f t="shared" si="0"/>
        <v>0</v>
      </c>
      <c r="T8" s="1380" t="s">
        <v>10</v>
      </c>
      <c r="U8" s="1381">
        <f t="shared" si="1"/>
        <v>0</v>
      </c>
      <c r="V8" s="1380" t="s">
        <v>10</v>
      </c>
      <c r="W8" s="1381">
        <f t="shared" si="2"/>
        <v>0</v>
      </c>
      <c r="X8" s="1382"/>
      <c r="Y8" s="3855" t="s">
        <v>482</v>
      </c>
      <c r="Z8" s="3856"/>
      <c r="AA8" s="1383" t="e">
        <f t="shared" ref="AA8:AA46" si="3">D8/F8</f>
        <v>#DIV/0!</v>
      </c>
      <c r="AB8" s="1383" t="e">
        <f t="shared" ref="AB8:AB46" si="4">D8/H8</f>
        <v>#DIV/0!</v>
      </c>
      <c r="AC8" s="1383" t="e">
        <f t="shared" ref="AC8:AC46" si="5">D8/J8</f>
        <v>#DIV/0!</v>
      </c>
    </row>
    <row r="9" spans="1:29" s="1117" customFormat="1" ht="15">
      <c r="A9" s="2393"/>
      <c r="B9" s="2400" t="s">
        <v>2038</v>
      </c>
      <c r="C9" s="821"/>
      <c r="D9" s="244">
        <v>100</v>
      </c>
      <c r="E9" s="822"/>
      <c r="F9" s="823">
        <f>SUMIF(63:63,E9,64:64)-SUMIF(63:63,C9,64:64)+100</f>
        <v>100</v>
      </c>
      <c r="G9" s="824"/>
      <c r="H9" s="244">
        <f>SUMIF(63:63,G9,64:64)-SUMIF(63:63,C9,64:64)+100</f>
        <v>100</v>
      </c>
      <c r="I9" s="824"/>
      <c r="J9" s="244">
        <f>SUMIF(63:63,I9,64:64)-SUMIF(63:63,C9,64:64)+100</f>
        <v>100</v>
      </c>
      <c r="K9" s="819"/>
      <c r="L9" s="1857"/>
      <c r="M9" s="1858"/>
      <c r="N9" s="1858"/>
      <c r="O9" s="1859"/>
      <c r="P9" s="3863" t="s">
        <v>484</v>
      </c>
      <c r="Q9" s="1049" t="str">
        <f t="shared" ref="Q9:Q15" si="6">B9</f>
        <v>用途</v>
      </c>
      <c r="R9" s="1380" t="s">
        <v>5</v>
      </c>
      <c r="S9" s="1381">
        <f t="shared" si="0"/>
        <v>100</v>
      </c>
      <c r="T9" s="1380" t="s">
        <v>5</v>
      </c>
      <c r="U9" s="1381">
        <f t="shared" si="1"/>
        <v>100</v>
      </c>
      <c r="V9" s="1380" t="s">
        <v>5</v>
      </c>
      <c r="W9" s="1381">
        <f t="shared" si="2"/>
        <v>100</v>
      </c>
      <c r="X9" s="1382"/>
      <c r="Y9" s="3811"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60"/>
      <c r="F10" s="825">
        <f>SUMIF(65:65,E10,66:66)-SUMIF(65:65,C10,66:66)+100</f>
        <v>100</v>
      </c>
      <c r="G10" s="3659"/>
      <c r="H10" s="245">
        <f>SUMIF(65:65,G10,66:66)-SUMIF(65:65,C10,66:66)+100</f>
        <v>100</v>
      </c>
      <c r="I10" s="3659"/>
      <c r="J10" s="245">
        <f>SUMIF(65:65,I10,66:66)-SUMIF(65:65,C10,66:66)+100</f>
        <v>100</v>
      </c>
      <c r="K10" s="819"/>
      <c r="L10" s="1860"/>
      <c r="M10" s="1899"/>
      <c r="N10" s="1899"/>
      <c r="O10" s="1861"/>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5"/>
      <c r="B11" s="2399" t="s">
        <v>2040</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2"/>
      <c r="M11" s="1856"/>
      <c r="N11" s="1856"/>
      <c r="O11" s="1863"/>
      <c r="P11" s="3863"/>
      <c r="Q11" s="1049" t="str">
        <f t="shared" si="6"/>
        <v>容积率</v>
      </c>
      <c r="R11" s="1380" t="s">
        <v>8</v>
      </c>
      <c r="S11" s="1381" t="e">
        <f t="shared" si="0"/>
        <v>#N/A</v>
      </c>
      <c r="T11" s="1380" t="s">
        <v>8</v>
      </c>
      <c r="U11" s="1381" t="e">
        <f t="shared" si="1"/>
        <v>#N/A</v>
      </c>
      <c r="V11" s="1380" t="s">
        <v>8</v>
      </c>
      <c r="W11" s="1381" t="e">
        <f t="shared" si="2"/>
        <v>#N/A</v>
      </c>
      <c r="X11" s="1382"/>
      <c r="Y11" s="3811"/>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825">
        <f>SUMIF(70:70,E12,71:71)-SUMIF(70:70,C12,71:71)+100</f>
        <v>100</v>
      </c>
      <c r="G12" s="497"/>
      <c r="H12" s="245">
        <f>SUMIF(70:70,G12,71:71)-SUMIF(70:70,C12,71:71)+100</f>
        <v>100</v>
      </c>
      <c r="I12" s="497"/>
      <c r="J12" s="245">
        <f>SUMIF(70:70,I12,71:71)-SUMIF(70:70,C12,71:71)+100</f>
        <v>100</v>
      </c>
      <c r="K12" s="827"/>
      <c r="L12" s="1857"/>
      <c r="M12" s="1858"/>
      <c r="N12" s="1858"/>
      <c r="O12" s="1859"/>
      <c r="P12" s="3863"/>
      <c r="Q12" s="1049">
        <f t="shared" si="6"/>
        <v>111</v>
      </c>
      <c r="R12" s="1380" t="s">
        <v>8</v>
      </c>
      <c r="S12" s="1381">
        <f t="shared" si="0"/>
        <v>100</v>
      </c>
      <c r="T12" s="1380" t="s">
        <v>8</v>
      </c>
      <c r="U12" s="1381">
        <f t="shared" si="1"/>
        <v>100</v>
      </c>
      <c r="V12" s="1380" t="s">
        <v>8</v>
      </c>
      <c r="W12" s="1381">
        <f t="shared" si="2"/>
        <v>100</v>
      </c>
      <c r="X12" s="1382"/>
      <c r="Y12" s="3811"/>
      <c r="Z12" s="1048">
        <f t="shared" si="7"/>
        <v>111</v>
      </c>
      <c r="AA12" s="1383">
        <f>D12/F12</f>
        <v>1</v>
      </c>
      <c r="AB12" s="1383">
        <f>D12/H12</f>
        <v>1</v>
      </c>
      <c r="AC12" s="1383">
        <f>D12/J12</f>
        <v>1</v>
      </c>
    </row>
    <row r="13" spans="1:29" ht="15">
      <c r="A13" s="2396"/>
      <c r="B13" s="2402">
        <v>111</v>
      </c>
      <c r="C13" s="508"/>
      <c r="D13" s="509">
        <v>100</v>
      </c>
      <c r="E13" s="508"/>
      <c r="F13" s="825">
        <f>SUMIF(72:72,E13,73:73)-SUMIF(72:72,C13,73:73)+100</f>
        <v>100</v>
      </c>
      <c r="G13" s="508"/>
      <c r="H13" s="509">
        <f>SUMIF(72:72,G13,73:73)-SUMIF(72:72,C13,73:73)+100</f>
        <v>100</v>
      </c>
      <c r="I13" s="508"/>
      <c r="J13" s="509">
        <f>SUMIF(72:72,I13,73:73)-SUMIF(72:72,C13,73:73)+100</f>
        <v>100</v>
      </c>
      <c r="K13" s="827"/>
      <c r="L13" s="1864"/>
      <c r="M13" s="1856"/>
      <c r="N13" s="1856"/>
      <c r="O13" s="1863"/>
      <c r="P13" s="3863"/>
      <c r="Q13" s="1049">
        <f t="shared" si="6"/>
        <v>111</v>
      </c>
      <c r="R13" s="1380" t="s">
        <v>8</v>
      </c>
      <c r="S13" s="1381">
        <f t="shared" si="0"/>
        <v>100</v>
      </c>
      <c r="T13" s="1380" t="s">
        <v>8</v>
      </c>
      <c r="U13" s="1381">
        <f t="shared" si="1"/>
        <v>100</v>
      </c>
      <c r="V13" s="1380" t="s">
        <v>8</v>
      </c>
      <c r="W13" s="1381">
        <f t="shared" si="2"/>
        <v>100</v>
      </c>
      <c r="X13" s="1382"/>
      <c r="Y13" s="3811"/>
      <c r="Z13" s="1048">
        <f t="shared" si="7"/>
        <v>111</v>
      </c>
      <c r="AA13" s="1383">
        <f t="shared" si="3"/>
        <v>1</v>
      </c>
      <c r="AB13" s="1383">
        <f t="shared" si="4"/>
        <v>1</v>
      </c>
      <c r="AC13" s="1383">
        <f t="shared" si="5"/>
        <v>1</v>
      </c>
    </row>
    <row r="14" spans="1:29" ht="15.75" thickBot="1">
      <c r="A14" s="2397"/>
      <c r="B14" s="2403">
        <v>111</v>
      </c>
      <c r="C14" s="514"/>
      <c r="D14" s="515">
        <v>100</v>
      </c>
      <c r="E14" s="514"/>
      <c r="F14" s="828">
        <f>SUMIF(74:74,E14,75:75)-SUMIF(74:74,C14,75:75)+100</f>
        <v>100</v>
      </c>
      <c r="G14" s="514"/>
      <c r="H14" s="515">
        <f>SUMIF(74:74,G14,75:75)-SUMIF(74:74,C14,75:75)+100</f>
        <v>100</v>
      </c>
      <c r="I14" s="514"/>
      <c r="J14" s="515">
        <f>SUMIF(74:74,I14,75:75)-SUMIF(74:74,C14,75:75)+100</f>
        <v>100</v>
      </c>
      <c r="K14" s="827"/>
      <c r="L14" s="1864"/>
      <c r="M14" s="1856"/>
      <c r="N14" s="1856"/>
      <c r="O14" s="1863"/>
      <c r="P14" s="3863"/>
      <c r="Q14" s="1049">
        <f t="shared" si="6"/>
        <v>111</v>
      </c>
      <c r="R14" s="1380" t="s">
        <v>8</v>
      </c>
      <c r="S14" s="1381">
        <f t="shared" si="0"/>
        <v>100</v>
      </c>
      <c r="T14" s="1380" t="s">
        <v>8</v>
      </c>
      <c r="U14" s="1381">
        <f t="shared" si="1"/>
        <v>100</v>
      </c>
      <c r="V14" s="1380" t="s">
        <v>8</v>
      </c>
      <c r="W14" s="1381">
        <f t="shared" si="2"/>
        <v>100</v>
      </c>
      <c r="X14" s="1382"/>
      <c r="Y14" s="3811"/>
      <c r="Z14" s="1048">
        <f t="shared" si="7"/>
        <v>111</v>
      </c>
      <c r="AA14" s="1383">
        <f t="shared" si="3"/>
        <v>1</v>
      </c>
      <c r="AB14" s="1383">
        <f t="shared" si="4"/>
        <v>1</v>
      </c>
      <c r="AC14" s="1383">
        <f t="shared" si="5"/>
        <v>1</v>
      </c>
    </row>
    <row r="15" spans="1:29" ht="99.75">
      <c r="A15" s="2389" t="s">
        <v>2036</v>
      </c>
      <c r="B15" s="159" t="s">
        <v>261</v>
      </c>
      <c r="C15" s="829" t="str">
        <f>估价对象房地状况!C3</f>
        <v>估价对象周边居住用地比例、居住小区规模和社区发展完善程度，综合评价居住社区成熟度一般</v>
      </c>
      <c r="D15" s="518">
        <v>100</v>
      </c>
      <c r="E15" s="519"/>
      <c r="F15" s="520">
        <f>SUMIF(76:76,E16,77:77)-SUMIF(76:76,C16,77:77)+100</f>
        <v>100</v>
      </c>
      <c r="G15" s="521"/>
      <c r="H15" s="518">
        <f>SUMIF(76:76,G16,77:77)-SUMIF(76:76,C16,77:77)+100</f>
        <v>100</v>
      </c>
      <c r="I15" s="519"/>
      <c r="J15" s="518">
        <f>SUMIF(76:76,I16,77:77)-SUMIF(76:76,C16,77:77)+100</f>
        <v>100</v>
      </c>
      <c r="K15" s="830"/>
      <c r="L15" s="1864"/>
      <c r="M15" s="1856"/>
      <c r="N15" s="1856"/>
      <c r="O15" s="1863"/>
      <c r="P15" s="3865" t="s">
        <v>489</v>
      </c>
      <c r="Q15" s="1384" t="str">
        <f t="shared" si="6"/>
        <v>居住社区成熟度</v>
      </c>
      <c r="R15" s="1385" t="s">
        <v>8</v>
      </c>
      <c r="S15" s="1386">
        <f t="shared" si="0"/>
        <v>100</v>
      </c>
      <c r="T15" s="1385" t="s">
        <v>8</v>
      </c>
      <c r="U15" s="1386">
        <f t="shared" si="1"/>
        <v>100</v>
      </c>
      <c r="V15" s="1385" t="s">
        <v>8</v>
      </c>
      <c r="W15" s="1386">
        <f t="shared" si="2"/>
        <v>100</v>
      </c>
      <c r="X15" s="1379"/>
      <c r="Y15" s="3865" t="s">
        <v>489</v>
      </c>
      <c r="Z15" s="1387" t="str">
        <f t="shared" si="7"/>
        <v>居住社区成熟度</v>
      </c>
      <c r="AA15" s="1388">
        <f t="shared" si="3"/>
        <v>1</v>
      </c>
      <c r="AB15" s="1388">
        <f t="shared" si="4"/>
        <v>1</v>
      </c>
      <c r="AC15" s="1388">
        <f t="shared" si="5"/>
        <v>1</v>
      </c>
    </row>
    <row r="16" spans="1:29" ht="15">
      <c r="A16" s="501"/>
      <c r="B16" s="831"/>
      <c r="C16" s="545"/>
      <c r="D16" s="524"/>
      <c r="E16" s="525"/>
      <c r="F16" s="526"/>
      <c r="G16" s="527"/>
      <c r="H16" s="528"/>
      <c r="I16" s="525"/>
      <c r="J16" s="524"/>
      <c r="K16" s="832"/>
      <c r="L16" s="1864"/>
      <c r="M16" s="1856"/>
      <c r="N16" s="1856"/>
      <c r="O16" s="1863"/>
      <c r="P16" s="3866"/>
      <c r="Q16" s="1384"/>
      <c r="R16" s="1385"/>
      <c r="S16" s="1386"/>
      <c r="T16" s="1385"/>
      <c r="U16" s="1386"/>
      <c r="V16" s="1385"/>
      <c r="W16" s="1386"/>
      <c r="X16" s="1379"/>
      <c r="Y16" s="3866"/>
      <c r="Z16" s="1387"/>
      <c r="AA16" s="1388">
        <v>1</v>
      </c>
      <c r="AB16" s="1388">
        <v>1</v>
      </c>
      <c r="AC16" s="1388">
        <v>1</v>
      </c>
    </row>
    <row r="17" spans="1:29" ht="85.5">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30"/>
      <c r="L17" s="1864"/>
      <c r="M17" s="1856"/>
      <c r="N17" s="1856"/>
      <c r="O17" s="1863"/>
      <c r="P17" s="3866"/>
      <c r="Q17" s="1384" t="str">
        <f>B17</f>
        <v>交通便捷度</v>
      </c>
      <c r="R17" s="1385" t="s">
        <v>8</v>
      </c>
      <c r="S17" s="1386">
        <f>F17</f>
        <v>100</v>
      </c>
      <c r="T17" s="1385" t="s">
        <v>8</v>
      </c>
      <c r="U17" s="1386">
        <f>H17</f>
        <v>100</v>
      </c>
      <c r="V17" s="1385" t="s">
        <v>8</v>
      </c>
      <c r="W17" s="1386">
        <f>J17</f>
        <v>100</v>
      </c>
      <c r="X17" s="1379"/>
      <c r="Y17" s="386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32"/>
      <c r="L18" s="1864"/>
      <c r="M18" s="1856"/>
      <c r="N18" s="1856"/>
      <c r="O18" s="1863"/>
      <c r="P18" s="3866"/>
      <c r="Q18" s="1384"/>
      <c r="R18" s="1385"/>
      <c r="S18" s="1386"/>
      <c r="T18" s="1385"/>
      <c r="U18" s="1386"/>
      <c r="V18" s="1385"/>
      <c r="W18" s="1386"/>
      <c r="X18" s="1379"/>
      <c r="Y18" s="3866"/>
      <c r="Z18" s="1387"/>
      <c r="AA18" s="1388">
        <v>1</v>
      </c>
      <c r="AB18" s="1388">
        <v>1</v>
      </c>
      <c r="AC18" s="1388">
        <v>1</v>
      </c>
    </row>
    <row r="19" spans="1:29" ht="42.75">
      <c r="A19" s="501"/>
      <c r="B19" s="2207"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30"/>
      <c r="L19" s="1864"/>
      <c r="M19" s="1856"/>
      <c r="N19" s="1856"/>
      <c r="O19" s="1863"/>
      <c r="P19" s="3866"/>
      <c r="Q19" s="1384" t="str">
        <f>B19</f>
        <v>公共配套设施</v>
      </c>
      <c r="R19" s="1385" t="s">
        <v>8</v>
      </c>
      <c r="S19" s="1386">
        <f>F19</f>
        <v>100</v>
      </c>
      <c r="T19" s="1385" t="s">
        <v>8</v>
      </c>
      <c r="U19" s="1386">
        <f>H19</f>
        <v>100</v>
      </c>
      <c r="V19" s="1385" t="s">
        <v>8</v>
      </c>
      <c r="W19" s="1386">
        <f>J19</f>
        <v>100</v>
      </c>
      <c r="X19" s="1379"/>
      <c r="Y19" s="3866"/>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32"/>
      <c r="L20" s="1864"/>
      <c r="M20" s="1856"/>
      <c r="N20" s="1856"/>
      <c r="O20" s="1863"/>
      <c r="P20" s="3866"/>
      <c r="Q20" s="1384"/>
      <c r="R20" s="1385"/>
      <c r="S20" s="1386"/>
      <c r="T20" s="1385"/>
      <c r="U20" s="1386"/>
      <c r="V20" s="1385"/>
      <c r="W20" s="1386"/>
      <c r="X20" s="1379"/>
      <c r="Y20" s="3866"/>
      <c r="Z20" s="1387"/>
      <c r="AA20" s="1388">
        <v>1</v>
      </c>
      <c r="AB20" s="1388">
        <v>1</v>
      </c>
      <c r="AC20" s="1388">
        <v>1</v>
      </c>
    </row>
    <row r="21" spans="1:29" ht="28.5">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30"/>
      <c r="L21" s="1864"/>
      <c r="M21" s="1856"/>
      <c r="N21" s="1856"/>
      <c r="O21" s="1863"/>
      <c r="P21" s="3866"/>
      <c r="Q21" s="2192" t="str">
        <f>B21</f>
        <v>基础设施水平</v>
      </c>
      <c r="R21" s="1385" t="s">
        <v>8</v>
      </c>
      <c r="S21" s="1386">
        <f>F21</f>
        <v>100</v>
      </c>
      <c r="T21" s="1385" t="s">
        <v>8</v>
      </c>
      <c r="U21" s="1386">
        <f>H21</f>
        <v>100</v>
      </c>
      <c r="V21" s="1385" t="s">
        <v>8</v>
      </c>
      <c r="W21" s="1386">
        <f>J21</f>
        <v>100</v>
      </c>
      <c r="X21" s="2194"/>
      <c r="Y21" s="3866"/>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6"/>
      <c r="L22" s="1864"/>
      <c r="M22" s="1856"/>
      <c r="N22" s="1856"/>
      <c r="O22" s="1863"/>
      <c r="P22" s="3866"/>
      <c r="Q22" s="2192"/>
      <c r="R22" s="1385"/>
      <c r="S22" s="1386"/>
      <c r="T22" s="1385"/>
      <c r="U22" s="1386"/>
      <c r="V22" s="1385"/>
      <c r="W22" s="1386"/>
      <c r="X22" s="2194"/>
      <c r="Y22" s="3866"/>
      <c r="Z22" s="2193"/>
      <c r="AA22" s="1388">
        <v>1</v>
      </c>
      <c r="AB22" s="1388">
        <v>1</v>
      </c>
      <c r="AC22" s="1388">
        <v>1</v>
      </c>
    </row>
    <row r="23" spans="1:29" ht="57">
      <c r="A23" s="501"/>
      <c r="B23" s="833" t="s">
        <v>263</v>
      </c>
      <c r="C23" s="834"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30"/>
      <c r="L23" s="1864"/>
      <c r="M23" s="1856"/>
      <c r="N23" s="1856"/>
      <c r="O23" s="1863"/>
      <c r="P23" s="3866"/>
      <c r="Q23" s="1384" t="str">
        <f>B23</f>
        <v>自然及人文环境</v>
      </c>
      <c r="R23" s="1385" t="s">
        <v>8</v>
      </c>
      <c r="S23" s="1386">
        <f>F23</f>
        <v>100</v>
      </c>
      <c r="T23" s="1385" t="s">
        <v>8</v>
      </c>
      <c r="U23" s="1386">
        <f>H23</f>
        <v>100</v>
      </c>
      <c r="V23" s="1385" t="s">
        <v>8</v>
      </c>
      <c r="W23" s="1386">
        <f>J23</f>
        <v>100</v>
      </c>
      <c r="X23" s="1379"/>
      <c r="Y23" s="3866"/>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32"/>
      <c r="L24" s="1864"/>
      <c r="M24" s="1856"/>
      <c r="N24" s="1856"/>
      <c r="O24" s="1863"/>
      <c r="P24" s="3866"/>
      <c r="Q24" s="1384"/>
      <c r="R24" s="1385"/>
      <c r="S24" s="1386"/>
      <c r="T24" s="1385"/>
      <c r="U24" s="1386"/>
      <c r="V24" s="1385"/>
      <c r="W24" s="1386"/>
      <c r="X24" s="1379"/>
      <c r="Y24" s="3866"/>
      <c r="Z24" s="1387"/>
      <c r="AA24" s="1388">
        <v>1</v>
      </c>
      <c r="AB24" s="1388">
        <v>1</v>
      </c>
      <c r="AC24" s="1388">
        <v>1</v>
      </c>
    </row>
    <row r="25" spans="1:29" ht="15">
      <c r="A25" s="501"/>
      <c r="B25" s="1650" t="s">
        <v>1615</v>
      </c>
      <c r="C25" s="543"/>
      <c r="D25" s="509">
        <v>100</v>
      </c>
      <c r="E25" s="836"/>
      <c r="F25" s="544">
        <f>SUMIF(86:86,E25,87:87)-SUMIF(86:86,C25,87:87)+100</f>
        <v>100</v>
      </c>
      <c r="G25" s="568"/>
      <c r="H25" s="509">
        <f>SUMIF(86:86,G25,87:87)-SUMIF(86:86,C25,87:87)+100</f>
        <v>100</v>
      </c>
      <c r="I25" s="836"/>
      <c r="J25" s="509">
        <f>SUMIF(86:86,I25,87:87)-SUMIF(86:86,C25,87:87)+100</f>
        <v>100</v>
      </c>
      <c r="K25" s="826"/>
      <c r="L25" s="1864"/>
      <c r="M25" s="1856"/>
      <c r="N25" s="1856"/>
      <c r="O25" s="1863"/>
      <c r="P25" s="3866"/>
      <c r="Q25" s="1384" t="str">
        <f t="shared" ref="Q25:Q46" si="8">B25</f>
        <v>楼层-1</v>
      </c>
      <c r="R25" s="1385" t="s">
        <v>8</v>
      </c>
      <c r="S25" s="1386">
        <f>F25</f>
        <v>100</v>
      </c>
      <c r="T25" s="1385" t="s">
        <v>8</v>
      </c>
      <c r="U25" s="1386">
        <f>H25</f>
        <v>100</v>
      </c>
      <c r="V25" s="1385" t="s">
        <v>8</v>
      </c>
      <c r="W25" s="1386">
        <f>J25</f>
        <v>100</v>
      </c>
      <c r="X25" s="1379"/>
      <c r="Y25" s="3866"/>
      <c r="Z25" s="1387" t="str">
        <f>Q25</f>
        <v>楼层-1</v>
      </c>
      <c r="AA25" s="1388">
        <f t="shared" si="3"/>
        <v>1</v>
      </c>
      <c r="AB25" s="1388">
        <f t="shared" si="4"/>
        <v>1</v>
      </c>
      <c r="AC25" s="1388">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4"/>
      <c r="M26" s="1856"/>
      <c r="N26" s="1856"/>
      <c r="O26" s="1863"/>
      <c r="P26" s="3866"/>
      <c r="Q26" s="1384" t="str">
        <f t="shared" si="8"/>
        <v>朝向</v>
      </c>
      <c r="R26" s="1385" t="s">
        <v>8</v>
      </c>
      <c r="S26" s="1386">
        <f>F26</f>
        <v>100</v>
      </c>
      <c r="T26" s="1385" t="s">
        <v>8</v>
      </c>
      <c r="U26" s="1386">
        <f>H26</f>
        <v>100</v>
      </c>
      <c r="V26" s="1385" t="s">
        <v>8</v>
      </c>
      <c r="W26" s="1386">
        <f>J26</f>
        <v>100</v>
      </c>
      <c r="X26" s="1379"/>
      <c r="Y26" s="3866"/>
      <c r="Z26" s="1387" t="str">
        <f>Q26</f>
        <v>朝向</v>
      </c>
      <c r="AA26" s="1388">
        <f t="shared" si="3"/>
        <v>1</v>
      </c>
      <c r="AB26" s="1388">
        <f t="shared" si="4"/>
        <v>1</v>
      </c>
      <c r="AC26" s="1388">
        <f t="shared" si="5"/>
        <v>1</v>
      </c>
    </row>
    <row r="27" spans="1:29" s="1117"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7"/>
      <c r="M27" s="1858"/>
      <c r="N27" s="1858"/>
      <c r="O27" s="1859"/>
      <c r="P27" s="3866"/>
      <c r="Q27" s="1049" t="str">
        <f t="shared" si="8"/>
        <v>道路级别</v>
      </c>
      <c r="R27" s="1380" t="s">
        <v>8</v>
      </c>
      <c r="S27" s="1381">
        <f>F27</f>
        <v>100</v>
      </c>
      <c r="T27" s="1380" t="s">
        <v>8</v>
      </c>
      <c r="U27" s="1381">
        <f>H27</f>
        <v>100</v>
      </c>
      <c r="V27" s="1380" t="s">
        <v>8</v>
      </c>
      <c r="W27" s="1381">
        <f>J27</f>
        <v>100</v>
      </c>
      <c r="X27" s="1382"/>
      <c r="Y27" s="3866"/>
      <c r="Z27" s="1048" t="str">
        <f>Q27</f>
        <v>道路级别</v>
      </c>
      <c r="AA27" s="1388">
        <f>D27/F27</f>
        <v>1</v>
      </c>
      <c r="AB27" s="1388">
        <f>D27/H27</f>
        <v>1</v>
      </c>
      <c r="AC27" s="1388">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4"/>
      <c r="M28" s="1856"/>
      <c r="N28" s="1856"/>
      <c r="O28" s="1863"/>
      <c r="P28" s="3866"/>
      <c r="Q28" s="1384">
        <f t="shared" si="8"/>
        <v>111</v>
      </c>
      <c r="R28" s="1385" t="s">
        <v>8</v>
      </c>
      <c r="S28" s="1386">
        <f t="shared" ref="S28:S46" si="9">F28</f>
        <v>100</v>
      </c>
      <c r="T28" s="1385" t="s">
        <v>8</v>
      </c>
      <c r="U28" s="1386">
        <f t="shared" ref="U28:U46" si="10">H28</f>
        <v>100</v>
      </c>
      <c r="V28" s="1385" t="s">
        <v>8</v>
      </c>
      <c r="W28" s="1386">
        <f t="shared" ref="W28:W46" si="11">J28</f>
        <v>100</v>
      </c>
      <c r="X28" s="1379"/>
      <c r="Y28" s="3866"/>
      <c r="Z28" s="1387">
        <f t="shared" ref="Z28:Z46" si="12">Q28</f>
        <v>111</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4"/>
      <c r="M29" s="1856"/>
      <c r="N29" s="1856"/>
      <c r="O29" s="1863"/>
      <c r="P29" s="3866"/>
      <c r="Q29" s="1384">
        <f t="shared" si="8"/>
        <v>111</v>
      </c>
      <c r="R29" s="1385" t="s">
        <v>8</v>
      </c>
      <c r="S29" s="1386">
        <f t="shared" si="9"/>
        <v>100</v>
      </c>
      <c r="T29" s="1385" t="s">
        <v>8</v>
      </c>
      <c r="U29" s="1386">
        <f t="shared" si="10"/>
        <v>100</v>
      </c>
      <c r="V29" s="1385" t="s">
        <v>8</v>
      </c>
      <c r="W29" s="1386">
        <f t="shared" si="11"/>
        <v>100</v>
      </c>
      <c r="X29" s="1379"/>
      <c r="Y29" s="3866"/>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4"/>
      <c r="M30" s="1856"/>
      <c r="N30" s="1856"/>
      <c r="O30" s="1863"/>
      <c r="P30" s="3866"/>
      <c r="Q30" s="1384">
        <f t="shared" si="8"/>
        <v>111</v>
      </c>
      <c r="R30" s="1385" t="s">
        <v>8</v>
      </c>
      <c r="S30" s="1386">
        <f t="shared" si="9"/>
        <v>100</v>
      </c>
      <c r="T30" s="1385" t="s">
        <v>8</v>
      </c>
      <c r="U30" s="1386">
        <f t="shared" si="10"/>
        <v>100</v>
      </c>
      <c r="V30" s="1385" t="s">
        <v>8</v>
      </c>
      <c r="W30" s="1386">
        <f t="shared" si="11"/>
        <v>100</v>
      </c>
      <c r="X30" s="1379"/>
      <c r="Y30" s="3866"/>
      <c r="Z30" s="1387">
        <f t="shared" si="12"/>
        <v>111</v>
      </c>
      <c r="AA30" s="1388">
        <f t="shared" si="3"/>
        <v>1</v>
      </c>
      <c r="AB30" s="1388">
        <f t="shared" si="4"/>
        <v>1</v>
      </c>
      <c r="AC30" s="1388">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4"/>
      <c r="M31" s="1856"/>
      <c r="N31" s="1856"/>
      <c r="O31" s="1863"/>
      <c r="P31" s="3866"/>
      <c r="Q31" s="1384">
        <f t="shared" si="8"/>
        <v>111</v>
      </c>
      <c r="R31" s="1385" t="s">
        <v>8</v>
      </c>
      <c r="S31" s="1386">
        <f t="shared" si="9"/>
        <v>100</v>
      </c>
      <c r="T31" s="1385" t="s">
        <v>8</v>
      </c>
      <c r="U31" s="1386">
        <f t="shared" si="10"/>
        <v>100</v>
      </c>
      <c r="V31" s="1385" t="s">
        <v>8</v>
      </c>
      <c r="W31" s="1386">
        <f t="shared" si="11"/>
        <v>100</v>
      </c>
      <c r="X31" s="1379"/>
      <c r="Y31" s="3866"/>
      <c r="Z31" s="1387">
        <f t="shared" si="12"/>
        <v>111</v>
      </c>
      <c r="AA31" s="1388">
        <f t="shared" si="3"/>
        <v>1</v>
      </c>
      <c r="AB31" s="1388">
        <f t="shared" si="4"/>
        <v>1</v>
      </c>
      <c r="AC31" s="1388">
        <f t="shared" si="5"/>
        <v>1</v>
      </c>
    </row>
    <row r="32" spans="1:29" ht="15">
      <c r="A32" s="2386" t="s">
        <v>2037</v>
      </c>
      <c r="B32" s="165" t="s">
        <v>672</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4"/>
      <c r="M32" s="1856"/>
      <c r="N32" s="1856"/>
      <c r="O32" s="1863"/>
      <c r="P32" s="3867" t="s">
        <v>499</v>
      </c>
      <c r="Q32" s="1384" t="str">
        <f t="shared" si="8"/>
        <v>建筑类型</v>
      </c>
      <c r="R32" s="1385" t="s">
        <v>8</v>
      </c>
      <c r="S32" s="1386">
        <f t="shared" si="9"/>
        <v>100</v>
      </c>
      <c r="T32" s="1385" t="s">
        <v>8</v>
      </c>
      <c r="U32" s="1386">
        <f t="shared" si="10"/>
        <v>100</v>
      </c>
      <c r="V32" s="1385" t="s">
        <v>8</v>
      </c>
      <c r="W32" s="1386">
        <f t="shared" si="11"/>
        <v>100</v>
      </c>
      <c r="X32" s="1379"/>
      <c r="Y32" s="3868" t="s">
        <v>499</v>
      </c>
      <c r="Z32" s="1387" t="str">
        <f t="shared" si="12"/>
        <v>建筑类型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2"/>
      <c r="M33" s="1892"/>
      <c r="N33" s="1892"/>
      <c r="O33" s="1865"/>
      <c r="P33" s="3868"/>
      <c r="Q33" s="1413" t="str">
        <f t="shared" si="8"/>
        <v>项目建筑规模</v>
      </c>
      <c r="R33" s="1389" t="s">
        <v>8</v>
      </c>
      <c r="S33" s="1390" t="e">
        <f t="shared" si="9"/>
        <v>#N/A</v>
      </c>
      <c r="T33" s="1389" t="s">
        <v>8</v>
      </c>
      <c r="U33" s="1390" t="e">
        <f t="shared" si="10"/>
        <v>#N/A</v>
      </c>
      <c r="V33" s="1389" t="s">
        <v>8</v>
      </c>
      <c r="W33" s="1390" t="e">
        <f t="shared" si="11"/>
        <v>#N/A</v>
      </c>
      <c r="X33" s="1391"/>
      <c r="Y33" s="3868"/>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4"/>
      <c r="M34" s="1856"/>
      <c r="N34" s="1856"/>
      <c r="O34" s="1863"/>
      <c r="P34" s="3868"/>
      <c r="Q34" s="1384" t="str">
        <f t="shared" si="8"/>
        <v>建筑结构</v>
      </c>
      <c r="R34" s="1385" t="s">
        <v>8</v>
      </c>
      <c r="S34" s="1386">
        <f t="shared" si="9"/>
        <v>100</v>
      </c>
      <c r="T34" s="1385" t="s">
        <v>8</v>
      </c>
      <c r="U34" s="1386">
        <f t="shared" si="10"/>
        <v>100</v>
      </c>
      <c r="V34" s="1385" t="s">
        <v>8</v>
      </c>
      <c r="W34" s="1386">
        <f t="shared" si="11"/>
        <v>100</v>
      </c>
      <c r="X34" s="1379"/>
      <c r="Y34" s="3868"/>
      <c r="Z34" s="1387" t="str">
        <f t="shared" si="12"/>
        <v>建筑结构</v>
      </c>
      <c r="AA34" s="1388">
        <f t="shared" si="3"/>
        <v>1</v>
      </c>
      <c r="AB34" s="1388">
        <f t="shared" si="4"/>
        <v>1</v>
      </c>
      <c r="AC34" s="1388">
        <f t="shared" si="5"/>
        <v>1</v>
      </c>
    </row>
    <row r="35" spans="1:29" ht="15">
      <c r="A35" s="563"/>
      <c r="B35" s="496" t="s">
        <v>675</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4"/>
      <c r="M35" s="1856"/>
      <c r="N35" s="1856"/>
      <c r="O35" s="1863"/>
      <c r="P35" s="3868"/>
      <c r="Q35" s="1384" t="str">
        <f t="shared" si="8"/>
        <v>建筑品质</v>
      </c>
      <c r="R35" s="1385" t="s">
        <v>8</v>
      </c>
      <c r="S35" s="1386">
        <f t="shared" si="9"/>
        <v>100</v>
      </c>
      <c r="T35" s="1385" t="s">
        <v>8</v>
      </c>
      <c r="U35" s="1386">
        <f t="shared" si="10"/>
        <v>100</v>
      </c>
      <c r="V35" s="1385" t="s">
        <v>8</v>
      </c>
      <c r="W35" s="1386">
        <f t="shared" si="11"/>
        <v>100</v>
      </c>
      <c r="X35" s="1379"/>
      <c r="Y35" s="3868"/>
      <c r="Z35" s="1387" t="str">
        <f t="shared" si="12"/>
        <v>建筑品质</v>
      </c>
      <c r="AA35" s="1388">
        <f t="shared" si="3"/>
        <v>1</v>
      </c>
      <c r="AB35" s="1388">
        <f t="shared" si="4"/>
        <v>1</v>
      </c>
      <c r="AC35" s="1388">
        <f t="shared" si="5"/>
        <v>1</v>
      </c>
    </row>
    <row r="36" spans="1:29" ht="15">
      <c r="A36" s="563"/>
      <c r="B36" s="496" t="s">
        <v>676</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4"/>
      <c r="M36" s="1856"/>
      <c r="N36" s="1856"/>
      <c r="O36" s="1863"/>
      <c r="P36" s="3868"/>
      <c r="Q36" s="1384" t="str">
        <f t="shared" si="8"/>
        <v>公共部分装修</v>
      </c>
      <c r="R36" s="1385" t="s">
        <v>8</v>
      </c>
      <c r="S36" s="1386">
        <f t="shared" si="9"/>
        <v>100</v>
      </c>
      <c r="T36" s="1385" t="s">
        <v>8</v>
      </c>
      <c r="U36" s="1386">
        <f t="shared" si="10"/>
        <v>100</v>
      </c>
      <c r="V36" s="1385" t="s">
        <v>8</v>
      </c>
      <c r="W36" s="1386">
        <f t="shared" si="11"/>
        <v>100</v>
      </c>
      <c r="X36" s="1379"/>
      <c r="Y36" s="3868"/>
      <c r="Z36" s="1387" t="str">
        <f t="shared" si="12"/>
        <v>公共部分装修</v>
      </c>
      <c r="AA36" s="1388">
        <f t="shared" si="3"/>
        <v>1</v>
      </c>
      <c r="AB36" s="1388">
        <f t="shared" si="4"/>
        <v>1</v>
      </c>
      <c r="AC36" s="1388">
        <f t="shared" si="5"/>
        <v>1</v>
      </c>
    </row>
    <row r="37" spans="1:29" s="1117" customFormat="1" ht="15">
      <c r="A37" s="569"/>
      <c r="B37" s="496" t="s">
        <v>677</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7"/>
      <c r="M37" s="1858"/>
      <c r="N37" s="1858"/>
      <c r="O37" s="1859"/>
      <c r="P37" s="3868"/>
      <c r="Q37" s="1049" t="str">
        <f t="shared" si="8"/>
        <v>成新度</v>
      </c>
      <c r="R37" s="1380" t="s">
        <v>8</v>
      </c>
      <c r="S37" s="1381" t="e">
        <f t="shared" si="9"/>
        <v>#N/A</v>
      </c>
      <c r="T37" s="1380" t="s">
        <v>8</v>
      </c>
      <c r="U37" s="1381" t="e">
        <f t="shared" si="10"/>
        <v>#N/A</v>
      </c>
      <c r="V37" s="1380" t="s">
        <v>8</v>
      </c>
      <c r="W37" s="1381" t="e">
        <f t="shared" si="11"/>
        <v>#N/A</v>
      </c>
      <c r="X37" s="1382"/>
      <c r="Y37" s="3868"/>
      <c r="Z37" s="1048" t="str">
        <f t="shared" si="12"/>
        <v>成新度</v>
      </c>
      <c r="AA37" s="1383" t="e">
        <f t="shared" si="3"/>
        <v>#N/A</v>
      </c>
      <c r="AB37" s="1383" t="e">
        <f t="shared" si="4"/>
        <v>#N/A</v>
      </c>
      <c r="AC37" s="1383" t="e">
        <f t="shared" si="5"/>
        <v>#N/A</v>
      </c>
    </row>
    <row r="38" spans="1:29" ht="15">
      <c r="A38" s="563"/>
      <c r="B38" s="496" t="s">
        <v>678</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4"/>
      <c r="M38" s="1856"/>
      <c r="N38" s="1856"/>
      <c r="O38" s="1863"/>
      <c r="P38" s="3868" t="s">
        <v>499</v>
      </c>
      <c r="Q38" s="1384" t="str">
        <f t="shared" si="8"/>
        <v>物业管理</v>
      </c>
      <c r="R38" s="1385" t="s">
        <v>8</v>
      </c>
      <c r="S38" s="1386">
        <f t="shared" si="9"/>
        <v>100</v>
      </c>
      <c r="T38" s="1385" t="s">
        <v>8</v>
      </c>
      <c r="U38" s="1386">
        <f t="shared" si="10"/>
        <v>100</v>
      </c>
      <c r="V38" s="1385" t="s">
        <v>8</v>
      </c>
      <c r="W38" s="1386">
        <f t="shared" si="11"/>
        <v>100</v>
      </c>
      <c r="X38" s="1379"/>
      <c r="Y38" s="3868" t="s">
        <v>499</v>
      </c>
      <c r="Z38" s="1387" t="str">
        <f t="shared" si="12"/>
        <v>物业管理</v>
      </c>
      <c r="AA38" s="1388">
        <f t="shared" si="3"/>
        <v>1</v>
      </c>
      <c r="AB38" s="1388">
        <f t="shared" si="4"/>
        <v>1</v>
      </c>
      <c r="AC38" s="1388">
        <f t="shared" si="5"/>
        <v>1</v>
      </c>
    </row>
    <row r="39" spans="1:29" ht="15">
      <c r="A39" s="563"/>
      <c r="B39" s="1650" t="s">
        <v>1847</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4"/>
      <c r="M39" s="1856"/>
      <c r="N39" s="1856"/>
      <c r="O39" s="1863"/>
      <c r="P39" s="3868"/>
      <c r="Q39" s="1384" t="str">
        <f t="shared" si="8"/>
        <v>市政基础设施</v>
      </c>
      <c r="R39" s="1385" t="s">
        <v>8</v>
      </c>
      <c r="S39" s="1386">
        <f t="shared" si="9"/>
        <v>100</v>
      </c>
      <c r="T39" s="1385" t="s">
        <v>8</v>
      </c>
      <c r="U39" s="1386">
        <f t="shared" si="10"/>
        <v>100</v>
      </c>
      <c r="V39" s="1385" t="s">
        <v>8</v>
      </c>
      <c r="W39" s="1386">
        <f t="shared" si="11"/>
        <v>100</v>
      </c>
      <c r="X39" s="1379"/>
      <c r="Y39" s="3868"/>
      <c r="Z39" s="1387" t="str">
        <f t="shared" si="12"/>
        <v>市政基础设施</v>
      </c>
      <c r="AA39" s="1388">
        <f t="shared" si="3"/>
        <v>1</v>
      </c>
      <c r="AB39" s="1388">
        <f t="shared" si="4"/>
        <v>1</v>
      </c>
      <c r="AC39" s="1388">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4"/>
      <c r="M40" s="1856"/>
      <c r="N40" s="1856"/>
      <c r="O40" s="1863"/>
      <c r="P40" s="3868"/>
      <c r="Q40" s="1384" t="str">
        <f t="shared" si="8"/>
        <v>房型</v>
      </c>
      <c r="R40" s="1385" t="s">
        <v>8</v>
      </c>
      <c r="S40" s="1386">
        <f t="shared" si="9"/>
        <v>100</v>
      </c>
      <c r="T40" s="1385" t="s">
        <v>8</v>
      </c>
      <c r="U40" s="1386">
        <f t="shared" si="10"/>
        <v>100</v>
      </c>
      <c r="V40" s="1385" t="s">
        <v>8</v>
      </c>
      <c r="W40" s="1386">
        <f t="shared" si="11"/>
        <v>100</v>
      </c>
      <c r="X40" s="1379"/>
      <c r="Y40" s="3868"/>
      <c r="Z40" s="1387" t="str">
        <f t="shared" si="12"/>
        <v>房型</v>
      </c>
      <c r="AA40" s="1388">
        <f t="shared" si="3"/>
        <v>1</v>
      </c>
      <c r="AB40" s="1388">
        <f t="shared" si="4"/>
        <v>1</v>
      </c>
      <c r="AC40" s="1388">
        <f t="shared" si="5"/>
        <v>1</v>
      </c>
    </row>
    <row r="41" spans="1:29" s="1199" customFormat="1" ht="28.5">
      <c r="A41" s="572"/>
      <c r="B41" s="496" t="s">
        <v>680</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2"/>
      <c r="M41" s="1892"/>
      <c r="N41" s="1892"/>
      <c r="O41" s="1865"/>
      <c r="P41" s="3868"/>
      <c r="Q41" s="1413" t="str">
        <f t="shared" si="8"/>
        <v>单套/主力户型建筑面积</v>
      </c>
      <c r="R41" s="1389" t="s">
        <v>8</v>
      </c>
      <c r="S41" s="1390">
        <f t="shared" si="9"/>
        <v>100</v>
      </c>
      <c r="T41" s="1389" t="s">
        <v>8</v>
      </c>
      <c r="U41" s="1390">
        <f t="shared" si="10"/>
        <v>100</v>
      </c>
      <c r="V41" s="1389" t="s">
        <v>8</v>
      </c>
      <c r="W41" s="1390">
        <f t="shared" si="11"/>
        <v>100</v>
      </c>
      <c r="X41" s="1391"/>
      <c r="Y41" s="3868"/>
      <c r="Z41" s="1392" t="str">
        <f t="shared" si="12"/>
        <v>单套/主力户型建筑面积</v>
      </c>
      <c r="AA41" s="1388">
        <f t="shared" si="3"/>
        <v>1</v>
      </c>
      <c r="AB41" s="1388">
        <f t="shared" si="4"/>
        <v>1</v>
      </c>
      <c r="AC41" s="1388">
        <f t="shared" si="5"/>
        <v>1</v>
      </c>
    </row>
    <row r="42" spans="1:29" ht="15">
      <c r="A42" s="563"/>
      <c r="B42" s="496" t="s">
        <v>681</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4"/>
      <c r="M42" s="1856"/>
      <c r="N42" s="1856"/>
      <c r="O42" s="1863"/>
      <c r="P42" s="3868"/>
      <c r="Q42" s="1384" t="str">
        <f t="shared" si="8"/>
        <v>内部装修</v>
      </c>
      <c r="R42" s="1385" t="s">
        <v>8</v>
      </c>
      <c r="S42" s="1386">
        <f t="shared" si="9"/>
        <v>100</v>
      </c>
      <c r="T42" s="1385" t="s">
        <v>8</v>
      </c>
      <c r="U42" s="1386">
        <f t="shared" si="10"/>
        <v>100</v>
      </c>
      <c r="V42" s="1385" t="s">
        <v>8</v>
      </c>
      <c r="W42" s="1386">
        <f t="shared" si="11"/>
        <v>100</v>
      </c>
      <c r="X42" s="1379"/>
      <c r="Y42" s="3868"/>
      <c r="Z42" s="1387" t="str">
        <f t="shared" si="12"/>
        <v>内部装修</v>
      </c>
      <c r="AA42" s="1388">
        <f t="shared" si="3"/>
        <v>1</v>
      </c>
      <c r="AB42" s="1388">
        <f t="shared" si="4"/>
        <v>1</v>
      </c>
      <c r="AC42" s="1388">
        <f t="shared" si="5"/>
        <v>1</v>
      </c>
    </row>
    <row r="43" spans="1:29" ht="27">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4"/>
      <c r="M43" s="1856"/>
      <c r="N43" s="1856"/>
      <c r="O43" s="1863"/>
      <c r="P43" s="3868"/>
      <c r="Q43" s="1384" t="str">
        <f t="shared" si="8"/>
        <v>内部装修维护情况</v>
      </c>
      <c r="R43" s="1385" t="s">
        <v>8</v>
      </c>
      <c r="S43" s="1386">
        <f t="shared" si="9"/>
        <v>100</v>
      </c>
      <c r="T43" s="1385" t="s">
        <v>8</v>
      </c>
      <c r="U43" s="1386">
        <f t="shared" si="10"/>
        <v>100</v>
      </c>
      <c r="V43" s="1385" t="s">
        <v>8</v>
      </c>
      <c r="W43" s="1386">
        <f t="shared" si="11"/>
        <v>100</v>
      </c>
      <c r="X43" s="1379"/>
      <c r="Y43" s="3868"/>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7"/>
      <c r="M44" s="1858"/>
      <c r="N44" s="1858"/>
      <c r="O44" s="1859"/>
      <c r="P44" s="3868"/>
      <c r="Q44" s="1049">
        <f t="shared" si="8"/>
        <v>111</v>
      </c>
      <c r="R44" s="1380" t="s">
        <v>8</v>
      </c>
      <c r="S44" s="1381">
        <f t="shared" si="9"/>
        <v>100</v>
      </c>
      <c r="T44" s="1380" t="s">
        <v>8</v>
      </c>
      <c r="U44" s="1381">
        <f t="shared" si="10"/>
        <v>100</v>
      </c>
      <c r="V44" s="1380" t="s">
        <v>8</v>
      </c>
      <c r="W44" s="1381">
        <f t="shared" si="11"/>
        <v>100</v>
      </c>
      <c r="X44" s="1382"/>
      <c r="Y44" s="3868"/>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4"/>
      <c r="M45" s="1856"/>
      <c r="N45" s="1856"/>
      <c r="O45" s="1863"/>
      <c r="P45" s="3868"/>
      <c r="Q45" s="1384">
        <f t="shared" si="8"/>
        <v>111</v>
      </c>
      <c r="R45" s="1385" t="s">
        <v>8</v>
      </c>
      <c r="S45" s="1386">
        <f t="shared" si="9"/>
        <v>100</v>
      </c>
      <c r="T45" s="1385" t="s">
        <v>8</v>
      </c>
      <c r="U45" s="1386">
        <f t="shared" si="10"/>
        <v>100</v>
      </c>
      <c r="V45" s="1385" t="s">
        <v>8</v>
      </c>
      <c r="W45" s="1386">
        <f t="shared" si="11"/>
        <v>100</v>
      </c>
      <c r="X45" s="1379"/>
      <c r="Y45" s="3868"/>
      <c r="Z45" s="1387">
        <f t="shared" si="12"/>
        <v>111</v>
      </c>
      <c r="AA45" s="1388">
        <f t="shared" si="3"/>
        <v>1</v>
      </c>
      <c r="AB45" s="1388">
        <f t="shared" si="4"/>
        <v>1</v>
      </c>
      <c r="AC45" s="1388">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4"/>
      <c r="M46" s="1856"/>
      <c r="N46" s="1856"/>
      <c r="O46" s="1863"/>
      <c r="P46" s="3976"/>
      <c r="Q46" s="1384">
        <f t="shared" si="8"/>
        <v>111</v>
      </c>
      <c r="R46" s="1385" t="s">
        <v>7</v>
      </c>
      <c r="S46" s="1386">
        <f t="shared" si="9"/>
        <v>100</v>
      </c>
      <c r="T46" s="1385" t="s">
        <v>7</v>
      </c>
      <c r="U46" s="1386">
        <f t="shared" si="10"/>
        <v>100</v>
      </c>
      <c r="V46" s="1385" t="s">
        <v>7</v>
      </c>
      <c r="W46" s="1386">
        <f t="shared" si="11"/>
        <v>100</v>
      </c>
      <c r="X46" s="1379"/>
      <c r="Y46" s="3976"/>
      <c r="Z46" s="1387">
        <f t="shared" si="12"/>
        <v>111</v>
      </c>
      <c r="AA46" s="1388">
        <f t="shared" si="3"/>
        <v>1</v>
      </c>
      <c r="AB46" s="1388">
        <f t="shared" si="4"/>
        <v>1</v>
      </c>
      <c r="AC46" s="1388">
        <f t="shared" si="5"/>
        <v>1</v>
      </c>
    </row>
    <row r="47" spans="1:29" ht="15">
      <c r="A47" s="576" t="s">
        <v>683</v>
      </c>
      <c r="B47" s="849"/>
      <c r="C47" s="2233" t="s">
        <v>6</v>
      </c>
      <c r="D47" s="2234"/>
      <c r="E47" s="2235"/>
      <c r="F47" s="2236"/>
      <c r="G47" s="2237"/>
      <c r="H47" s="2238"/>
      <c r="I47" s="2235"/>
      <c r="J47" s="2238"/>
      <c r="K47" s="1414"/>
      <c r="L47" s="1866"/>
      <c r="M47" s="1867"/>
      <c r="N47" s="1856"/>
      <c r="O47" s="1867"/>
      <c r="P47" s="3863" t="str">
        <f>A47</f>
        <v>成交单价（元/平方米）</v>
      </c>
      <c r="Q47" s="3863"/>
      <c r="R47" s="3975">
        <f>E47</f>
        <v>0</v>
      </c>
      <c r="S47" s="3975"/>
      <c r="T47" s="3975">
        <f>G47</f>
        <v>0</v>
      </c>
      <c r="U47" s="3975"/>
      <c r="V47" s="3975">
        <f>I47</f>
        <v>0</v>
      </c>
      <c r="W47" s="3975"/>
      <c r="X47" s="1374"/>
      <c r="Y47" s="1393"/>
      <c r="Z47" s="1374"/>
      <c r="AA47" s="1374"/>
      <c r="AB47" s="1374"/>
      <c r="AC47" s="1374"/>
    </row>
    <row r="48" spans="1:29" ht="15.75" thickBot="1">
      <c r="A48" s="584"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863" t="str">
        <f>A48</f>
        <v>比较价格（元/平方米）</v>
      </c>
      <c r="Q48" s="3863"/>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1374"/>
      <c r="Y48" s="1374"/>
      <c r="Z48" s="1374"/>
      <c r="AA48" s="1374"/>
      <c r="AB48" s="1374"/>
      <c r="AC48" s="1374"/>
    </row>
    <row r="49" spans="1:29" ht="15.75" thickBot="1">
      <c r="A49" s="588" t="s">
        <v>2198</v>
      </c>
      <c r="B49" s="589"/>
      <c r="C49" s="2241" t="e">
        <f>R49</f>
        <v>#DIV/0!</v>
      </c>
      <c r="D49" s="2241"/>
      <c r="E49" s="2241"/>
      <c r="F49" s="2241"/>
      <c r="G49" s="2241"/>
      <c r="H49" s="2241"/>
      <c r="I49" s="2241"/>
      <c r="J49" s="2241"/>
      <c r="K49" s="1415"/>
      <c r="L49" s="1866"/>
      <c r="M49" s="1867"/>
      <c r="N49" s="1867"/>
      <c r="O49" s="1867"/>
      <c r="P49" s="3869" t="str">
        <f>A49</f>
        <v>估价对象XX用房的比较价格（楼面单价，元/平方米）</v>
      </c>
      <c r="Q49" s="3870"/>
      <c r="R49" s="3974" t="e">
        <f>IF(F1="售价",ROUND(IF(D48="简单平均",AVERAGE(R48:V48),R48*F48+T48*H48+V48*J48),0),ROUND(IF(D48="简单平均",AVERAGE(R48:V48),R48*F48+T48*H48+V48*J48),1))</f>
        <v>#DIV/0!</v>
      </c>
      <c r="S49" s="3974"/>
      <c r="T49" s="3974"/>
      <c r="U49" s="3974"/>
      <c r="V49" s="3974"/>
      <c r="W49" s="3974"/>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3" t="str">
        <f>YEAR(C7)&amp;"-"&amp;MONTH(C7)</f>
        <v>2024-3</v>
      </c>
      <c r="D58" s="2283">
        <f>EDATE(C58,-1)</f>
        <v>45323</v>
      </c>
      <c r="E58" s="2283">
        <f t="shared" ref="E58:O58" si="13">EDATE(D58,-1)</f>
        <v>45292</v>
      </c>
      <c r="F58" s="2283">
        <f t="shared" si="13"/>
        <v>45261</v>
      </c>
      <c r="G58" s="2283">
        <f t="shared" si="13"/>
        <v>45231</v>
      </c>
      <c r="H58" s="2283">
        <f t="shared" si="13"/>
        <v>45200</v>
      </c>
      <c r="I58" s="2283">
        <f t="shared" si="13"/>
        <v>45170</v>
      </c>
      <c r="J58" s="2283">
        <f t="shared" si="13"/>
        <v>45139</v>
      </c>
      <c r="K58" s="2283">
        <f t="shared" si="13"/>
        <v>45108</v>
      </c>
      <c r="L58" s="2283">
        <f t="shared" si="13"/>
        <v>45078</v>
      </c>
      <c r="M58" s="2283">
        <f t="shared" si="13"/>
        <v>45047</v>
      </c>
      <c r="N58" s="2283">
        <f t="shared" si="13"/>
        <v>45017</v>
      </c>
      <c r="O58" s="2283">
        <f t="shared" si="13"/>
        <v>44986</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7"/>
      <c r="N59" s="617"/>
      <c r="O59" s="617"/>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745"/>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59"/>
      <c r="E73" s="659"/>
      <c r="F73" s="659"/>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1841</v>
      </c>
      <c r="C82" s="2205" t="s">
        <v>1842</v>
      </c>
      <c r="D82" s="2205" t="s">
        <v>1843</v>
      </c>
      <c r="E82" s="2205" t="s">
        <v>1844</v>
      </c>
      <c r="F82" s="2205" t="s">
        <v>1845</v>
      </c>
      <c r="G82" s="2205" t="s">
        <v>1846</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1651" t="s">
        <v>1616</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
        <v>686</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道路级别</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59"/>
      <c r="D91" s="659"/>
      <c r="E91" s="659"/>
      <c r="F91" s="659"/>
      <c r="G91" s="659"/>
      <c r="H91" s="660"/>
      <c r="I91" s="660"/>
      <c r="J91" s="660"/>
      <c r="K91" s="660"/>
      <c r="L91" s="660"/>
      <c r="M91" s="661"/>
      <c r="N91" s="1888"/>
      <c r="O91" s="1888"/>
      <c r="P91" s="1889"/>
      <c r="Q91" s="1890"/>
      <c r="R91" s="1891"/>
      <c r="S91" s="1891"/>
      <c r="T91" s="1891"/>
      <c r="U91" s="1891"/>
      <c r="V91" s="1891"/>
      <c r="W91" s="1891"/>
      <c r="X91" s="1891"/>
      <c r="Y91" s="1891"/>
      <c r="Z91" s="1891"/>
      <c r="AA91" s="1891"/>
      <c r="AB91" s="1891"/>
      <c r="AC91" s="1891"/>
    </row>
    <row r="92" spans="1:29" ht="15.75" thickTop="1">
      <c r="A92" s="636"/>
      <c r="B92" s="640">
        <f>B28</f>
        <v>111</v>
      </c>
      <c r="C92" s="655"/>
      <c r="D92" s="655"/>
      <c r="E92" s="655"/>
      <c r="F92" s="655"/>
      <c r="G92" s="685"/>
      <c r="H92" s="685"/>
      <c r="I92" s="685"/>
      <c r="J92" s="685"/>
      <c r="K92" s="686"/>
      <c r="L92" s="687"/>
      <c r="M92" s="688"/>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59"/>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59"/>
      <c r="E95" s="659"/>
      <c r="F95" s="659"/>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67"/>
      <c r="D97" s="667"/>
      <c r="E97" s="667"/>
      <c r="F97" s="667"/>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89"/>
      <c r="D98" s="689"/>
      <c r="E98" s="689"/>
      <c r="F98" s="689"/>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93"/>
      <c r="D99" s="693"/>
      <c r="E99" s="693"/>
      <c r="F99" s="693"/>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687</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8"/>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690</v>
      </c>
      <c r="C107" s="685"/>
      <c r="D107" s="685"/>
      <c r="E107" s="68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691</v>
      </c>
      <c r="C109" s="655"/>
      <c r="D109" s="655"/>
      <c r="E109" s="65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5"/>
      <c r="B112" s="648"/>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693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1651" t="s">
        <v>1839</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694</v>
      </c>
      <c r="C118" s="685"/>
      <c r="D118" s="685"/>
      <c r="E118" s="685"/>
      <c r="F118" s="685"/>
      <c r="G118" s="685"/>
      <c r="H118" s="685"/>
      <c r="I118" s="685"/>
      <c r="J118" s="685"/>
      <c r="K118" s="686"/>
      <c r="L118" s="687"/>
      <c r="M118" s="68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5"/>
      <c r="B120" s="640" t="s">
        <v>680</v>
      </c>
      <c r="C120" s="655"/>
      <c r="D120" s="655"/>
      <c r="E120" s="655"/>
      <c r="F120" s="655"/>
      <c r="G120" s="655"/>
      <c r="H120" s="655"/>
      <c r="I120" s="655"/>
      <c r="J120" s="655"/>
      <c r="K120" s="655"/>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59"/>
      <c r="D121" s="638"/>
      <c r="E121" s="638"/>
      <c r="F121" s="638"/>
      <c r="G121" s="638"/>
      <c r="H121" s="638"/>
      <c r="I121" s="638"/>
      <c r="J121" s="638"/>
      <c r="K121" s="638"/>
      <c r="L121" s="638"/>
      <c r="M121" s="638"/>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697</v>
      </c>
      <c r="C1" s="473" t="s">
        <v>667</v>
      </c>
      <c r="D1" s="206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468</v>
      </c>
      <c r="B3" s="479"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1" t="s">
        <v>470</v>
      </c>
      <c r="B4" s="482"/>
      <c r="C4" s="3871" t="s">
        <v>471</v>
      </c>
      <c r="D4" s="3872"/>
      <c r="E4" s="3893" t="s">
        <v>472</v>
      </c>
      <c r="F4" s="3894"/>
      <c r="G4" s="3871" t="s">
        <v>473</v>
      </c>
      <c r="H4" s="3872"/>
      <c r="I4" s="3871" t="s">
        <v>474</v>
      </c>
      <c r="J4" s="3872"/>
      <c r="K4" s="483" t="s">
        <v>475</v>
      </c>
      <c r="L4" s="1855"/>
      <c r="M4" s="1856"/>
      <c r="N4" s="1856"/>
      <c r="O4" s="1856"/>
      <c r="P4" s="3873" t="s">
        <v>476</v>
      </c>
      <c r="Q4" s="3874"/>
      <c r="R4" s="3857" t="s">
        <v>472</v>
      </c>
      <c r="S4" s="3858"/>
      <c r="T4" s="3857" t="s">
        <v>473</v>
      </c>
      <c r="U4" s="3858"/>
      <c r="V4" s="3879" t="s">
        <v>474</v>
      </c>
      <c r="W4" s="3879"/>
      <c r="X4" s="1379"/>
      <c r="Y4" s="3857" t="s">
        <v>476</v>
      </c>
      <c r="Z4" s="3858"/>
      <c r="AA4" s="3852" t="s">
        <v>472</v>
      </c>
      <c r="AB4" s="3879" t="s">
        <v>473</v>
      </c>
      <c r="AC4" s="3852" t="s">
        <v>474</v>
      </c>
    </row>
    <row r="5" spans="1:29" ht="15">
      <c r="A5" s="484"/>
      <c r="B5" s="485"/>
      <c r="C5" s="3882" t="s">
        <v>2192</v>
      </c>
      <c r="D5" s="3883"/>
      <c r="E5" s="3895" t="s">
        <v>2193</v>
      </c>
      <c r="F5" s="3896"/>
      <c r="G5" s="3882" t="s">
        <v>2194</v>
      </c>
      <c r="H5" s="3883"/>
      <c r="I5" s="3882" t="s">
        <v>2195</v>
      </c>
      <c r="J5" s="3883"/>
      <c r="K5" s="483"/>
      <c r="L5" s="1855"/>
      <c r="M5" s="1856"/>
      <c r="N5" s="1856"/>
      <c r="O5" s="1856"/>
      <c r="P5" s="3875"/>
      <c r="Q5" s="3876"/>
      <c r="R5" s="3859"/>
      <c r="S5" s="3860"/>
      <c r="T5" s="3859"/>
      <c r="U5" s="3860"/>
      <c r="V5" s="3879"/>
      <c r="W5" s="3879"/>
      <c r="X5" s="1379"/>
      <c r="Y5" s="3859"/>
      <c r="Z5" s="3860"/>
      <c r="AA5" s="3853"/>
      <c r="AB5" s="3879"/>
      <c r="AC5" s="3853"/>
    </row>
    <row r="6" spans="1:29" ht="15.75" thickBot="1">
      <c r="A6" s="486"/>
      <c r="B6" s="487"/>
      <c r="C6" s="3880" t="s">
        <v>2196</v>
      </c>
      <c r="D6" s="3881"/>
      <c r="E6" s="3897" t="s">
        <v>2196</v>
      </c>
      <c r="F6" s="3898"/>
      <c r="G6" s="3880" t="s">
        <v>2196</v>
      </c>
      <c r="H6" s="3881"/>
      <c r="I6" s="3880" t="s">
        <v>2196</v>
      </c>
      <c r="J6" s="3881"/>
      <c r="K6" s="483" t="s">
        <v>477</v>
      </c>
      <c r="L6" s="1855"/>
      <c r="M6" s="1856"/>
      <c r="N6" s="1856"/>
      <c r="O6" s="1856"/>
      <c r="P6" s="3877"/>
      <c r="Q6" s="3878"/>
      <c r="R6" s="3859"/>
      <c r="S6" s="3860"/>
      <c r="T6" s="3861"/>
      <c r="U6" s="3862"/>
      <c r="V6" s="3879"/>
      <c r="W6" s="3879"/>
      <c r="X6" s="1379"/>
      <c r="Y6" s="3861"/>
      <c r="Z6" s="3862"/>
      <c r="AA6" s="3854"/>
      <c r="AB6" s="3879"/>
      <c r="AC6" s="3854"/>
    </row>
    <row r="7" spans="1:29" s="1117" customFormat="1" ht="15.75" thickBot="1">
      <c r="A7" s="2391"/>
      <c r="B7" s="2398" t="s">
        <v>478</v>
      </c>
      <c r="C7" s="488">
        <f>'数据-取费表'!B2</f>
        <v>45378</v>
      </c>
      <c r="D7" s="489">
        <v>100</v>
      </c>
      <c r="E7" s="490"/>
      <c r="F7" s="491">
        <f>SUMIF(58:58,YEAR(E7)&amp;"-"&amp;MONTH(E7),59:59)</f>
        <v>0</v>
      </c>
      <c r="G7" s="490"/>
      <c r="H7" s="489">
        <f>SUMIF(58:58,YEAR(G7)&amp;"-"&amp;MONTH(G7),59:59)</f>
        <v>0</v>
      </c>
      <c r="I7" s="490"/>
      <c r="J7" s="489">
        <f>SUMIF(58:58,YEAR(I7)&amp;"-"&amp;MONTH(I7),59:59)</f>
        <v>0</v>
      </c>
      <c r="K7" s="493"/>
      <c r="L7" s="1857"/>
      <c r="M7" s="1858"/>
      <c r="N7" s="1858"/>
      <c r="O7" s="1858"/>
      <c r="P7" s="3855" t="s">
        <v>479</v>
      </c>
      <c r="Q7" s="3864"/>
      <c r="R7" s="1380" t="s">
        <v>5</v>
      </c>
      <c r="S7" s="1381">
        <f t="shared" ref="S7:S15" si="0">F7</f>
        <v>0</v>
      </c>
      <c r="T7" s="1380" t="s">
        <v>5</v>
      </c>
      <c r="U7" s="1381">
        <f t="shared" ref="U7:U15" si="1">H7</f>
        <v>0</v>
      </c>
      <c r="V7" s="1380" t="s">
        <v>5</v>
      </c>
      <c r="W7" s="1381">
        <f t="shared" ref="W7:W15"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494"/>
      <c r="F8" s="491">
        <f>SUMIF(61:61,E8,62:62)-SUMIF(61:61,C8,62:62)+100</f>
        <v>0</v>
      </c>
      <c r="G8" s="494"/>
      <c r="H8" s="489">
        <f>SUMIF(61:61,G8,62:62)-SUMIF(61:61,C8,62:62)+100</f>
        <v>0</v>
      </c>
      <c r="I8" s="494"/>
      <c r="J8" s="489">
        <f>SUMIF(61:61,I8,62:62)-SUMIF(61:61,C8,62:62)+100</f>
        <v>0</v>
      </c>
      <c r="K8" s="493"/>
      <c r="L8" s="1857"/>
      <c r="M8" s="1858"/>
      <c r="N8" s="1858"/>
      <c r="O8" s="1858"/>
      <c r="P8" s="3855" t="s">
        <v>482</v>
      </c>
      <c r="Q8" s="3856"/>
      <c r="R8" s="1380" t="s">
        <v>5</v>
      </c>
      <c r="S8" s="1381">
        <f t="shared" si="0"/>
        <v>0</v>
      </c>
      <c r="T8" s="1380" t="s">
        <v>5</v>
      </c>
      <c r="U8" s="1381">
        <f t="shared" si="1"/>
        <v>0</v>
      </c>
      <c r="V8" s="1380" t="s">
        <v>5</v>
      </c>
      <c r="W8" s="1381">
        <f t="shared" si="2"/>
        <v>0</v>
      </c>
      <c r="X8" s="1382"/>
      <c r="Y8" s="3855" t="s">
        <v>482</v>
      </c>
      <c r="Z8" s="3856"/>
      <c r="AA8" s="1383" t="e">
        <f t="shared" ref="AA8:AA46" si="3">D8/F8</f>
        <v>#DIV/0!</v>
      </c>
      <c r="AB8" s="1383" t="e">
        <f t="shared" ref="AB8:AB46" si="4">D8/H8</f>
        <v>#DIV/0!</v>
      </c>
      <c r="AC8" s="1383" t="e">
        <f t="shared" ref="AC8:AC46" si="5">D8/J8</f>
        <v>#DIV/0!</v>
      </c>
    </row>
    <row r="9" spans="1:29" s="1117" customFormat="1" ht="15">
      <c r="A9" s="2393"/>
      <c r="B9" s="2400" t="s">
        <v>2038</v>
      </c>
      <c r="C9" s="821"/>
      <c r="D9" s="244">
        <v>100</v>
      </c>
      <c r="E9" s="824"/>
      <c r="F9" s="244">
        <f>SUMIF(63:63,E9,64:64)-SUMIF(63:63,C9,64:64)+100</f>
        <v>100</v>
      </c>
      <c r="G9" s="822"/>
      <c r="H9" s="244">
        <f>SUMIF(63:63,G9,64:64)-SUMIF(63:63,C9,64:64)+100</f>
        <v>100</v>
      </c>
      <c r="I9" s="822"/>
      <c r="J9" s="244">
        <f>SUMIF(63:63,I9,64:64)-SUMIF(63:63,C9,64:64)+100</f>
        <v>100</v>
      </c>
      <c r="K9" s="493"/>
      <c r="L9" s="1857"/>
      <c r="M9" s="1858"/>
      <c r="N9" s="1858"/>
      <c r="O9" s="1859"/>
      <c r="P9" s="3863" t="s">
        <v>484</v>
      </c>
      <c r="Q9" s="1049" t="str">
        <f t="shared" ref="Q9:Q15" si="6">B9</f>
        <v>用途</v>
      </c>
      <c r="R9" s="1380" t="s">
        <v>5</v>
      </c>
      <c r="S9" s="1381">
        <f t="shared" si="0"/>
        <v>100</v>
      </c>
      <c r="T9" s="1380" t="s">
        <v>5</v>
      </c>
      <c r="U9" s="1381">
        <f t="shared" si="1"/>
        <v>100</v>
      </c>
      <c r="V9" s="1380" t="s">
        <v>5</v>
      </c>
      <c r="W9" s="1381">
        <f t="shared" si="2"/>
        <v>100</v>
      </c>
      <c r="X9" s="1382"/>
      <c r="Y9" s="3811"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SUMIF(65:65,E10,66:66)-SUMIF(65:65,C10,66:66)+100</f>
        <v>100</v>
      </c>
      <c r="G10" s="3660"/>
      <c r="H10" s="245">
        <f>SUMIF(65:65,G10,66:66)-SUMIF(65:65,C10,66:66)+100</f>
        <v>100</v>
      </c>
      <c r="I10" s="3659"/>
      <c r="J10" s="245">
        <f>SUMIF(65:65,I10,66:66)-SUMIF(65:65,C10,66:66)+100</f>
        <v>100</v>
      </c>
      <c r="K10" s="493"/>
      <c r="L10" s="1860"/>
      <c r="M10" s="1899"/>
      <c r="N10" s="1899"/>
      <c r="O10" s="1861"/>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2"/>
      <c r="M11" s="1856"/>
      <c r="N11" s="1856"/>
      <c r="O11" s="1863"/>
      <c r="P11" s="3863"/>
      <c r="Q11" s="1049" t="str">
        <f t="shared" si="6"/>
        <v>容积率</v>
      </c>
      <c r="R11" s="1380" t="s">
        <v>5</v>
      </c>
      <c r="S11" s="1381" t="e">
        <f t="shared" si="0"/>
        <v>#N/A</v>
      </c>
      <c r="T11" s="1380" t="s">
        <v>5</v>
      </c>
      <c r="U11" s="1381" t="e">
        <f t="shared" si="1"/>
        <v>#N/A</v>
      </c>
      <c r="V11" s="1380" t="s">
        <v>5</v>
      </c>
      <c r="W11" s="1381" t="e">
        <f t="shared" si="2"/>
        <v>#N/A</v>
      </c>
      <c r="X11" s="1382"/>
      <c r="Y11" s="3811"/>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SUMIF(70:70,E12,71:71)-SUMIF(70:70,C12,71:71)+100</f>
        <v>100</v>
      </c>
      <c r="G12" s="874"/>
      <c r="H12" s="245">
        <f>SUMIF(70:70,G12,71:71)-SUMIF(70:70,C12,71:71)+100</f>
        <v>100</v>
      </c>
      <c r="I12" s="508"/>
      <c r="J12" s="245">
        <f>SUMIF(70:70,I12,71:71)-SUMIF(70:70,C12,71:71)+100</f>
        <v>100</v>
      </c>
      <c r="K12" s="550"/>
      <c r="L12" s="1857"/>
      <c r="M12" s="1858"/>
      <c r="N12" s="1858"/>
      <c r="O12" s="1859"/>
      <c r="P12" s="3863"/>
      <c r="Q12" s="1049">
        <f t="shared" si="6"/>
        <v>111</v>
      </c>
      <c r="R12" s="1380" t="s">
        <v>5</v>
      </c>
      <c r="S12" s="1381">
        <f t="shared" si="0"/>
        <v>100</v>
      </c>
      <c r="T12" s="1380" t="s">
        <v>5</v>
      </c>
      <c r="U12" s="1381">
        <f t="shared" si="1"/>
        <v>100</v>
      </c>
      <c r="V12" s="1380" t="s">
        <v>5</v>
      </c>
      <c r="W12" s="1381">
        <f t="shared" si="2"/>
        <v>100</v>
      </c>
      <c r="X12" s="1382"/>
      <c r="Y12" s="3811"/>
      <c r="Z12" s="1048">
        <f t="shared" si="7"/>
        <v>111</v>
      </c>
      <c r="AA12" s="1383">
        <f>D12/F12</f>
        <v>1</v>
      </c>
      <c r="AB12" s="1383">
        <f>D12/H12</f>
        <v>1</v>
      </c>
      <c r="AC12" s="1383">
        <f>D12/J12</f>
        <v>1</v>
      </c>
    </row>
    <row r="13" spans="1:29" ht="15">
      <c r="A13" s="2396"/>
      <c r="B13" s="2402">
        <v>111</v>
      </c>
      <c r="C13" s="508"/>
      <c r="D13" s="509">
        <v>100</v>
      </c>
      <c r="E13" s="508"/>
      <c r="F13" s="245">
        <f>SUMIF(72:72,E13,73:73)-SUMIF(72:72,C13,73:73)+100</f>
        <v>100</v>
      </c>
      <c r="G13" s="874"/>
      <c r="H13" s="509">
        <f>SUMIF(72:72,G13,73:73)-SUMIF(72:72,C13,73:73)+100</f>
        <v>100</v>
      </c>
      <c r="I13" s="508"/>
      <c r="J13" s="509">
        <f>SUMIF(72:72,I13,73:73)-SUMIF(72:72,C13,73:73)+100</f>
        <v>100</v>
      </c>
      <c r="K13" s="550"/>
      <c r="L13" s="1864"/>
      <c r="M13" s="1856"/>
      <c r="N13" s="1856"/>
      <c r="O13" s="1863"/>
      <c r="P13" s="3863"/>
      <c r="Q13" s="1049">
        <f t="shared" si="6"/>
        <v>111</v>
      </c>
      <c r="R13" s="1380" t="s">
        <v>5</v>
      </c>
      <c r="S13" s="1381">
        <f t="shared" si="0"/>
        <v>100</v>
      </c>
      <c r="T13" s="1380" t="s">
        <v>5</v>
      </c>
      <c r="U13" s="1381">
        <f t="shared" si="1"/>
        <v>100</v>
      </c>
      <c r="V13" s="1380" t="s">
        <v>5</v>
      </c>
      <c r="W13" s="1381">
        <f t="shared" si="2"/>
        <v>100</v>
      </c>
      <c r="X13" s="1382"/>
      <c r="Y13" s="3811"/>
      <c r="Z13" s="1048">
        <f t="shared" si="7"/>
        <v>111</v>
      </c>
      <c r="AA13" s="1383">
        <f t="shared" si="3"/>
        <v>1</v>
      </c>
      <c r="AB13" s="1383">
        <f t="shared" si="4"/>
        <v>1</v>
      </c>
      <c r="AC13" s="1383">
        <f t="shared" si="5"/>
        <v>1</v>
      </c>
    </row>
    <row r="14" spans="1:29" ht="15.75" thickBot="1">
      <c r="A14" s="2397"/>
      <c r="B14" s="2403">
        <v>111</v>
      </c>
      <c r="C14" s="514"/>
      <c r="D14" s="515">
        <v>100</v>
      </c>
      <c r="E14" s="514"/>
      <c r="F14" s="515">
        <f>SUMIF(74:74,E14,75:75)-SUMIF(74:74,C14,75:75)+100</f>
        <v>100</v>
      </c>
      <c r="G14" s="874"/>
      <c r="H14" s="515">
        <f>SUMIF(74:74,G14,75:75)-SUMIF(74:74,C14,75:75)+100</f>
        <v>100</v>
      </c>
      <c r="I14" s="508"/>
      <c r="J14" s="515">
        <f>SUMIF(74:74,I14,75:75)-SUMIF(74:74,C14,75:75)+100</f>
        <v>100</v>
      </c>
      <c r="K14" s="550"/>
      <c r="L14" s="1864"/>
      <c r="M14" s="1856"/>
      <c r="N14" s="1856"/>
      <c r="O14" s="1863"/>
      <c r="P14" s="3863"/>
      <c r="Q14" s="1049">
        <f t="shared" si="6"/>
        <v>111</v>
      </c>
      <c r="R14" s="1380" t="s">
        <v>5</v>
      </c>
      <c r="S14" s="1381">
        <f t="shared" si="0"/>
        <v>100</v>
      </c>
      <c r="T14" s="1380" t="s">
        <v>5</v>
      </c>
      <c r="U14" s="1381">
        <f t="shared" si="1"/>
        <v>100</v>
      </c>
      <c r="V14" s="1380" t="s">
        <v>5</v>
      </c>
      <c r="W14" s="1381">
        <f t="shared" si="2"/>
        <v>100</v>
      </c>
      <c r="X14" s="1382"/>
      <c r="Y14" s="3811"/>
      <c r="Z14" s="1048">
        <f t="shared" si="7"/>
        <v>111</v>
      </c>
      <c r="AA14" s="1383">
        <f t="shared" si="3"/>
        <v>1</v>
      </c>
      <c r="AB14" s="1383">
        <f t="shared" si="4"/>
        <v>1</v>
      </c>
      <c r="AC14" s="1383">
        <f t="shared" si="5"/>
        <v>1</v>
      </c>
    </row>
    <row r="15" spans="1:29" ht="71.25">
      <c r="A15" s="2389" t="s">
        <v>2036</v>
      </c>
      <c r="B15" s="159" t="s">
        <v>490</v>
      </c>
      <c r="C15" s="829" t="str">
        <f>估价对象房地状况!C4</f>
        <v>估价对象位于XX商圈，周边商业氛围成熟，人流量大，商业繁华度好</v>
      </c>
      <c r="D15" s="518">
        <v>100</v>
      </c>
      <c r="E15" s="519"/>
      <c r="F15" s="520">
        <f>SUMIF(76:76,E16,77:77)-SUMIF(76:76,C16,77:77)+100</f>
        <v>100</v>
      </c>
      <c r="G15" s="521"/>
      <c r="H15" s="518">
        <f>SUMIF(76:76,G16,77:77)-SUMIF(76:76,C16,77:77)+100</f>
        <v>100</v>
      </c>
      <c r="I15" s="519"/>
      <c r="J15" s="518">
        <f>SUMIF(76:76,I16,77:77)-SUMIF(76:76,C16,77:77)+100</f>
        <v>100</v>
      </c>
      <c r="K15" s="860"/>
      <c r="L15" s="1864"/>
      <c r="M15" s="1856"/>
      <c r="N15" s="1856"/>
      <c r="O15" s="1863"/>
      <c r="P15" s="3865" t="s">
        <v>489</v>
      </c>
      <c r="Q15" s="1384" t="str">
        <f t="shared" si="6"/>
        <v>商业繁华度</v>
      </c>
      <c r="R15" s="1385" t="s">
        <v>5</v>
      </c>
      <c r="S15" s="1386">
        <f t="shared" si="0"/>
        <v>100</v>
      </c>
      <c r="T15" s="1385" t="s">
        <v>5</v>
      </c>
      <c r="U15" s="1386">
        <f t="shared" si="1"/>
        <v>100</v>
      </c>
      <c r="V15" s="1385" t="s">
        <v>5</v>
      </c>
      <c r="W15" s="1386">
        <f t="shared" si="2"/>
        <v>100</v>
      </c>
      <c r="X15" s="1379"/>
      <c r="Y15" s="3865" t="s">
        <v>489</v>
      </c>
      <c r="Z15" s="1387" t="str">
        <f t="shared" si="7"/>
        <v>商业繁华度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866"/>
      <c r="Q16" s="1384"/>
      <c r="R16" s="1385"/>
      <c r="S16" s="1386"/>
      <c r="T16" s="1385"/>
      <c r="U16" s="1386"/>
      <c r="V16" s="1385"/>
      <c r="W16" s="1386"/>
      <c r="X16" s="1379"/>
      <c r="Y16" s="3866"/>
      <c r="Z16" s="1387"/>
      <c r="AA16" s="1388">
        <v>1</v>
      </c>
      <c r="AB16" s="1388">
        <v>1</v>
      </c>
      <c r="AC16" s="1388">
        <v>1</v>
      </c>
    </row>
    <row r="17" spans="1:29" ht="85.5">
      <c r="A17" s="501"/>
      <c r="B17" s="833" t="s">
        <v>262</v>
      </c>
      <c r="C17" s="834" t="str">
        <f>估价对象房地状况!C6</f>
        <v>估价对象周边道路状况、公共交通通达情况、停车便捷程度，综合评价交通便捷度较好</v>
      </c>
      <c r="D17" s="528">
        <v>100</v>
      </c>
      <c r="E17" s="531"/>
      <c r="F17" s="532">
        <f>SUMIF(78:78,E18,79:79)-SUMIF(78:78,C18,79:79)+100</f>
        <v>100</v>
      </c>
      <c r="G17" s="533"/>
      <c r="H17" s="534">
        <f>SUMIF(78:78,G18,79:79)-SUMIF(78:78,C18,79:79)+100</f>
        <v>100</v>
      </c>
      <c r="I17" s="531"/>
      <c r="J17" s="534">
        <f>SUMIF(78:78,I18,79:79)-SUMIF(78:78,C18,79:79)+100</f>
        <v>100</v>
      </c>
      <c r="K17" s="860"/>
      <c r="L17" s="1864"/>
      <c r="M17" s="1856"/>
      <c r="N17" s="1856"/>
      <c r="O17" s="1863"/>
      <c r="P17" s="3866"/>
      <c r="Q17" s="1384" t="str">
        <f>B17</f>
        <v>交通便捷度</v>
      </c>
      <c r="R17" s="1385" t="s">
        <v>5</v>
      </c>
      <c r="S17" s="1386">
        <f>F17</f>
        <v>100</v>
      </c>
      <c r="T17" s="1385" t="s">
        <v>5</v>
      </c>
      <c r="U17" s="1386">
        <f>H17</f>
        <v>100</v>
      </c>
      <c r="V17" s="1385" t="s">
        <v>5</v>
      </c>
      <c r="W17" s="1386">
        <f>J17</f>
        <v>100</v>
      </c>
      <c r="X17" s="1379"/>
      <c r="Y17" s="386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866"/>
      <c r="Q18" s="1384"/>
      <c r="R18" s="1385"/>
      <c r="S18" s="1386"/>
      <c r="T18" s="1385"/>
      <c r="U18" s="1386"/>
      <c r="V18" s="1385"/>
      <c r="W18" s="1386"/>
      <c r="X18" s="1379"/>
      <c r="Y18" s="3866"/>
      <c r="Z18" s="1387"/>
      <c r="AA18" s="1388">
        <v>1</v>
      </c>
      <c r="AB18" s="1388">
        <v>1</v>
      </c>
      <c r="AC18" s="1388">
        <v>1</v>
      </c>
    </row>
    <row r="19" spans="1:29" ht="42.75">
      <c r="A19" s="501"/>
      <c r="B19" s="2207"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60"/>
      <c r="L19" s="1864"/>
      <c r="M19" s="1856"/>
      <c r="N19" s="1856"/>
      <c r="O19" s="1863"/>
      <c r="P19" s="3866"/>
      <c r="Q19" s="1384" t="str">
        <f>B19</f>
        <v>公共配套设施</v>
      </c>
      <c r="R19" s="1385" t="s">
        <v>5</v>
      </c>
      <c r="S19" s="1386">
        <f>F19</f>
        <v>100</v>
      </c>
      <c r="T19" s="1385" t="s">
        <v>5</v>
      </c>
      <c r="U19" s="1386">
        <f>H19</f>
        <v>100</v>
      </c>
      <c r="V19" s="1385" t="s">
        <v>5</v>
      </c>
      <c r="W19" s="1386">
        <f>J19</f>
        <v>100</v>
      </c>
      <c r="X19" s="1379"/>
      <c r="Y19" s="3866"/>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61"/>
      <c r="L20" s="1864"/>
      <c r="M20" s="1856"/>
      <c r="N20" s="1856"/>
      <c r="O20" s="1863"/>
      <c r="P20" s="3866"/>
      <c r="Q20" s="1384"/>
      <c r="R20" s="1385"/>
      <c r="S20" s="1386"/>
      <c r="T20" s="1385"/>
      <c r="U20" s="1386"/>
      <c r="V20" s="1385"/>
      <c r="W20" s="1386"/>
      <c r="X20" s="1379"/>
      <c r="Y20" s="3866"/>
      <c r="Z20" s="1387"/>
      <c r="AA20" s="1388">
        <v>1</v>
      </c>
      <c r="AB20" s="1388">
        <v>1</v>
      </c>
      <c r="AC20" s="1388">
        <v>1</v>
      </c>
    </row>
    <row r="21" spans="1:29" ht="28.5">
      <c r="A21" s="501"/>
      <c r="B21" s="2200"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60"/>
      <c r="L21" s="1864"/>
      <c r="M21" s="1856"/>
      <c r="N21" s="1856"/>
      <c r="O21" s="1863"/>
      <c r="P21" s="3866"/>
      <c r="Q21" s="2192" t="str">
        <f>B21</f>
        <v>基础设施水平</v>
      </c>
      <c r="R21" s="1385" t="s">
        <v>5</v>
      </c>
      <c r="S21" s="1386">
        <f>F21</f>
        <v>100</v>
      </c>
      <c r="T21" s="1385" t="s">
        <v>5</v>
      </c>
      <c r="U21" s="1386">
        <f>H21</f>
        <v>100</v>
      </c>
      <c r="V21" s="1385" t="s">
        <v>5</v>
      </c>
      <c r="W21" s="1386">
        <f>J21</f>
        <v>100</v>
      </c>
      <c r="X21" s="2194"/>
      <c r="Y21" s="3866"/>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9"/>
      <c r="L22" s="1864"/>
      <c r="M22" s="1856"/>
      <c r="N22" s="1856"/>
      <c r="O22" s="1863"/>
      <c r="P22" s="3866"/>
      <c r="Q22" s="2192"/>
      <c r="R22" s="1385"/>
      <c r="S22" s="1386"/>
      <c r="T22" s="1385"/>
      <c r="U22" s="1386"/>
      <c r="V22" s="1385"/>
      <c r="W22" s="1386"/>
      <c r="X22" s="2194"/>
      <c r="Y22" s="3866"/>
      <c r="Z22" s="2193"/>
      <c r="AA22" s="1388">
        <v>1</v>
      </c>
      <c r="AB22" s="1388">
        <v>1</v>
      </c>
      <c r="AC22" s="1388">
        <v>1</v>
      </c>
    </row>
    <row r="23" spans="1:29" ht="57">
      <c r="A23" s="501"/>
      <c r="B23" s="833" t="s">
        <v>263</v>
      </c>
      <c r="C23" s="862"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60"/>
      <c r="L23" s="1864"/>
      <c r="M23" s="1856"/>
      <c r="N23" s="1856"/>
      <c r="O23" s="1863"/>
      <c r="P23" s="3866"/>
      <c r="Q23" s="1384" t="str">
        <f>B23</f>
        <v>自然及人文环境</v>
      </c>
      <c r="R23" s="1385" t="s">
        <v>5</v>
      </c>
      <c r="S23" s="1386">
        <f>F23</f>
        <v>100</v>
      </c>
      <c r="T23" s="1385" t="s">
        <v>5</v>
      </c>
      <c r="U23" s="1386">
        <f>H23</f>
        <v>100</v>
      </c>
      <c r="V23" s="1385" t="s">
        <v>5</v>
      </c>
      <c r="W23" s="1386">
        <f>J23</f>
        <v>100</v>
      </c>
      <c r="X23" s="1379"/>
      <c r="Y23" s="3866"/>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61"/>
      <c r="L24" s="1864"/>
      <c r="M24" s="1856"/>
      <c r="N24" s="1856"/>
      <c r="O24" s="1863"/>
      <c r="P24" s="3866"/>
      <c r="Q24" s="1384"/>
      <c r="R24" s="1385"/>
      <c r="S24" s="1386"/>
      <c r="T24" s="1385"/>
      <c r="U24" s="1386"/>
      <c r="V24" s="1385"/>
      <c r="W24" s="1386"/>
      <c r="X24" s="1379"/>
      <c r="Y24" s="3866"/>
      <c r="Z24" s="1387"/>
      <c r="AA24" s="1388">
        <v>1</v>
      </c>
      <c r="AB24" s="1388">
        <v>1</v>
      </c>
      <c r="AC24" s="1388">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4"/>
      <c r="M25" s="1856"/>
      <c r="N25" s="1856"/>
      <c r="O25" s="1863"/>
      <c r="P25" s="3866"/>
      <c r="Q25" s="1384" t="str">
        <f t="shared" ref="Q25:Q46" si="8">B25</f>
        <v>临街状况</v>
      </c>
      <c r="R25" s="1385" t="s">
        <v>5</v>
      </c>
      <c r="S25" s="1386">
        <f>F25</f>
        <v>100</v>
      </c>
      <c r="T25" s="1385" t="s">
        <v>5</v>
      </c>
      <c r="U25" s="1386">
        <f>H25</f>
        <v>100</v>
      </c>
      <c r="V25" s="1385" t="s">
        <v>5</v>
      </c>
      <c r="W25" s="1386">
        <f>J25</f>
        <v>100</v>
      </c>
      <c r="X25" s="1379"/>
      <c r="Y25" s="3866"/>
      <c r="Z25" s="1387" t="str">
        <f>Q25</f>
        <v>临街状况</v>
      </c>
      <c r="AA25" s="1388">
        <f t="shared" si="3"/>
        <v>1</v>
      </c>
      <c r="AB25" s="1388">
        <f t="shared" si="4"/>
        <v>1</v>
      </c>
      <c r="AC25" s="1388">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4"/>
      <c r="M26" s="1856"/>
      <c r="N26" s="1856"/>
      <c r="O26" s="1863"/>
      <c r="P26" s="3866"/>
      <c r="Q26" s="1384" t="str">
        <f t="shared" si="8"/>
        <v>平面位置/可视性</v>
      </c>
      <c r="R26" s="1385" t="s">
        <v>5</v>
      </c>
      <c r="S26" s="1386">
        <f>F26</f>
        <v>100</v>
      </c>
      <c r="T26" s="1385" t="s">
        <v>5</v>
      </c>
      <c r="U26" s="1386">
        <f>H26</f>
        <v>100</v>
      </c>
      <c r="V26" s="1385" t="s">
        <v>5</v>
      </c>
      <c r="W26" s="1386">
        <f>J26</f>
        <v>100</v>
      </c>
      <c r="X26" s="1379"/>
      <c r="Y26" s="3866"/>
      <c r="Z26" s="1387" t="str">
        <f>Q26</f>
        <v>平面位置/可视性</v>
      </c>
      <c r="AA26" s="1388">
        <f t="shared" si="3"/>
        <v>1</v>
      </c>
      <c r="AB26" s="1388">
        <f t="shared" si="4"/>
        <v>1</v>
      </c>
      <c r="AC26" s="1388">
        <f t="shared" si="5"/>
        <v>1</v>
      </c>
    </row>
    <row r="27" spans="1:29" s="1117" customFormat="1" ht="15">
      <c r="A27" s="505"/>
      <c r="B27" s="833" t="s">
        <v>699</v>
      </c>
      <c r="C27" s="863"/>
      <c r="D27" s="837">
        <v>100</v>
      </c>
      <c r="E27" s="863"/>
      <c r="F27" s="838">
        <f>SUMIF(90:90,E27,91:91)-SUMIF(90:90,C27,91:91)+100</f>
        <v>100</v>
      </c>
      <c r="G27" s="863"/>
      <c r="H27" s="837">
        <f>SUMIF(90:90,G27,91:91)-SUMIF(90:90,C27,91:91)+100</f>
        <v>100</v>
      </c>
      <c r="I27" s="863"/>
      <c r="J27" s="837">
        <f>SUMIF(90:90,I27,91:91)-SUMIF(90:90,C27,91:91)+100</f>
        <v>100</v>
      </c>
      <c r="K27" s="553"/>
      <c r="L27" s="1857"/>
      <c r="M27" s="1858"/>
      <c r="N27" s="1858"/>
      <c r="O27" s="1859"/>
      <c r="P27" s="3866"/>
      <c r="Q27" s="1049" t="str">
        <f t="shared" si="8"/>
        <v>人流量</v>
      </c>
      <c r="R27" s="1380" t="s">
        <v>5</v>
      </c>
      <c r="S27" s="1381">
        <f>F27</f>
        <v>100</v>
      </c>
      <c r="T27" s="1380" t="s">
        <v>5</v>
      </c>
      <c r="U27" s="1381">
        <f>H27</f>
        <v>100</v>
      </c>
      <c r="V27" s="1380" t="s">
        <v>5</v>
      </c>
      <c r="W27" s="1381">
        <f>J27</f>
        <v>100</v>
      </c>
      <c r="X27" s="1382"/>
      <c r="Y27" s="3866"/>
      <c r="Z27" s="1048" t="str">
        <f>Q27</f>
        <v>人流量</v>
      </c>
      <c r="AA27" s="1388">
        <f>D27/F27</f>
        <v>1</v>
      </c>
      <c r="AB27" s="1388">
        <f>D27/H27</f>
        <v>1</v>
      </c>
      <c r="AC27" s="1388">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4"/>
      <c r="M28" s="1856"/>
      <c r="N28" s="1856"/>
      <c r="O28" s="1863"/>
      <c r="P28" s="386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66"/>
      <c r="Z28" s="1387" t="str">
        <f t="shared" ref="Z28:Z46" si="12">Q28</f>
        <v>楼层</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4"/>
      <c r="M29" s="1856"/>
      <c r="N29" s="1856"/>
      <c r="O29" s="1863"/>
      <c r="P29" s="3866"/>
      <c r="Q29" s="1384">
        <f t="shared" si="8"/>
        <v>111</v>
      </c>
      <c r="R29" s="1385" t="s">
        <v>5</v>
      </c>
      <c r="S29" s="1386">
        <f t="shared" si="9"/>
        <v>100</v>
      </c>
      <c r="T29" s="1385" t="s">
        <v>5</v>
      </c>
      <c r="U29" s="1386">
        <f t="shared" si="10"/>
        <v>100</v>
      </c>
      <c r="V29" s="1385" t="s">
        <v>5</v>
      </c>
      <c r="W29" s="1386">
        <f t="shared" si="11"/>
        <v>100</v>
      </c>
      <c r="X29" s="1379"/>
      <c r="Y29" s="3866"/>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4"/>
      <c r="M30" s="1856"/>
      <c r="N30" s="1856"/>
      <c r="O30" s="1863"/>
      <c r="P30" s="3866"/>
      <c r="Q30" s="1384">
        <f t="shared" si="8"/>
        <v>111</v>
      </c>
      <c r="R30" s="1385" t="s">
        <v>5</v>
      </c>
      <c r="S30" s="1386">
        <f t="shared" si="9"/>
        <v>100</v>
      </c>
      <c r="T30" s="1385" t="s">
        <v>5</v>
      </c>
      <c r="U30" s="1386">
        <f t="shared" si="10"/>
        <v>100</v>
      </c>
      <c r="V30" s="1385" t="s">
        <v>5</v>
      </c>
      <c r="W30" s="1386">
        <f t="shared" si="11"/>
        <v>100</v>
      </c>
      <c r="X30" s="1379"/>
      <c r="Y30" s="3866"/>
      <c r="Z30" s="1387">
        <f t="shared" si="12"/>
        <v>111</v>
      </c>
      <c r="AA30" s="1388">
        <f t="shared" si="3"/>
        <v>1</v>
      </c>
      <c r="AB30" s="1388">
        <f t="shared" si="4"/>
        <v>1</v>
      </c>
      <c r="AC30" s="1388">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4"/>
      <c r="M31" s="1856"/>
      <c r="N31" s="1856"/>
      <c r="O31" s="1863"/>
      <c r="P31" s="3866"/>
      <c r="Q31" s="1384">
        <f t="shared" si="8"/>
        <v>111</v>
      </c>
      <c r="R31" s="1385" t="s">
        <v>5</v>
      </c>
      <c r="S31" s="1386">
        <f t="shared" si="9"/>
        <v>100</v>
      </c>
      <c r="T31" s="1385" t="s">
        <v>5</v>
      </c>
      <c r="U31" s="1386">
        <f t="shared" si="10"/>
        <v>100</v>
      </c>
      <c r="V31" s="1385" t="s">
        <v>5</v>
      </c>
      <c r="W31" s="1386">
        <f t="shared" si="11"/>
        <v>100</v>
      </c>
      <c r="X31" s="1379"/>
      <c r="Y31" s="3866"/>
      <c r="Z31" s="1387">
        <f t="shared" si="12"/>
        <v>111</v>
      </c>
      <c r="AA31" s="1388">
        <f t="shared" si="3"/>
        <v>1</v>
      </c>
      <c r="AB31" s="1388">
        <f t="shared" si="4"/>
        <v>1</v>
      </c>
      <c r="AC31" s="1388">
        <f t="shared" si="5"/>
        <v>1</v>
      </c>
    </row>
    <row r="32" spans="1:29" ht="15">
      <c r="A32" s="2386"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4"/>
      <c r="M32" s="1856"/>
      <c r="N32" s="1856"/>
      <c r="O32" s="1863"/>
      <c r="P32" s="3867" t="s">
        <v>499</v>
      </c>
      <c r="Q32" s="1384" t="str">
        <f t="shared" si="8"/>
        <v>商业类型</v>
      </c>
      <c r="R32" s="1385" t="s">
        <v>5</v>
      </c>
      <c r="S32" s="1386">
        <f t="shared" si="9"/>
        <v>100</v>
      </c>
      <c r="T32" s="1385" t="s">
        <v>5</v>
      </c>
      <c r="U32" s="1386">
        <f t="shared" si="10"/>
        <v>100</v>
      </c>
      <c r="V32" s="1385" t="s">
        <v>5</v>
      </c>
      <c r="W32" s="1386">
        <f t="shared" si="11"/>
        <v>100</v>
      </c>
      <c r="X32" s="1379"/>
      <c r="Y32" s="3868" t="s">
        <v>499</v>
      </c>
      <c r="Z32" s="1387" t="str">
        <f t="shared" si="12"/>
        <v>商业类型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2"/>
      <c r="M33" s="1892"/>
      <c r="N33" s="1892"/>
      <c r="O33" s="1865"/>
      <c r="P33" s="3868"/>
      <c r="Q33" s="1413" t="str">
        <f t="shared" si="8"/>
        <v>项目建筑规模</v>
      </c>
      <c r="R33" s="1389" t="s">
        <v>5</v>
      </c>
      <c r="S33" s="1390" t="e">
        <f t="shared" si="9"/>
        <v>#N/A</v>
      </c>
      <c r="T33" s="1389" t="s">
        <v>5</v>
      </c>
      <c r="U33" s="1390" t="e">
        <f t="shared" si="10"/>
        <v>#N/A</v>
      </c>
      <c r="V33" s="1389" t="s">
        <v>5</v>
      </c>
      <c r="W33" s="1390" t="e">
        <f t="shared" si="11"/>
        <v>#N/A</v>
      </c>
      <c r="X33" s="1391"/>
      <c r="Y33" s="3868"/>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4"/>
      <c r="M34" s="1856"/>
      <c r="N34" s="1856"/>
      <c r="O34" s="1863"/>
      <c r="P34" s="3868"/>
      <c r="Q34" s="1384" t="str">
        <f t="shared" si="8"/>
        <v>建筑结构</v>
      </c>
      <c r="R34" s="1385" t="s">
        <v>5</v>
      </c>
      <c r="S34" s="1386">
        <f t="shared" si="9"/>
        <v>100</v>
      </c>
      <c r="T34" s="1385" t="s">
        <v>5</v>
      </c>
      <c r="U34" s="1386">
        <f t="shared" si="10"/>
        <v>100</v>
      </c>
      <c r="V34" s="1385" t="s">
        <v>5</v>
      </c>
      <c r="W34" s="1386">
        <f t="shared" si="11"/>
        <v>100</v>
      </c>
      <c r="X34" s="1379"/>
      <c r="Y34" s="3868"/>
      <c r="Z34" s="1387" t="str">
        <f t="shared" si="12"/>
        <v>建筑结构</v>
      </c>
      <c r="AA34" s="1388">
        <f t="shared" si="3"/>
        <v>1</v>
      </c>
      <c r="AB34" s="1388">
        <f t="shared" si="4"/>
        <v>1</v>
      </c>
      <c r="AC34" s="1388">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4"/>
      <c r="M35" s="1856"/>
      <c r="N35" s="1856"/>
      <c r="O35" s="1863"/>
      <c r="P35" s="3868"/>
      <c r="Q35" s="1384" t="str">
        <f t="shared" si="8"/>
        <v>公共部分装修</v>
      </c>
      <c r="R35" s="1385" t="s">
        <v>5</v>
      </c>
      <c r="S35" s="1386">
        <f t="shared" si="9"/>
        <v>100</v>
      </c>
      <c r="T35" s="1385" t="s">
        <v>5</v>
      </c>
      <c r="U35" s="1386">
        <f t="shared" si="10"/>
        <v>100</v>
      </c>
      <c r="V35" s="1385" t="s">
        <v>5</v>
      </c>
      <c r="W35" s="1386">
        <f t="shared" si="11"/>
        <v>100</v>
      </c>
      <c r="X35" s="1379"/>
      <c r="Y35" s="3868"/>
      <c r="Z35" s="1387" t="str">
        <f t="shared" si="12"/>
        <v>公共部分装修</v>
      </c>
      <c r="AA35" s="1388">
        <f t="shared" si="3"/>
        <v>1</v>
      </c>
      <c r="AB35" s="1388">
        <f t="shared" si="4"/>
        <v>1</v>
      </c>
      <c r="AC35" s="1388">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4"/>
      <c r="M36" s="1856"/>
      <c r="N36" s="1856"/>
      <c r="O36" s="1863"/>
      <c r="P36" s="3868"/>
      <c r="Q36" s="1384" t="str">
        <f t="shared" si="8"/>
        <v>成新度</v>
      </c>
      <c r="R36" s="1385" t="s">
        <v>5</v>
      </c>
      <c r="S36" s="1386" t="e">
        <f t="shared" si="9"/>
        <v>#N/A</v>
      </c>
      <c r="T36" s="1385" t="s">
        <v>5</v>
      </c>
      <c r="U36" s="1386" t="e">
        <f t="shared" si="10"/>
        <v>#N/A</v>
      </c>
      <c r="V36" s="1385" t="s">
        <v>5</v>
      </c>
      <c r="W36" s="1386" t="e">
        <f t="shared" si="11"/>
        <v>#N/A</v>
      </c>
      <c r="X36" s="1379"/>
      <c r="Y36" s="3868"/>
      <c r="Z36" s="1387" t="str">
        <f t="shared" si="12"/>
        <v>成新度</v>
      </c>
      <c r="AA36" s="1388" t="e">
        <f t="shared" si="3"/>
        <v>#N/A</v>
      </c>
      <c r="AB36" s="1388" t="e">
        <f t="shared" si="4"/>
        <v>#N/A</v>
      </c>
      <c r="AC36" s="1388" t="e">
        <f t="shared" si="5"/>
        <v>#N/A</v>
      </c>
    </row>
    <row r="37" spans="1:29" s="1117" customFormat="1" ht="15">
      <c r="A37" s="569"/>
      <c r="B37" s="1650"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7"/>
      <c r="M37" s="1858"/>
      <c r="N37" s="1858"/>
      <c r="O37" s="1859"/>
      <c r="P37" s="3868"/>
      <c r="Q37" s="1049" t="str">
        <f t="shared" si="8"/>
        <v>市政基础设施</v>
      </c>
      <c r="R37" s="1380" t="s">
        <v>5</v>
      </c>
      <c r="S37" s="1381">
        <f t="shared" si="9"/>
        <v>100</v>
      </c>
      <c r="T37" s="1380" t="s">
        <v>5</v>
      </c>
      <c r="U37" s="1381">
        <f t="shared" si="10"/>
        <v>100</v>
      </c>
      <c r="V37" s="1380" t="s">
        <v>5</v>
      </c>
      <c r="W37" s="1381">
        <f t="shared" si="11"/>
        <v>100</v>
      </c>
      <c r="X37" s="1382"/>
      <c r="Y37" s="3868"/>
      <c r="Z37" s="1048" t="str">
        <f t="shared" si="12"/>
        <v>市政基础设施</v>
      </c>
      <c r="AA37" s="1383">
        <f t="shared" si="3"/>
        <v>1</v>
      </c>
      <c r="AB37" s="1383">
        <f t="shared" si="4"/>
        <v>1</v>
      </c>
      <c r="AC37" s="1383">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4"/>
      <c r="M38" s="1856"/>
      <c r="N38" s="1856"/>
      <c r="O38" s="1863"/>
      <c r="P38" s="3868" t="s">
        <v>706</v>
      </c>
      <c r="Q38" s="1384" t="str">
        <f t="shared" si="8"/>
        <v>业态</v>
      </c>
      <c r="R38" s="1385" t="s">
        <v>5</v>
      </c>
      <c r="S38" s="1386">
        <f t="shared" si="9"/>
        <v>100</v>
      </c>
      <c r="T38" s="1385" t="s">
        <v>5</v>
      </c>
      <c r="U38" s="1386">
        <f t="shared" si="10"/>
        <v>100</v>
      </c>
      <c r="V38" s="1385" t="s">
        <v>5</v>
      </c>
      <c r="W38" s="1386">
        <f t="shared" si="11"/>
        <v>100</v>
      </c>
      <c r="X38" s="1379"/>
      <c r="Y38" s="3868" t="s">
        <v>706</v>
      </c>
      <c r="Z38" s="1387" t="str">
        <f t="shared" si="12"/>
        <v>业态</v>
      </c>
      <c r="AA38" s="1388">
        <f t="shared" si="3"/>
        <v>1</v>
      </c>
      <c r="AB38" s="1388">
        <f t="shared" si="4"/>
        <v>1</v>
      </c>
      <c r="AC38" s="1388">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4"/>
      <c r="M39" s="1856"/>
      <c r="N39" s="1856"/>
      <c r="O39" s="1863"/>
      <c r="P39" s="3868"/>
      <c r="Q39" s="1384" t="str">
        <f t="shared" si="8"/>
        <v>层高</v>
      </c>
      <c r="R39" s="1385" t="s">
        <v>5</v>
      </c>
      <c r="S39" s="1386">
        <f t="shared" si="9"/>
        <v>100</v>
      </c>
      <c r="T39" s="1385" t="s">
        <v>5</v>
      </c>
      <c r="U39" s="1386">
        <f t="shared" si="10"/>
        <v>100</v>
      </c>
      <c r="V39" s="1385" t="s">
        <v>5</v>
      </c>
      <c r="W39" s="1386">
        <f t="shared" si="11"/>
        <v>100</v>
      </c>
      <c r="X39" s="1379"/>
      <c r="Y39" s="3868"/>
      <c r="Z39" s="1387" t="str">
        <f t="shared" si="12"/>
        <v>层高</v>
      </c>
      <c r="AA39" s="1388">
        <f t="shared" si="3"/>
        <v>1</v>
      </c>
      <c r="AB39" s="1388">
        <f t="shared" si="4"/>
        <v>1</v>
      </c>
      <c r="AC39" s="1388">
        <f t="shared" si="5"/>
        <v>1</v>
      </c>
    </row>
    <row r="40" spans="1:29" ht="15">
      <c r="A40" s="563"/>
      <c r="B40" s="496" t="s">
        <v>708</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4"/>
      <c r="M40" s="1856"/>
      <c r="N40" s="1856"/>
      <c r="O40" s="1863"/>
      <c r="P40" s="3868"/>
      <c r="Q40" s="1384" t="str">
        <f t="shared" si="8"/>
        <v>单套建筑面积</v>
      </c>
      <c r="R40" s="1385" t="s">
        <v>5</v>
      </c>
      <c r="S40" s="1386">
        <f t="shared" si="9"/>
        <v>100</v>
      </c>
      <c r="T40" s="1385" t="s">
        <v>5</v>
      </c>
      <c r="U40" s="1386">
        <f t="shared" si="10"/>
        <v>100</v>
      </c>
      <c r="V40" s="1385" t="s">
        <v>5</v>
      </c>
      <c r="W40" s="1386">
        <f t="shared" si="11"/>
        <v>100</v>
      </c>
      <c r="X40" s="1379"/>
      <c r="Y40" s="3868"/>
      <c r="Z40" s="1387" t="str">
        <f t="shared" si="12"/>
        <v>单套建筑面积</v>
      </c>
      <c r="AA40" s="1388">
        <f t="shared" si="3"/>
        <v>1</v>
      </c>
      <c r="AB40" s="1388">
        <f t="shared" si="4"/>
        <v>1</v>
      </c>
      <c r="AC40" s="1388">
        <f t="shared" si="5"/>
        <v>1</v>
      </c>
    </row>
    <row r="41" spans="1:29" s="1199" customFormat="1" ht="15">
      <c r="A41" s="572"/>
      <c r="B41" s="866"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2"/>
      <c r="M41" s="1892"/>
      <c r="N41" s="1892"/>
      <c r="O41" s="1865"/>
      <c r="P41" s="3868"/>
      <c r="Q41" s="1413" t="str">
        <f t="shared" si="8"/>
        <v>进深比</v>
      </c>
      <c r="R41" s="1389" t="s">
        <v>5</v>
      </c>
      <c r="S41" s="1390">
        <f t="shared" si="9"/>
        <v>100</v>
      </c>
      <c r="T41" s="1389" t="s">
        <v>5</v>
      </c>
      <c r="U41" s="1390">
        <f t="shared" si="10"/>
        <v>100</v>
      </c>
      <c r="V41" s="1389" t="s">
        <v>5</v>
      </c>
      <c r="W41" s="1390">
        <f t="shared" si="11"/>
        <v>100</v>
      </c>
      <c r="X41" s="1391"/>
      <c r="Y41" s="3868"/>
      <c r="Z41" s="1392" t="str">
        <f t="shared" si="12"/>
        <v>进深比</v>
      </c>
      <c r="AA41" s="1388">
        <f t="shared" si="3"/>
        <v>1</v>
      </c>
      <c r="AB41" s="1388">
        <f t="shared" si="4"/>
        <v>1</v>
      </c>
      <c r="AC41" s="1388">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4"/>
      <c r="M42" s="1856"/>
      <c r="N42" s="1856"/>
      <c r="O42" s="1863"/>
      <c r="P42" s="3868"/>
      <c r="Q42" s="1384" t="str">
        <f t="shared" si="8"/>
        <v>内部装修</v>
      </c>
      <c r="R42" s="1385" t="s">
        <v>5</v>
      </c>
      <c r="S42" s="1386">
        <f t="shared" si="9"/>
        <v>100</v>
      </c>
      <c r="T42" s="1385" t="s">
        <v>5</v>
      </c>
      <c r="U42" s="1386">
        <f t="shared" si="10"/>
        <v>100</v>
      </c>
      <c r="V42" s="1385" t="s">
        <v>5</v>
      </c>
      <c r="W42" s="1386">
        <f t="shared" si="11"/>
        <v>100</v>
      </c>
      <c r="X42" s="1379"/>
      <c r="Y42" s="3868"/>
      <c r="Z42" s="1387" t="str">
        <f t="shared" si="12"/>
        <v>内部装修</v>
      </c>
      <c r="AA42" s="1388">
        <f t="shared" si="3"/>
        <v>1</v>
      </c>
      <c r="AB42" s="1388">
        <f t="shared" si="4"/>
        <v>1</v>
      </c>
      <c r="AC42" s="1388">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4"/>
      <c r="M43" s="1856"/>
      <c r="N43" s="1856"/>
      <c r="O43" s="1863"/>
      <c r="P43" s="3868"/>
      <c r="Q43" s="1384" t="str">
        <f t="shared" si="8"/>
        <v>内部装修维护情况</v>
      </c>
      <c r="R43" s="1385" t="s">
        <v>5</v>
      </c>
      <c r="S43" s="1386">
        <f t="shared" si="9"/>
        <v>100</v>
      </c>
      <c r="T43" s="1385" t="s">
        <v>5</v>
      </c>
      <c r="U43" s="1386">
        <f t="shared" si="10"/>
        <v>100</v>
      </c>
      <c r="V43" s="1385" t="s">
        <v>5</v>
      </c>
      <c r="W43" s="1386">
        <f t="shared" si="11"/>
        <v>100</v>
      </c>
      <c r="X43" s="1379"/>
      <c r="Y43" s="3868"/>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7"/>
      <c r="M44" s="1858"/>
      <c r="N44" s="1858"/>
      <c r="O44" s="1859"/>
      <c r="P44" s="3868"/>
      <c r="Q44" s="1049">
        <f t="shared" si="8"/>
        <v>111</v>
      </c>
      <c r="R44" s="1380" t="s">
        <v>5</v>
      </c>
      <c r="S44" s="1381">
        <f t="shared" si="9"/>
        <v>100</v>
      </c>
      <c r="T44" s="1380" t="s">
        <v>5</v>
      </c>
      <c r="U44" s="1381">
        <f t="shared" si="10"/>
        <v>100</v>
      </c>
      <c r="V44" s="1380" t="s">
        <v>5</v>
      </c>
      <c r="W44" s="1381">
        <f t="shared" si="11"/>
        <v>100</v>
      </c>
      <c r="X44" s="1382"/>
      <c r="Y44" s="3868"/>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4"/>
      <c r="M45" s="1856"/>
      <c r="N45" s="1856"/>
      <c r="O45" s="1863"/>
      <c r="P45" s="3868"/>
      <c r="Q45" s="1384">
        <f t="shared" si="8"/>
        <v>111</v>
      </c>
      <c r="R45" s="1385" t="s">
        <v>5</v>
      </c>
      <c r="S45" s="1386">
        <f t="shared" si="9"/>
        <v>100</v>
      </c>
      <c r="T45" s="1385" t="s">
        <v>5</v>
      </c>
      <c r="U45" s="1386">
        <f t="shared" si="10"/>
        <v>100</v>
      </c>
      <c r="V45" s="1385" t="s">
        <v>5</v>
      </c>
      <c r="W45" s="1386">
        <f t="shared" si="11"/>
        <v>100</v>
      </c>
      <c r="X45" s="1379"/>
      <c r="Y45" s="3868"/>
      <c r="Z45" s="1387">
        <f t="shared" si="12"/>
        <v>111</v>
      </c>
      <c r="AA45" s="1388">
        <f t="shared" si="3"/>
        <v>1</v>
      </c>
      <c r="AB45" s="1388">
        <f t="shared" si="4"/>
        <v>1</v>
      </c>
      <c r="AC45" s="1388">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4"/>
      <c r="M46" s="1856"/>
      <c r="N46" s="1856"/>
      <c r="O46" s="1863"/>
      <c r="P46" s="3976"/>
      <c r="Q46" s="1384">
        <f t="shared" si="8"/>
        <v>111</v>
      </c>
      <c r="R46" s="1385" t="s">
        <v>5</v>
      </c>
      <c r="S46" s="1386">
        <f t="shared" si="9"/>
        <v>100</v>
      </c>
      <c r="T46" s="1385" t="s">
        <v>5</v>
      </c>
      <c r="U46" s="1386">
        <f t="shared" si="10"/>
        <v>100</v>
      </c>
      <c r="V46" s="1385" t="s">
        <v>5</v>
      </c>
      <c r="W46" s="1386">
        <f t="shared" si="11"/>
        <v>100</v>
      </c>
      <c r="X46" s="1379"/>
      <c r="Y46" s="3976"/>
      <c r="Z46" s="1387">
        <f t="shared" si="12"/>
        <v>111</v>
      </c>
      <c r="AA46" s="1388">
        <f t="shared" si="3"/>
        <v>1</v>
      </c>
      <c r="AB46" s="1388">
        <f t="shared" si="4"/>
        <v>1</v>
      </c>
      <c r="AC46" s="1388">
        <f t="shared" si="5"/>
        <v>1</v>
      </c>
    </row>
    <row r="47" spans="1:29" ht="15">
      <c r="A47" s="576" t="s">
        <v>683</v>
      </c>
      <c r="B47" s="849"/>
      <c r="C47" s="2233" t="s">
        <v>0</v>
      </c>
      <c r="D47" s="2234"/>
      <c r="E47" s="2235"/>
      <c r="F47" s="2236"/>
      <c r="G47" s="2237"/>
      <c r="H47" s="2238"/>
      <c r="I47" s="2235"/>
      <c r="J47" s="2238"/>
      <c r="K47" s="1418"/>
      <c r="L47" s="1866"/>
      <c r="M47" s="1867"/>
      <c r="N47" s="1856"/>
      <c r="O47" s="1867"/>
      <c r="P47" s="3863" t="str">
        <f>A47</f>
        <v>成交单价（元/平方米）</v>
      </c>
      <c r="Q47" s="3863"/>
      <c r="R47" s="3975">
        <f>E47</f>
        <v>0</v>
      </c>
      <c r="S47" s="3975"/>
      <c r="T47" s="3975">
        <f>G47</f>
        <v>0</v>
      </c>
      <c r="U47" s="3975"/>
      <c r="V47" s="3975">
        <f>I47</f>
        <v>0</v>
      </c>
      <c r="W47" s="3975"/>
      <c r="X47" s="1374"/>
      <c r="Y47" s="1393"/>
      <c r="Z47" s="1374"/>
      <c r="AA47" s="1374"/>
      <c r="AB47" s="1374"/>
      <c r="AC47" s="1374"/>
    </row>
    <row r="48" spans="1:29" ht="15.75" thickBot="1">
      <c r="A48" s="584"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863" t="str">
        <f>A48</f>
        <v>比较价格（元/平方米）</v>
      </c>
      <c r="Q48" s="3863"/>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1374"/>
      <c r="Y48" s="1374"/>
      <c r="Z48" s="1374"/>
      <c r="AA48" s="1374"/>
      <c r="AB48" s="1374"/>
      <c r="AC48" s="1374"/>
    </row>
    <row r="49" spans="1:29" ht="15.75" thickBot="1">
      <c r="A49" s="588" t="s">
        <v>2198</v>
      </c>
      <c r="B49" s="589"/>
      <c r="C49" s="2241" t="e">
        <f>R49</f>
        <v>#DIV/0!</v>
      </c>
      <c r="D49" s="2241"/>
      <c r="E49" s="2241"/>
      <c r="F49" s="2241"/>
      <c r="G49" s="2241"/>
      <c r="H49" s="2241"/>
      <c r="I49" s="2241"/>
      <c r="J49" s="2241"/>
      <c r="K49" s="1419"/>
      <c r="L49" s="1866"/>
      <c r="M49" s="1867"/>
      <c r="N49" s="1856"/>
      <c r="O49" s="1867"/>
      <c r="P49" s="3869" t="str">
        <f>A49</f>
        <v>估价对象XX用房的比较价格（楼面单价，元/平方米）</v>
      </c>
      <c r="Q49" s="3870"/>
      <c r="R49" s="3974" t="e">
        <f>IF(F1="售价",ROUND(IF(D48="简单平均",AVERAGE(R48:V48),R48*F48+T48*H48+V48*J48),0),ROUND(IF(D48="简单平均",AVERAGE(R48:V48),R48*F48+T48*H48+V48*J48),1))</f>
        <v>#DIV/0!</v>
      </c>
      <c r="S49" s="3974"/>
      <c r="T49" s="3974"/>
      <c r="U49" s="3974"/>
      <c r="V49" s="3974"/>
      <c r="W49" s="3974"/>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1" t="str">
        <f>YEAR(C7)&amp;"-"&amp;MONTH(C7)</f>
        <v>2024-3</v>
      </c>
      <c r="D58" s="2283">
        <f>EDATE(C58,-1)</f>
        <v>45323</v>
      </c>
      <c r="E58" s="2283">
        <f t="shared" ref="E58:O58" si="13">EDATE(D58,-1)</f>
        <v>45292</v>
      </c>
      <c r="F58" s="2283">
        <f t="shared" si="13"/>
        <v>45261</v>
      </c>
      <c r="G58" s="2283">
        <f t="shared" si="13"/>
        <v>45231</v>
      </c>
      <c r="H58" s="2283">
        <f t="shared" si="13"/>
        <v>45200</v>
      </c>
      <c r="I58" s="2283">
        <f t="shared" si="13"/>
        <v>45170</v>
      </c>
      <c r="J58" s="2283">
        <f t="shared" si="13"/>
        <v>45139</v>
      </c>
      <c r="K58" s="2283">
        <f t="shared" si="13"/>
        <v>45108</v>
      </c>
      <c r="L58" s="2283">
        <f t="shared" si="13"/>
        <v>45078</v>
      </c>
      <c r="M58" s="2283">
        <f t="shared" si="13"/>
        <v>45047</v>
      </c>
      <c r="N58" s="2283">
        <f t="shared" si="13"/>
        <v>45017</v>
      </c>
      <c r="O58" s="2283">
        <f t="shared" si="13"/>
        <v>44986</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8"/>
      <c r="N59" s="617"/>
      <c r="O59" s="619"/>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102"/>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638"/>
      <c r="F64" s="638"/>
      <c r="G64" s="638"/>
      <c r="H64" s="638"/>
      <c r="I64" s="638"/>
      <c r="J64" s="638"/>
      <c r="K64" s="638"/>
      <c r="L64" s="638"/>
      <c r="M64" s="639"/>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38"/>
      <c r="E73" s="638"/>
      <c r="F73" s="638"/>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1840</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1841</v>
      </c>
      <c r="C82" s="2205" t="s">
        <v>1842</v>
      </c>
      <c r="D82" s="2205" t="s">
        <v>1843</v>
      </c>
      <c r="E82" s="2205" t="s">
        <v>1844</v>
      </c>
      <c r="F82" s="2205" t="s">
        <v>1845</v>
      </c>
      <c r="G82" s="2205" t="s">
        <v>1846</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640" t="s">
        <v>711</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tr">
        <f>B26</f>
        <v>平面位置/可视性</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59"/>
      <c r="D89" s="638"/>
      <c r="E89" s="638"/>
      <c r="F89" s="638"/>
      <c r="G89" s="638"/>
      <c r="H89" s="638"/>
      <c r="I89" s="638"/>
      <c r="J89" s="638"/>
      <c r="K89" s="638"/>
      <c r="L89" s="638"/>
      <c r="M89" s="638"/>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人流量</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6"/>
      <c r="B92" s="640" t="str">
        <f>B28</f>
        <v>楼层</v>
      </c>
      <c r="C92" s="655"/>
      <c r="D92" s="655"/>
      <c r="E92" s="655"/>
      <c r="F92" s="655"/>
      <c r="G92" s="655"/>
      <c r="H92" s="655"/>
      <c r="I92" s="655"/>
      <c r="J92" s="655"/>
      <c r="K92" s="655"/>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38"/>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38"/>
      <c r="E95" s="638"/>
      <c r="F95" s="638"/>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59"/>
      <c r="D97" s="638"/>
      <c r="E97" s="638"/>
      <c r="F97" s="638"/>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55"/>
      <c r="D98" s="655"/>
      <c r="E98" s="655"/>
      <c r="F98" s="655"/>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67"/>
      <c r="D99" s="667"/>
      <c r="E99" s="667"/>
      <c r="F99" s="667"/>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712</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691</v>
      </c>
      <c r="C107" s="655"/>
      <c r="D107" s="655"/>
      <c r="E107" s="65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c r="A110" s="702"/>
      <c r="B110" s="648"/>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5"/>
      <c r="B112" s="1651" t="s">
        <v>1839</v>
      </c>
      <c r="C112" s="655"/>
      <c r="D112" s="655"/>
      <c r="E112" s="655"/>
      <c r="F112" s="655"/>
      <c r="G112" s="655"/>
      <c r="H112" s="685"/>
      <c r="I112" s="685"/>
      <c r="J112" s="685"/>
      <c r="K112" s="686"/>
      <c r="L112" s="687"/>
      <c r="M112" s="688"/>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713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640" t="s">
        <v>714</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715</v>
      </c>
      <c r="C118" s="871"/>
      <c r="D118" s="871"/>
      <c r="E118" s="871"/>
      <c r="F118" s="871"/>
      <c r="G118" s="871"/>
      <c r="H118" s="656"/>
      <c r="I118" s="656"/>
      <c r="J118" s="656"/>
      <c r="K118" s="656"/>
      <c r="L118" s="657"/>
      <c r="M118" s="65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59"/>
      <c r="D119" s="638"/>
      <c r="E119" s="638"/>
      <c r="F119" s="638"/>
      <c r="G119" s="638"/>
      <c r="H119" s="638"/>
      <c r="I119" s="638"/>
      <c r="J119" s="638"/>
      <c r="K119" s="638"/>
      <c r="L119" s="638"/>
      <c r="M119" s="639"/>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5"/>
      <c r="B120" s="640" t="s">
        <v>716</v>
      </c>
      <c r="C120" s="685"/>
      <c r="D120" s="685"/>
      <c r="E120" s="685"/>
      <c r="F120" s="685"/>
      <c r="G120" s="656"/>
      <c r="H120" s="656"/>
      <c r="I120" s="656"/>
      <c r="J120" s="656"/>
      <c r="K120" s="656"/>
      <c r="L120" s="657"/>
      <c r="M120" s="658"/>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38"/>
      <c r="E129" s="638"/>
      <c r="F129" s="638"/>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717</v>
      </c>
      <c r="C1" s="473" t="s">
        <v>667</v>
      </c>
      <c r="D1" s="813"/>
      <c r="E1" s="475"/>
      <c r="F1" s="2286"/>
      <c r="G1" s="1409" t="s">
        <v>668</v>
      </c>
      <c r="H1" s="475"/>
      <c r="I1" s="475"/>
      <c r="J1" s="475"/>
      <c r="K1" s="476"/>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8" t="s">
        <v>468</v>
      </c>
      <c r="B3" s="479" t="e">
        <f>C50</f>
        <v>#DIV/0!</v>
      </c>
      <c r="C3" s="816" t="s">
        <v>669</v>
      </c>
      <c r="D3" s="815">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1" t="s">
        <v>470</v>
      </c>
      <c r="B4" s="482"/>
      <c r="C4" s="3871" t="s">
        <v>471</v>
      </c>
      <c r="D4" s="3872"/>
      <c r="E4" s="3893" t="s">
        <v>472</v>
      </c>
      <c r="F4" s="3894"/>
      <c r="G4" s="3871" t="s">
        <v>473</v>
      </c>
      <c r="H4" s="3872"/>
      <c r="I4" s="3871" t="s">
        <v>474</v>
      </c>
      <c r="J4" s="3872"/>
      <c r="K4" s="483" t="s">
        <v>475</v>
      </c>
      <c r="L4" s="1855"/>
      <c r="M4" s="1856"/>
      <c r="N4" s="1856"/>
      <c r="O4" s="1856"/>
      <c r="P4" s="3977" t="s">
        <v>476</v>
      </c>
      <c r="Q4" s="3874"/>
      <c r="R4" s="3857" t="s">
        <v>472</v>
      </c>
      <c r="S4" s="3858"/>
      <c r="T4" s="3857" t="s">
        <v>473</v>
      </c>
      <c r="U4" s="3858"/>
      <c r="V4" s="3879" t="s">
        <v>474</v>
      </c>
      <c r="W4" s="3879"/>
      <c r="X4" s="1379"/>
      <c r="Y4" s="3857" t="s">
        <v>476</v>
      </c>
      <c r="Z4" s="3858"/>
      <c r="AA4" s="3852" t="s">
        <v>472</v>
      </c>
      <c r="AB4" s="3852" t="s">
        <v>473</v>
      </c>
      <c r="AC4" s="3852" t="s">
        <v>474</v>
      </c>
    </row>
    <row r="5" spans="1:29" ht="15">
      <c r="A5" s="484"/>
      <c r="B5" s="485"/>
      <c r="C5" s="3882" t="s">
        <v>2192</v>
      </c>
      <c r="D5" s="3883"/>
      <c r="E5" s="3895" t="s">
        <v>2193</v>
      </c>
      <c r="F5" s="3896"/>
      <c r="G5" s="3882" t="s">
        <v>2194</v>
      </c>
      <c r="H5" s="3883"/>
      <c r="I5" s="3882" t="s">
        <v>2195</v>
      </c>
      <c r="J5" s="3883"/>
      <c r="K5" s="483"/>
      <c r="L5" s="1855"/>
      <c r="M5" s="1856"/>
      <c r="N5" s="1856"/>
      <c r="O5" s="1856"/>
      <c r="P5" s="3978"/>
      <c r="Q5" s="3876"/>
      <c r="R5" s="3859"/>
      <c r="S5" s="3860"/>
      <c r="T5" s="3859"/>
      <c r="U5" s="3860"/>
      <c r="V5" s="3879"/>
      <c r="W5" s="3879"/>
      <c r="X5" s="1379"/>
      <c r="Y5" s="3859"/>
      <c r="Z5" s="3860"/>
      <c r="AA5" s="3853"/>
      <c r="AB5" s="3853"/>
      <c r="AC5" s="3853"/>
    </row>
    <row r="6" spans="1:29" ht="15.75" thickBot="1">
      <c r="A6" s="486"/>
      <c r="B6" s="487"/>
      <c r="C6" s="3880" t="s">
        <v>2196</v>
      </c>
      <c r="D6" s="3881"/>
      <c r="E6" s="3897" t="s">
        <v>2196</v>
      </c>
      <c r="F6" s="3898"/>
      <c r="G6" s="3880" t="s">
        <v>2196</v>
      </c>
      <c r="H6" s="3881"/>
      <c r="I6" s="3880" t="s">
        <v>2196</v>
      </c>
      <c r="J6" s="3881"/>
      <c r="K6" s="483" t="s">
        <v>477</v>
      </c>
      <c r="L6" s="1855"/>
      <c r="M6" s="1856"/>
      <c r="N6" s="1856"/>
      <c r="O6" s="1856"/>
      <c r="P6" s="3979"/>
      <c r="Q6" s="3878"/>
      <c r="R6" s="3859"/>
      <c r="S6" s="3860"/>
      <c r="T6" s="3861"/>
      <c r="U6" s="3862"/>
      <c r="V6" s="3879"/>
      <c r="W6" s="3879"/>
      <c r="X6" s="1379"/>
      <c r="Y6" s="3861"/>
      <c r="Z6" s="3862"/>
      <c r="AA6" s="3854"/>
      <c r="AB6" s="3854"/>
      <c r="AC6" s="3854"/>
    </row>
    <row r="7" spans="1:29" s="1117" customFormat="1" ht="15.75" thickBot="1">
      <c r="A7" s="2391"/>
      <c r="B7" s="2398" t="s">
        <v>478</v>
      </c>
      <c r="C7" s="488">
        <f>'数据-取费表'!B2</f>
        <v>45378</v>
      </c>
      <c r="D7" s="489">
        <v>100</v>
      </c>
      <c r="E7" s="490"/>
      <c r="F7" s="491">
        <f>SUMIF(59:59,YEAR(E7)&amp;"-"&amp;MONTH(E7),60:60)</f>
        <v>0</v>
      </c>
      <c r="G7" s="490"/>
      <c r="H7" s="489">
        <f>SUMIF(59:59,YEAR(G7)&amp;"-"&amp;MONTH(G7),60:60)</f>
        <v>0</v>
      </c>
      <c r="I7" s="490"/>
      <c r="J7" s="489">
        <f>SUMIF(59:59,YEAR(I7)&amp;"-"&amp;MONTH(I7),60:60)</f>
        <v>0</v>
      </c>
      <c r="K7" s="493"/>
      <c r="L7" s="1857"/>
      <c r="M7" s="1858"/>
      <c r="N7" s="1858"/>
      <c r="O7" s="1858"/>
      <c r="P7" s="3864" t="s">
        <v>479</v>
      </c>
      <c r="Q7" s="3864"/>
      <c r="R7" s="1380" t="s">
        <v>5</v>
      </c>
      <c r="S7" s="1381">
        <f t="shared" ref="S7:S15" si="0">F7</f>
        <v>0</v>
      </c>
      <c r="T7" s="1380" t="s">
        <v>5</v>
      </c>
      <c r="U7" s="1381">
        <f t="shared" ref="U7:U15" si="1">H7</f>
        <v>0</v>
      </c>
      <c r="V7" s="1380" t="s">
        <v>5</v>
      </c>
      <c r="W7" s="1381">
        <f t="shared" ref="W7:W15"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494"/>
      <c r="F8" s="491">
        <f>SUMIF(62:62,E8,63:63)-SUMIF(62:62,C8,63:63)+100</f>
        <v>0</v>
      </c>
      <c r="G8" s="494"/>
      <c r="H8" s="489">
        <f>SUMIF(62:62,G8,63:63)-SUMIF(62:62,C8,63:63)+100</f>
        <v>0</v>
      </c>
      <c r="I8" s="494"/>
      <c r="J8" s="489">
        <f>SUMIF(62:62,I8,63:63)-SUMIF(62:62,C8,63:63)+100</f>
        <v>0</v>
      </c>
      <c r="K8" s="493"/>
      <c r="L8" s="1857"/>
      <c r="M8" s="1858"/>
      <c r="N8" s="1858"/>
      <c r="O8" s="1858"/>
      <c r="P8" s="3864" t="s">
        <v>482</v>
      </c>
      <c r="Q8" s="3856"/>
      <c r="R8" s="1380" t="s">
        <v>5</v>
      </c>
      <c r="S8" s="1381">
        <f t="shared" si="0"/>
        <v>0</v>
      </c>
      <c r="T8" s="1380" t="s">
        <v>5</v>
      </c>
      <c r="U8" s="1381">
        <f t="shared" si="1"/>
        <v>0</v>
      </c>
      <c r="V8" s="1380" t="s">
        <v>5</v>
      </c>
      <c r="W8" s="1381">
        <f t="shared" si="2"/>
        <v>0</v>
      </c>
      <c r="X8" s="1382"/>
      <c r="Y8" s="3855" t="s">
        <v>482</v>
      </c>
      <c r="Z8" s="3856"/>
      <c r="AA8" s="1383" t="e">
        <f t="shared" ref="AA8:AA47" si="3">D8/F8</f>
        <v>#DIV/0!</v>
      </c>
      <c r="AB8" s="1383" t="e">
        <f t="shared" ref="AB8:AB47" si="4">D8/H8</f>
        <v>#DIV/0!</v>
      </c>
      <c r="AC8" s="1383" t="e">
        <f t="shared" ref="AC8:AC47" si="5">D8/J8</f>
        <v>#DIV/0!</v>
      </c>
    </row>
    <row r="9" spans="1:29" s="1117" customFormat="1" ht="15">
      <c r="A9" s="2393"/>
      <c r="B9" s="2400" t="s">
        <v>2038</v>
      </c>
      <c r="C9" s="821"/>
      <c r="D9" s="244">
        <v>100</v>
      </c>
      <c r="E9" s="824"/>
      <c r="F9" s="244">
        <f>SUMIF(64:64,E9,65:65)-SUMIF(64:64,C9,65:65)+100</f>
        <v>100</v>
      </c>
      <c r="G9" s="822"/>
      <c r="H9" s="244">
        <f>SUMIF(64:64,G9,65:65)-SUMIF(64:64,C9,65:65)+100</f>
        <v>100</v>
      </c>
      <c r="I9" s="822"/>
      <c r="J9" s="244">
        <f>SUMIF(64:64,I9,65:65)-SUMIF(64:64,C9,65:65)+100</f>
        <v>100</v>
      </c>
      <c r="K9" s="493"/>
      <c r="L9" s="1857"/>
      <c r="M9" s="1858"/>
      <c r="N9" s="1858"/>
      <c r="O9" s="1858"/>
      <c r="P9" s="3863" t="s">
        <v>484</v>
      </c>
      <c r="Q9" s="1049" t="str">
        <f t="shared" ref="Q9:Q15" si="6">B9</f>
        <v>用途</v>
      </c>
      <c r="R9" s="1380" t="s">
        <v>5</v>
      </c>
      <c r="S9" s="1381">
        <f t="shared" si="0"/>
        <v>100</v>
      </c>
      <c r="T9" s="1380" t="s">
        <v>5</v>
      </c>
      <c r="U9" s="1381">
        <f t="shared" si="1"/>
        <v>100</v>
      </c>
      <c r="V9" s="1380" t="s">
        <v>5</v>
      </c>
      <c r="W9" s="1381">
        <f t="shared" si="2"/>
        <v>100</v>
      </c>
      <c r="X9" s="1382"/>
      <c r="Y9" s="3811"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SUMIF(66:66,E10,67:67)-SUMIF(66:66,C10,67:67)+100</f>
        <v>100</v>
      </c>
      <c r="G10" s="3660"/>
      <c r="H10" s="245">
        <f>SUMIF(66:66,G10,67:67)-SUMIF(66:66,C10,67:67)+100</f>
        <v>100</v>
      </c>
      <c r="I10" s="3659"/>
      <c r="J10" s="245">
        <f>SUMIF(66:66,I10,67:67)-SUMIF(66:66,C10,67:67)+100</f>
        <v>100</v>
      </c>
      <c r="K10" s="493"/>
      <c r="L10" s="1860"/>
      <c r="M10" s="1899"/>
      <c r="N10" s="1899"/>
      <c r="O10" s="1899"/>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2"/>
      <c r="M11" s="1856"/>
      <c r="N11" s="1856"/>
      <c r="O11" s="1856"/>
      <c r="P11" s="3863"/>
      <c r="Q11" s="1049" t="str">
        <f t="shared" si="6"/>
        <v>容积率</v>
      </c>
      <c r="R11" s="1380" t="s">
        <v>5</v>
      </c>
      <c r="S11" s="1381" t="e">
        <f t="shared" si="0"/>
        <v>#N/A</v>
      </c>
      <c r="T11" s="1380" t="s">
        <v>5</v>
      </c>
      <c r="U11" s="1381" t="e">
        <f t="shared" si="1"/>
        <v>#N/A</v>
      </c>
      <c r="V11" s="1380" t="s">
        <v>5</v>
      </c>
      <c r="W11" s="1381" t="e">
        <f t="shared" si="2"/>
        <v>#N/A</v>
      </c>
      <c r="X11" s="1382"/>
      <c r="Y11" s="3811"/>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245">
        <f>SUMIF(71:71,E12,72:72)-SUMIF(71:71,C12,72:72)+100</f>
        <v>100</v>
      </c>
      <c r="G12" s="872"/>
      <c r="H12" s="245">
        <f>SUMIF(71:71,G12,72:72)-SUMIF(71:71,C12,72:72)+100</f>
        <v>100</v>
      </c>
      <c r="I12" s="497"/>
      <c r="J12" s="245">
        <f>SUMIF(71:71,I12,72:72)-SUMIF(71:71,C12,72:72)+100</f>
        <v>100</v>
      </c>
      <c r="K12" s="550"/>
      <c r="L12" s="1857"/>
      <c r="M12" s="1858"/>
      <c r="N12" s="1858"/>
      <c r="O12" s="1858"/>
      <c r="P12" s="3863"/>
      <c r="Q12" s="1049">
        <f t="shared" si="6"/>
        <v>111</v>
      </c>
      <c r="R12" s="1380" t="s">
        <v>5</v>
      </c>
      <c r="S12" s="1381">
        <f t="shared" si="0"/>
        <v>100</v>
      </c>
      <c r="T12" s="1380" t="s">
        <v>5</v>
      </c>
      <c r="U12" s="1381">
        <f t="shared" si="1"/>
        <v>100</v>
      </c>
      <c r="V12" s="1380" t="s">
        <v>5</v>
      </c>
      <c r="W12" s="1381">
        <f t="shared" si="2"/>
        <v>100</v>
      </c>
      <c r="X12" s="1382"/>
      <c r="Y12" s="3811"/>
      <c r="Z12" s="1048">
        <f t="shared" si="7"/>
        <v>111</v>
      </c>
      <c r="AA12" s="1383">
        <f>D12/F12</f>
        <v>1</v>
      </c>
      <c r="AB12" s="1383">
        <f>D12/H12</f>
        <v>1</v>
      </c>
      <c r="AC12" s="1383">
        <f>D12/J12</f>
        <v>1</v>
      </c>
    </row>
    <row r="13" spans="1:29" ht="15">
      <c r="A13" s="2396"/>
      <c r="B13" s="2402">
        <v>111</v>
      </c>
      <c r="C13" s="508"/>
      <c r="D13" s="509">
        <v>100</v>
      </c>
      <c r="E13" s="497"/>
      <c r="F13" s="245">
        <f>SUMIF(73:73,E13,74:74)-SUMIF(73:73,C13,74:74)+100</f>
        <v>100</v>
      </c>
      <c r="G13" s="872"/>
      <c r="H13" s="509">
        <f>SUMIF(73:73,G13,74:74)-SUMIF(73:73,C13,74:74)+100</f>
        <v>100</v>
      </c>
      <c r="I13" s="497"/>
      <c r="J13" s="509">
        <f>SUMIF(73:73,I13,74:74)-SUMIF(73:73,C13,74:74)+100</f>
        <v>100</v>
      </c>
      <c r="K13" s="550"/>
      <c r="L13" s="1864"/>
      <c r="M13" s="1856"/>
      <c r="N13" s="1856"/>
      <c r="O13" s="1856"/>
      <c r="P13" s="3863"/>
      <c r="Q13" s="1049">
        <f t="shared" si="6"/>
        <v>111</v>
      </c>
      <c r="R13" s="1380" t="s">
        <v>5</v>
      </c>
      <c r="S13" s="1381">
        <f t="shared" si="0"/>
        <v>100</v>
      </c>
      <c r="T13" s="1380" t="s">
        <v>5</v>
      </c>
      <c r="U13" s="1381">
        <f t="shared" si="1"/>
        <v>100</v>
      </c>
      <c r="V13" s="1380" t="s">
        <v>5</v>
      </c>
      <c r="W13" s="1381">
        <f t="shared" si="2"/>
        <v>100</v>
      </c>
      <c r="X13" s="1382"/>
      <c r="Y13" s="3811"/>
      <c r="Z13" s="1048">
        <f t="shared" si="7"/>
        <v>111</v>
      </c>
      <c r="AA13" s="1383">
        <f t="shared" si="3"/>
        <v>1</v>
      </c>
      <c r="AB13" s="1383">
        <f t="shared" si="4"/>
        <v>1</v>
      </c>
      <c r="AC13" s="1383">
        <f t="shared" si="5"/>
        <v>1</v>
      </c>
    </row>
    <row r="14" spans="1:29" ht="15.75" thickBot="1">
      <c r="A14" s="2397"/>
      <c r="B14" s="2403">
        <v>111</v>
      </c>
      <c r="C14" s="514"/>
      <c r="D14" s="515">
        <v>100</v>
      </c>
      <c r="E14" s="873"/>
      <c r="F14" s="515">
        <f>SUMIF(75:75,E14,76:76)-SUMIF(75:75,C14,76:76)+100</f>
        <v>100</v>
      </c>
      <c r="G14" s="872"/>
      <c r="H14" s="515">
        <f>SUMIF(75:75,G14,76:76)-SUMIF(75:75,C14,76:76)+100</f>
        <v>100</v>
      </c>
      <c r="I14" s="497"/>
      <c r="J14" s="515">
        <f>SUMIF(75:75,I14,76:76)-SUMIF(75:75,C14,76:76)+100</f>
        <v>100</v>
      </c>
      <c r="K14" s="550"/>
      <c r="L14" s="1864"/>
      <c r="M14" s="1856"/>
      <c r="N14" s="1856"/>
      <c r="O14" s="1856"/>
      <c r="P14" s="3863"/>
      <c r="Q14" s="1049">
        <f t="shared" si="6"/>
        <v>111</v>
      </c>
      <c r="R14" s="1380" t="s">
        <v>5</v>
      </c>
      <c r="S14" s="1381">
        <f t="shared" si="0"/>
        <v>100</v>
      </c>
      <c r="T14" s="1380" t="s">
        <v>5</v>
      </c>
      <c r="U14" s="1381">
        <f t="shared" si="1"/>
        <v>100</v>
      </c>
      <c r="V14" s="1380" t="s">
        <v>5</v>
      </c>
      <c r="W14" s="1381">
        <f t="shared" si="2"/>
        <v>100</v>
      </c>
      <c r="X14" s="1382"/>
      <c r="Y14" s="3811"/>
      <c r="Z14" s="1048">
        <f t="shared" si="7"/>
        <v>111</v>
      </c>
      <c r="AA14" s="1383">
        <f t="shared" si="3"/>
        <v>1</v>
      </c>
      <c r="AB14" s="1383">
        <f t="shared" si="4"/>
        <v>1</v>
      </c>
      <c r="AC14" s="1383">
        <f t="shared" si="5"/>
        <v>1</v>
      </c>
    </row>
    <row r="15" spans="1:29" ht="71.25">
      <c r="A15" s="2389" t="s">
        <v>2036</v>
      </c>
      <c r="B15" s="516" t="s">
        <v>491</v>
      </c>
      <c r="C15" s="517" t="str">
        <f>估价对象房地状况!C5</f>
        <v>估价对象位于XX商圈，周边办公楼项目较多，入驻率高，办公集聚程度较好</v>
      </c>
      <c r="D15" s="518">
        <v>100</v>
      </c>
      <c r="E15" s="521"/>
      <c r="F15" s="518">
        <f>SUMIF(77:77,E16,78:78)-SUMIF(77:77,C16,78:78)+100</f>
        <v>100</v>
      </c>
      <c r="G15" s="519"/>
      <c r="H15" s="518">
        <f>SUMIF(77:77,G16,78:78)-SUMIF(77:77,C16,78:78)+100</f>
        <v>100</v>
      </c>
      <c r="I15" s="519"/>
      <c r="J15" s="518">
        <f>SUMIF(77:77,I16,78:78)-SUMIF(77:77,C16,78:78)+100</f>
        <v>100</v>
      </c>
      <c r="K15" s="860"/>
      <c r="L15" s="1864"/>
      <c r="M15" s="1856"/>
      <c r="N15" s="1856"/>
      <c r="O15" s="1856"/>
      <c r="P15" s="3865" t="s">
        <v>489</v>
      </c>
      <c r="Q15" s="1384" t="str">
        <f t="shared" si="6"/>
        <v>办公集聚程度</v>
      </c>
      <c r="R15" s="1385" t="s">
        <v>5</v>
      </c>
      <c r="S15" s="1386">
        <f t="shared" si="0"/>
        <v>100</v>
      </c>
      <c r="T15" s="1385" t="s">
        <v>5</v>
      </c>
      <c r="U15" s="1386">
        <f t="shared" si="1"/>
        <v>100</v>
      </c>
      <c r="V15" s="1385" t="s">
        <v>5</v>
      </c>
      <c r="W15" s="1386">
        <f t="shared" si="2"/>
        <v>100</v>
      </c>
      <c r="X15" s="1379"/>
      <c r="Y15" s="3865" t="s">
        <v>489</v>
      </c>
      <c r="Z15" s="1387" t="str">
        <f t="shared" si="7"/>
        <v>办公集聚程度</v>
      </c>
      <c r="AA15" s="1388">
        <f t="shared" si="3"/>
        <v>1</v>
      </c>
      <c r="AB15" s="1388">
        <f t="shared" si="4"/>
        <v>1</v>
      </c>
      <c r="AC15" s="1388">
        <f t="shared" si="5"/>
        <v>1</v>
      </c>
    </row>
    <row r="16" spans="1:29" ht="15">
      <c r="A16" s="501"/>
      <c r="B16" s="522"/>
      <c r="C16" s="523"/>
      <c r="D16" s="524"/>
      <c r="E16" s="545"/>
      <c r="F16" s="524"/>
      <c r="G16" s="523"/>
      <c r="H16" s="528"/>
      <c r="I16" s="545"/>
      <c r="J16" s="524"/>
      <c r="K16" s="861"/>
      <c r="L16" s="1864"/>
      <c r="M16" s="1856"/>
      <c r="N16" s="1856"/>
      <c r="O16" s="1856"/>
      <c r="P16" s="3866"/>
      <c r="Q16" s="1384"/>
      <c r="R16" s="1385"/>
      <c r="S16" s="1386"/>
      <c r="T16" s="1385"/>
      <c r="U16" s="1386"/>
      <c r="V16" s="1385"/>
      <c r="W16" s="1386"/>
      <c r="X16" s="1379"/>
      <c r="Y16" s="3866"/>
      <c r="Z16" s="1387"/>
      <c r="AA16" s="1388">
        <v>1</v>
      </c>
      <c r="AB16" s="1388">
        <v>1</v>
      </c>
      <c r="AC16" s="1388">
        <v>1</v>
      </c>
    </row>
    <row r="17" spans="1:29" ht="85.5">
      <c r="A17" s="501"/>
      <c r="B17" s="529" t="s">
        <v>262</v>
      </c>
      <c r="C17" s="542" t="str">
        <f>估价对象房地状况!C6</f>
        <v>估价对象周边道路状况、公共交通通达情况、停车便捷程度，综合评价交通便捷度较好</v>
      </c>
      <c r="D17" s="528">
        <v>100</v>
      </c>
      <c r="E17" s="533"/>
      <c r="F17" s="528">
        <f>SUMIF(79:79,E18,80:80)-SUMIF(79:79,C18,80:80)+100</f>
        <v>100</v>
      </c>
      <c r="G17" s="531"/>
      <c r="H17" s="534">
        <f>SUMIF(79:79,G18,80:80)-SUMIF(79:79,C18,80:80)+100</f>
        <v>100</v>
      </c>
      <c r="I17" s="531"/>
      <c r="J17" s="534">
        <f>SUMIF(79:79,I18,80:80)-SUMIF(79:79,C18,80:80)+100</f>
        <v>100</v>
      </c>
      <c r="K17" s="860"/>
      <c r="L17" s="1864"/>
      <c r="M17" s="1856"/>
      <c r="N17" s="1856"/>
      <c r="O17" s="1856"/>
      <c r="P17" s="3866"/>
      <c r="Q17" s="1384" t="str">
        <f>B17</f>
        <v>交通便捷度</v>
      </c>
      <c r="R17" s="1385" t="s">
        <v>5</v>
      </c>
      <c r="S17" s="1386">
        <f>F17</f>
        <v>100</v>
      </c>
      <c r="T17" s="1385" t="s">
        <v>5</v>
      </c>
      <c r="U17" s="1386">
        <f>H17</f>
        <v>100</v>
      </c>
      <c r="V17" s="1385" t="s">
        <v>5</v>
      </c>
      <c r="W17" s="1386">
        <f>J17</f>
        <v>100</v>
      </c>
      <c r="X17" s="1379"/>
      <c r="Y17" s="3866"/>
      <c r="Z17" s="1387" t="str">
        <f>Q17</f>
        <v>交通便捷度</v>
      </c>
      <c r="AA17" s="1388">
        <f t="shared" si="3"/>
        <v>1</v>
      </c>
      <c r="AB17" s="1388">
        <f t="shared" si="4"/>
        <v>1</v>
      </c>
      <c r="AC17" s="1388">
        <f t="shared" si="5"/>
        <v>1</v>
      </c>
    </row>
    <row r="18" spans="1:29" ht="15">
      <c r="A18" s="501"/>
      <c r="B18" s="535"/>
      <c r="C18" s="536"/>
      <c r="D18" s="528"/>
      <c r="E18" s="538"/>
      <c r="F18" s="528"/>
      <c r="G18" s="537"/>
      <c r="H18" s="524"/>
      <c r="I18" s="537"/>
      <c r="J18" s="524"/>
      <c r="K18" s="861"/>
      <c r="L18" s="1864"/>
      <c r="M18" s="1856"/>
      <c r="N18" s="1856"/>
      <c r="O18" s="1856"/>
      <c r="P18" s="3866"/>
      <c r="Q18" s="1384"/>
      <c r="R18" s="1385"/>
      <c r="S18" s="1386"/>
      <c r="T18" s="1385"/>
      <c r="U18" s="1386"/>
      <c r="V18" s="1385"/>
      <c r="W18" s="1386"/>
      <c r="X18" s="1379"/>
      <c r="Y18" s="3866"/>
      <c r="Z18" s="1387"/>
      <c r="AA18" s="1388">
        <v>1</v>
      </c>
      <c r="AB18" s="1388">
        <v>1</v>
      </c>
      <c r="AC18" s="1388">
        <v>1</v>
      </c>
    </row>
    <row r="19" spans="1:29" ht="42.75">
      <c r="A19" s="501"/>
      <c r="B19" s="2210"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60"/>
      <c r="L19" s="1864"/>
      <c r="M19" s="1856"/>
      <c r="N19" s="1856"/>
      <c r="O19" s="1856"/>
      <c r="P19" s="3866"/>
      <c r="Q19" s="1384" t="str">
        <f>B19</f>
        <v>公共配套设施</v>
      </c>
      <c r="R19" s="1385" t="s">
        <v>5</v>
      </c>
      <c r="S19" s="1386">
        <f>F19</f>
        <v>100</v>
      </c>
      <c r="T19" s="1385" t="s">
        <v>5</v>
      </c>
      <c r="U19" s="1386">
        <f>H19</f>
        <v>100</v>
      </c>
      <c r="V19" s="1385" t="s">
        <v>5</v>
      </c>
      <c r="W19" s="1386">
        <f>J19</f>
        <v>100</v>
      </c>
      <c r="X19" s="1379"/>
      <c r="Y19" s="3866"/>
      <c r="Z19" s="1387" t="str">
        <f>Q19</f>
        <v>公共配套设施</v>
      </c>
      <c r="AA19" s="1388">
        <f t="shared" si="3"/>
        <v>1</v>
      </c>
      <c r="AB19" s="1388">
        <f t="shared" si="4"/>
        <v>1</v>
      </c>
      <c r="AC19" s="1388">
        <f t="shared" si="5"/>
        <v>1</v>
      </c>
    </row>
    <row r="20" spans="1:29" ht="15">
      <c r="A20" s="501"/>
      <c r="B20" s="535"/>
      <c r="C20" s="523"/>
      <c r="D20" s="524"/>
      <c r="E20" s="527"/>
      <c r="F20" s="524"/>
      <c r="G20" s="525"/>
      <c r="H20" s="524"/>
      <c r="I20" s="525"/>
      <c r="J20" s="524"/>
      <c r="K20" s="861"/>
      <c r="L20" s="1864"/>
      <c r="M20" s="1856"/>
      <c r="N20" s="1856"/>
      <c r="O20" s="1856"/>
      <c r="P20" s="3866"/>
      <c r="Q20" s="1384"/>
      <c r="R20" s="1385"/>
      <c r="S20" s="1386"/>
      <c r="T20" s="1385"/>
      <c r="U20" s="1386"/>
      <c r="V20" s="1385"/>
      <c r="W20" s="1386"/>
      <c r="X20" s="1379"/>
      <c r="Y20" s="3866"/>
      <c r="Z20" s="1387"/>
      <c r="AA20" s="1388">
        <v>1</v>
      </c>
      <c r="AB20" s="1388">
        <v>1</v>
      </c>
      <c r="AC20" s="1388">
        <v>1</v>
      </c>
    </row>
    <row r="21" spans="1:29" ht="28.5">
      <c r="A21" s="501"/>
      <c r="B21" s="2198"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60"/>
      <c r="L21" s="1864"/>
      <c r="M21" s="1856"/>
      <c r="N21" s="1856"/>
      <c r="O21" s="1856"/>
      <c r="P21" s="3866"/>
      <c r="Q21" s="2192" t="str">
        <f>B21</f>
        <v>基础设施水平</v>
      </c>
      <c r="R21" s="1385" t="s">
        <v>5</v>
      </c>
      <c r="S21" s="1386">
        <f>F21</f>
        <v>100</v>
      </c>
      <c r="T21" s="1385" t="s">
        <v>5</v>
      </c>
      <c r="U21" s="1386">
        <f>H21</f>
        <v>100</v>
      </c>
      <c r="V21" s="1385" t="s">
        <v>5</v>
      </c>
      <c r="W21" s="1386">
        <f>J21</f>
        <v>100</v>
      </c>
      <c r="X21" s="2194"/>
      <c r="Y21" s="3866"/>
      <c r="Z21" s="2193" t="str">
        <f>Q21</f>
        <v>基础设施水平</v>
      </c>
      <c r="AA21" s="1388">
        <f>D21/F21</f>
        <v>1</v>
      </c>
      <c r="AB21" s="1388">
        <f>D21/H21</f>
        <v>1</v>
      </c>
      <c r="AC21" s="1388">
        <f>D21/J21</f>
        <v>1</v>
      </c>
    </row>
    <row r="22" spans="1:29" ht="15">
      <c r="A22" s="501"/>
      <c r="B22" s="547"/>
      <c r="C22" s="536"/>
      <c r="D22" s="524"/>
      <c r="E22" s="545"/>
      <c r="F22" s="524"/>
      <c r="G22" s="523"/>
      <c r="H22" s="524"/>
      <c r="I22" s="523"/>
      <c r="J22" s="524"/>
      <c r="K22" s="2209"/>
      <c r="L22" s="1864"/>
      <c r="M22" s="1856"/>
      <c r="N22" s="1856"/>
      <c r="O22" s="1856"/>
      <c r="P22" s="3866"/>
      <c r="Q22" s="2192"/>
      <c r="R22" s="1385"/>
      <c r="S22" s="1386"/>
      <c r="T22" s="1385"/>
      <c r="U22" s="1386"/>
      <c r="V22" s="1385"/>
      <c r="W22" s="1386"/>
      <c r="X22" s="2194"/>
      <c r="Y22" s="3866"/>
      <c r="Z22" s="2193"/>
      <c r="AA22" s="1388">
        <v>1</v>
      </c>
      <c r="AB22" s="1388">
        <v>1</v>
      </c>
      <c r="AC22" s="1388">
        <v>1</v>
      </c>
    </row>
    <row r="23" spans="1:29" ht="57">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60"/>
      <c r="L23" s="1864"/>
      <c r="M23" s="1856"/>
      <c r="N23" s="1856"/>
      <c r="O23" s="1856"/>
      <c r="P23" s="3866"/>
      <c r="Q23" s="1384" t="str">
        <f>B23</f>
        <v>环境质量</v>
      </c>
      <c r="R23" s="1385" t="s">
        <v>5</v>
      </c>
      <c r="S23" s="1386">
        <f>F23</f>
        <v>100</v>
      </c>
      <c r="T23" s="1385" t="s">
        <v>5</v>
      </c>
      <c r="U23" s="1386">
        <f>H23</f>
        <v>100</v>
      </c>
      <c r="V23" s="1385" t="s">
        <v>5</v>
      </c>
      <c r="W23" s="1386">
        <f>J23</f>
        <v>100</v>
      </c>
      <c r="X23" s="1379"/>
      <c r="Y23" s="3866"/>
      <c r="Z23" s="1387" t="str">
        <f>Q23</f>
        <v>环境质量</v>
      </c>
      <c r="AA23" s="1388">
        <f t="shared" si="3"/>
        <v>1</v>
      </c>
      <c r="AB23" s="1388">
        <f t="shared" si="4"/>
        <v>1</v>
      </c>
      <c r="AC23" s="1388">
        <f t="shared" si="5"/>
        <v>1</v>
      </c>
    </row>
    <row r="24" spans="1:29" ht="15">
      <c r="A24" s="501"/>
      <c r="B24" s="547"/>
      <c r="C24" s="523"/>
      <c r="D24" s="524"/>
      <c r="E24" s="527"/>
      <c r="F24" s="524"/>
      <c r="G24" s="525"/>
      <c r="H24" s="524"/>
      <c r="I24" s="525"/>
      <c r="J24" s="524"/>
      <c r="K24" s="861"/>
      <c r="L24" s="1864"/>
      <c r="M24" s="1856"/>
      <c r="N24" s="1856"/>
      <c r="O24" s="1856"/>
      <c r="P24" s="3866"/>
      <c r="Q24" s="1384"/>
      <c r="R24" s="1385"/>
      <c r="S24" s="1386"/>
      <c r="T24" s="1385"/>
      <c r="U24" s="1386"/>
      <c r="V24" s="1385"/>
      <c r="W24" s="1386"/>
      <c r="X24" s="1379"/>
      <c r="Y24" s="3866"/>
      <c r="Z24" s="1387"/>
      <c r="AA24" s="1388">
        <v>1</v>
      </c>
      <c r="AB24" s="1388">
        <v>1</v>
      </c>
      <c r="AC24" s="1388">
        <v>1</v>
      </c>
    </row>
    <row r="25" spans="1:29" ht="27">
      <c r="A25" s="484"/>
      <c r="B25" s="529" t="s">
        <v>497</v>
      </c>
      <c r="C25" s="874"/>
      <c r="D25" s="509">
        <v>100</v>
      </c>
      <c r="E25" s="508"/>
      <c r="F25" s="509">
        <f>SUMIF(87:87,E26,88:88)-SUMIF(87:87,C26,88:88)+100</f>
        <v>100</v>
      </c>
      <c r="G25" s="874"/>
      <c r="H25" s="509">
        <f>SUMIF(87:87,G26,88:88)-SUMIF(87:87,C26,88:88)+100</f>
        <v>100</v>
      </c>
      <c r="I25" s="508"/>
      <c r="J25" s="509">
        <f>SUMIF(87:87,I26,88:88)-SUMIF(87:87,C26,88:88)+100</f>
        <v>100</v>
      </c>
      <c r="K25" s="860"/>
      <c r="L25" s="1864"/>
      <c r="M25" s="1856"/>
      <c r="N25" s="1856"/>
      <c r="O25" s="1856"/>
      <c r="P25" s="3866"/>
      <c r="Q25" s="1384" t="str">
        <f>B25</f>
        <v>毗邻道路的类型与等级</v>
      </c>
      <c r="R25" s="1385" t="s">
        <v>5</v>
      </c>
      <c r="S25" s="1386">
        <f>F25</f>
        <v>100</v>
      </c>
      <c r="T25" s="1385" t="s">
        <v>5</v>
      </c>
      <c r="U25" s="1386">
        <f>H25</f>
        <v>100</v>
      </c>
      <c r="V25" s="1385" t="s">
        <v>5</v>
      </c>
      <c r="W25" s="1386">
        <f>J25</f>
        <v>100</v>
      </c>
      <c r="X25" s="1379"/>
      <c r="Y25" s="3866"/>
      <c r="Z25" s="1387" t="str">
        <f>Q25</f>
        <v>毗邻道路的类型与等级</v>
      </c>
      <c r="AA25" s="1388">
        <f t="shared" si="3"/>
        <v>1</v>
      </c>
      <c r="AB25" s="1388">
        <f t="shared" si="4"/>
        <v>1</v>
      </c>
      <c r="AC25" s="1388">
        <f t="shared" si="5"/>
        <v>1</v>
      </c>
    </row>
    <row r="26" spans="1:29" ht="15">
      <c r="A26" s="484"/>
      <c r="B26" s="535"/>
      <c r="C26" s="549"/>
      <c r="D26" s="509"/>
      <c r="E26" s="552"/>
      <c r="F26" s="509"/>
      <c r="G26" s="549"/>
      <c r="H26" s="509"/>
      <c r="I26" s="552"/>
      <c r="J26" s="509"/>
      <c r="K26" s="861"/>
      <c r="L26" s="1864"/>
      <c r="M26" s="1856"/>
      <c r="N26" s="1856"/>
      <c r="O26" s="1856"/>
      <c r="P26" s="3866"/>
      <c r="Q26" s="1384"/>
      <c r="R26" s="1385"/>
      <c r="S26" s="1386"/>
      <c r="T26" s="1385"/>
      <c r="U26" s="1386"/>
      <c r="V26" s="1385"/>
      <c r="W26" s="1386"/>
      <c r="X26" s="1379"/>
      <c r="Y26" s="3866"/>
      <c r="Z26" s="1387"/>
      <c r="AA26" s="1388">
        <v>1</v>
      </c>
      <c r="AB26" s="1388">
        <v>1</v>
      </c>
      <c r="AC26" s="1388">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4"/>
      <c r="M27" s="1856"/>
      <c r="N27" s="1856"/>
      <c r="O27" s="1856"/>
      <c r="P27" s="3866"/>
      <c r="Q27" s="1384" t="str">
        <f t="shared" ref="Q27:Q47" si="8">B27</f>
        <v>楼层</v>
      </c>
      <c r="R27" s="1385" t="s">
        <v>5</v>
      </c>
      <c r="S27" s="1386">
        <f>F27</f>
        <v>100</v>
      </c>
      <c r="T27" s="1385" t="s">
        <v>5</v>
      </c>
      <c r="U27" s="1386">
        <f>H27</f>
        <v>100</v>
      </c>
      <c r="V27" s="1385" t="s">
        <v>5</v>
      </c>
      <c r="W27" s="1386">
        <f>J27</f>
        <v>100</v>
      </c>
      <c r="X27" s="1379"/>
      <c r="Y27" s="3866"/>
      <c r="Z27" s="1387" t="str">
        <f>Q27</f>
        <v>楼层</v>
      </c>
      <c r="AA27" s="1388">
        <f t="shared" si="3"/>
        <v>1</v>
      </c>
      <c r="AB27" s="1388">
        <f t="shared" si="4"/>
        <v>1</v>
      </c>
      <c r="AC27" s="1388">
        <f t="shared" si="5"/>
        <v>1</v>
      </c>
    </row>
    <row r="28" spans="1:29" s="1117" customFormat="1" ht="15">
      <c r="A28" s="505"/>
      <c r="B28" s="529" t="s">
        <v>719</v>
      </c>
      <c r="C28" s="875"/>
      <c r="D28" s="837">
        <v>100</v>
      </c>
      <c r="E28" s="863"/>
      <c r="F28" s="837">
        <f>SUMIF(91:91,E28,92:92)-SUMIF(91:91,C28,92:92)+100</f>
        <v>100</v>
      </c>
      <c r="G28" s="875"/>
      <c r="H28" s="837">
        <f>SUMIF(91:91,G28,92:92)-SUMIF(91:91,C28,92:92)+100</f>
        <v>100</v>
      </c>
      <c r="I28" s="863"/>
      <c r="J28" s="837">
        <f>SUMIF(91:91,I28,92:92)-SUMIF(91:91,C28,92:92)+100</f>
        <v>100</v>
      </c>
      <c r="K28" s="553"/>
      <c r="L28" s="1857"/>
      <c r="M28" s="1858"/>
      <c r="N28" s="1858"/>
      <c r="O28" s="1858"/>
      <c r="P28" s="3866"/>
      <c r="Q28" s="1049" t="str">
        <f t="shared" si="8"/>
        <v>朝向</v>
      </c>
      <c r="R28" s="1380" t="s">
        <v>5</v>
      </c>
      <c r="S28" s="1381">
        <f>F28</f>
        <v>100</v>
      </c>
      <c r="T28" s="1380" t="s">
        <v>5</v>
      </c>
      <c r="U28" s="1381">
        <f>H28</f>
        <v>100</v>
      </c>
      <c r="V28" s="1380" t="s">
        <v>5</v>
      </c>
      <c r="W28" s="1381">
        <f>J28</f>
        <v>100</v>
      </c>
      <c r="X28" s="1382"/>
      <c r="Y28" s="3866"/>
      <c r="Z28" s="1048" t="str">
        <f>Q28</f>
        <v>朝向</v>
      </c>
      <c r="AA28" s="1388">
        <f>D28/F28</f>
        <v>1</v>
      </c>
      <c r="AB28" s="1388">
        <f>D28/H28</f>
        <v>1</v>
      </c>
      <c r="AC28" s="1388">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4"/>
      <c r="M29" s="1856"/>
      <c r="N29" s="1856"/>
      <c r="O29" s="1856"/>
      <c r="P29" s="3866"/>
      <c r="Q29" s="1384">
        <f t="shared" si="8"/>
        <v>111</v>
      </c>
      <c r="R29" s="1385" t="s">
        <v>5</v>
      </c>
      <c r="S29" s="1386">
        <f t="shared" ref="S29:S47" si="9">F29</f>
        <v>100</v>
      </c>
      <c r="T29" s="1385" t="s">
        <v>5</v>
      </c>
      <c r="U29" s="1386">
        <f t="shared" ref="U29:U47" si="10">H29</f>
        <v>100</v>
      </c>
      <c r="V29" s="1385" t="s">
        <v>5</v>
      </c>
      <c r="W29" s="1386">
        <f t="shared" ref="W29:W47" si="11">J29</f>
        <v>100</v>
      </c>
      <c r="X29" s="1379"/>
      <c r="Y29" s="3866"/>
      <c r="Z29" s="1387">
        <f t="shared" ref="Z29:Z47" si="12">Q29</f>
        <v>111</v>
      </c>
      <c r="AA29" s="1388">
        <f t="shared" si="3"/>
        <v>1</v>
      </c>
      <c r="AB29" s="1388">
        <f t="shared" si="4"/>
        <v>1</v>
      </c>
      <c r="AC29" s="1388">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4"/>
      <c r="M30" s="1856"/>
      <c r="N30" s="1856"/>
      <c r="O30" s="1856"/>
      <c r="P30" s="3866"/>
      <c r="Q30" s="1384">
        <f t="shared" si="8"/>
        <v>111</v>
      </c>
      <c r="R30" s="1385" t="s">
        <v>5</v>
      </c>
      <c r="S30" s="1386">
        <f t="shared" si="9"/>
        <v>100</v>
      </c>
      <c r="T30" s="1385" t="s">
        <v>5</v>
      </c>
      <c r="U30" s="1386">
        <f t="shared" si="10"/>
        <v>100</v>
      </c>
      <c r="V30" s="1385" t="s">
        <v>5</v>
      </c>
      <c r="W30" s="1386">
        <f t="shared" si="11"/>
        <v>100</v>
      </c>
      <c r="X30" s="1379"/>
      <c r="Y30" s="3866"/>
      <c r="Z30" s="1387">
        <f t="shared" si="12"/>
        <v>111</v>
      </c>
      <c r="AA30" s="1388">
        <f t="shared" si="3"/>
        <v>1</v>
      </c>
      <c r="AB30" s="1388">
        <f t="shared" si="4"/>
        <v>1</v>
      </c>
      <c r="AC30" s="1388">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4"/>
      <c r="M31" s="1856"/>
      <c r="N31" s="1856"/>
      <c r="O31" s="1856"/>
      <c r="P31" s="3866"/>
      <c r="Q31" s="1384">
        <f t="shared" si="8"/>
        <v>111</v>
      </c>
      <c r="R31" s="1385" t="s">
        <v>5</v>
      </c>
      <c r="S31" s="1386">
        <f t="shared" si="9"/>
        <v>100</v>
      </c>
      <c r="T31" s="1385" t="s">
        <v>5</v>
      </c>
      <c r="U31" s="1386">
        <f t="shared" si="10"/>
        <v>100</v>
      </c>
      <c r="V31" s="1385" t="s">
        <v>5</v>
      </c>
      <c r="W31" s="1386">
        <f t="shared" si="11"/>
        <v>100</v>
      </c>
      <c r="X31" s="1379"/>
      <c r="Y31" s="3866"/>
      <c r="Z31" s="1387">
        <f t="shared" si="12"/>
        <v>111</v>
      </c>
      <c r="AA31" s="1388">
        <f t="shared" si="3"/>
        <v>1</v>
      </c>
      <c r="AB31" s="1388">
        <f t="shared" si="4"/>
        <v>1</v>
      </c>
      <c r="AC31" s="1388">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4"/>
      <c r="M32" s="1856"/>
      <c r="N32" s="1856"/>
      <c r="O32" s="1856"/>
      <c r="P32" s="3866"/>
      <c r="Q32" s="1384">
        <f t="shared" si="8"/>
        <v>111</v>
      </c>
      <c r="R32" s="1385" t="s">
        <v>5</v>
      </c>
      <c r="S32" s="1386">
        <f t="shared" si="9"/>
        <v>100</v>
      </c>
      <c r="T32" s="1385" t="s">
        <v>5</v>
      </c>
      <c r="U32" s="1386">
        <f t="shared" si="10"/>
        <v>100</v>
      </c>
      <c r="V32" s="1385" t="s">
        <v>5</v>
      </c>
      <c r="W32" s="1386">
        <f t="shared" si="11"/>
        <v>100</v>
      </c>
      <c r="X32" s="1379"/>
      <c r="Y32" s="3866"/>
      <c r="Z32" s="1387">
        <f t="shared" si="12"/>
        <v>111</v>
      </c>
      <c r="AA32" s="1388">
        <f t="shared" si="3"/>
        <v>1</v>
      </c>
      <c r="AB32" s="1388">
        <f t="shared" si="4"/>
        <v>1</v>
      </c>
      <c r="AC32" s="1388">
        <f t="shared" si="5"/>
        <v>1</v>
      </c>
    </row>
    <row r="33" spans="1:29" ht="15">
      <c r="A33" s="2386" t="s">
        <v>2037</v>
      </c>
      <c r="B33" s="165" t="s">
        <v>720</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4"/>
      <c r="M33" s="1856"/>
      <c r="N33" s="1856"/>
      <c r="O33" s="1856"/>
      <c r="P33" s="3867" t="s">
        <v>499</v>
      </c>
      <c r="Q33" s="1384" t="str">
        <f t="shared" si="8"/>
        <v>建筑类型</v>
      </c>
      <c r="R33" s="1385" t="s">
        <v>5</v>
      </c>
      <c r="S33" s="1386">
        <f t="shared" si="9"/>
        <v>100</v>
      </c>
      <c r="T33" s="1385" t="s">
        <v>5</v>
      </c>
      <c r="U33" s="1386">
        <f t="shared" si="10"/>
        <v>100</v>
      </c>
      <c r="V33" s="1385" t="s">
        <v>5</v>
      </c>
      <c r="W33" s="1386">
        <f t="shared" si="11"/>
        <v>100</v>
      </c>
      <c r="X33" s="1379"/>
      <c r="Y33" s="3868" t="s">
        <v>499</v>
      </c>
      <c r="Z33" s="1387" t="str">
        <f t="shared" si="12"/>
        <v>建筑类型</v>
      </c>
      <c r="AA33" s="1388">
        <f t="shared" si="3"/>
        <v>1</v>
      </c>
      <c r="AB33" s="1388">
        <f t="shared" si="4"/>
        <v>1</v>
      </c>
      <c r="AC33" s="1388">
        <f t="shared" si="5"/>
        <v>1</v>
      </c>
    </row>
    <row r="34" spans="1:29" s="1199"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2"/>
      <c r="M34" s="1892"/>
      <c r="N34" s="1892"/>
      <c r="O34" s="1892"/>
      <c r="P34" s="3868"/>
      <c r="Q34" s="1413" t="str">
        <f t="shared" si="8"/>
        <v>项目建筑规模</v>
      </c>
      <c r="R34" s="1389" t="s">
        <v>5</v>
      </c>
      <c r="S34" s="1390" t="e">
        <f t="shared" si="9"/>
        <v>#N/A</v>
      </c>
      <c r="T34" s="1389" t="s">
        <v>5</v>
      </c>
      <c r="U34" s="1390" t="e">
        <f t="shared" si="10"/>
        <v>#N/A</v>
      </c>
      <c r="V34" s="1389" t="s">
        <v>5</v>
      </c>
      <c r="W34" s="1390" t="e">
        <f t="shared" si="11"/>
        <v>#N/A</v>
      </c>
      <c r="X34" s="1391"/>
      <c r="Y34" s="3868"/>
      <c r="Z34" s="1392" t="str">
        <f t="shared" si="12"/>
        <v>项目建筑规模</v>
      </c>
      <c r="AA34" s="1388" t="e">
        <f t="shared" si="3"/>
        <v>#N/A</v>
      </c>
      <c r="AB34" s="1388" t="e">
        <f t="shared" si="4"/>
        <v>#N/A</v>
      </c>
      <c r="AC34" s="1388"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4"/>
      <c r="M35" s="1856"/>
      <c r="N35" s="1856"/>
      <c r="O35" s="1856"/>
      <c r="P35" s="3868"/>
      <c r="Q35" s="1384" t="str">
        <f t="shared" si="8"/>
        <v>建筑结构</v>
      </c>
      <c r="R35" s="1385" t="s">
        <v>5</v>
      </c>
      <c r="S35" s="1386">
        <f t="shared" si="9"/>
        <v>100</v>
      </c>
      <c r="T35" s="1385" t="s">
        <v>5</v>
      </c>
      <c r="U35" s="1386">
        <f t="shared" si="10"/>
        <v>100</v>
      </c>
      <c r="V35" s="1385" t="s">
        <v>5</v>
      </c>
      <c r="W35" s="1386">
        <f t="shared" si="11"/>
        <v>100</v>
      </c>
      <c r="X35" s="1379"/>
      <c r="Y35" s="3868"/>
      <c r="Z35" s="1387" t="str">
        <f t="shared" si="12"/>
        <v>建筑结构</v>
      </c>
      <c r="AA35" s="1388">
        <f t="shared" si="3"/>
        <v>1</v>
      </c>
      <c r="AB35" s="1388">
        <f t="shared" si="4"/>
        <v>1</v>
      </c>
      <c r="AC35" s="1388">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4"/>
      <c r="M36" s="1856"/>
      <c r="N36" s="1856"/>
      <c r="O36" s="1856"/>
      <c r="P36" s="3868"/>
      <c r="Q36" s="1384" t="str">
        <f t="shared" si="8"/>
        <v>公共部分装修</v>
      </c>
      <c r="R36" s="1385" t="s">
        <v>5</v>
      </c>
      <c r="S36" s="1386">
        <f t="shared" si="9"/>
        <v>100</v>
      </c>
      <c r="T36" s="1385" t="s">
        <v>5</v>
      </c>
      <c r="U36" s="1386">
        <f t="shared" si="10"/>
        <v>100</v>
      </c>
      <c r="V36" s="1385" t="s">
        <v>5</v>
      </c>
      <c r="W36" s="1386">
        <f t="shared" si="11"/>
        <v>100</v>
      </c>
      <c r="X36" s="1379"/>
      <c r="Y36" s="3868"/>
      <c r="Z36" s="1387" t="str">
        <f t="shared" si="12"/>
        <v>公共部分装修</v>
      </c>
      <c r="AA36" s="1388">
        <f t="shared" si="3"/>
        <v>1</v>
      </c>
      <c r="AB36" s="1388">
        <f t="shared" si="4"/>
        <v>1</v>
      </c>
      <c r="AC36" s="1388">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4"/>
      <c r="M37" s="1856"/>
      <c r="N37" s="1856"/>
      <c r="O37" s="1856"/>
      <c r="P37" s="3868"/>
      <c r="Q37" s="1384" t="str">
        <f t="shared" si="8"/>
        <v>成新度</v>
      </c>
      <c r="R37" s="1385" t="s">
        <v>5</v>
      </c>
      <c r="S37" s="1386" t="e">
        <f t="shared" si="9"/>
        <v>#N/A</v>
      </c>
      <c r="T37" s="1385" t="s">
        <v>5</v>
      </c>
      <c r="U37" s="1386" t="e">
        <f t="shared" si="10"/>
        <v>#N/A</v>
      </c>
      <c r="V37" s="1385" t="s">
        <v>5</v>
      </c>
      <c r="W37" s="1386" t="e">
        <f t="shared" si="11"/>
        <v>#N/A</v>
      </c>
      <c r="X37" s="1379"/>
      <c r="Y37" s="3868"/>
      <c r="Z37" s="1387" t="str">
        <f t="shared" si="12"/>
        <v>成新度</v>
      </c>
      <c r="AA37" s="1388" t="e">
        <f t="shared" si="3"/>
        <v>#N/A</v>
      </c>
      <c r="AB37" s="1388" t="e">
        <f t="shared" si="4"/>
        <v>#N/A</v>
      </c>
      <c r="AC37" s="1388" t="e">
        <f t="shared" si="5"/>
        <v>#N/A</v>
      </c>
    </row>
    <row r="38" spans="1:29" s="1117"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7"/>
      <c r="M38" s="1858"/>
      <c r="N38" s="1858"/>
      <c r="O38" s="1858"/>
      <c r="P38" s="3868"/>
      <c r="Q38" s="1049" t="str">
        <f t="shared" si="8"/>
        <v>写字楼等级</v>
      </c>
      <c r="R38" s="1380" t="s">
        <v>5</v>
      </c>
      <c r="S38" s="1381">
        <f t="shared" si="9"/>
        <v>100</v>
      </c>
      <c r="T38" s="1380" t="s">
        <v>5</v>
      </c>
      <c r="U38" s="1381">
        <f t="shared" si="10"/>
        <v>100</v>
      </c>
      <c r="V38" s="1380" t="s">
        <v>5</v>
      </c>
      <c r="W38" s="1381">
        <f t="shared" si="11"/>
        <v>100</v>
      </c>
      <c r="X38" s="1382"/>
      <c r="Y38" s="3868"/>
      <c r="Z38" s="1048" t="str">
        <f t="shared" si="12"/>
        <v>写字楼等级</v>
      </c>
      <c r="AA38" s="1383">
        <f t="shared" si="3"/>
        <v>1</v>
      </c>
      <c r="AB38" s="1383">
        <f t="shared" si="4"/>
        <v>1</v>
      </c>
      <c r="AC38" s="1383">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4"/>
      <c r="M39" s="1856"/>
      <c r="N39" s="1856"/>
      <c r="O39" s="1856"/>
      <c r="P39" s="3868" t="s">
        <v>499</v>
      </c>
      <c r="Q39" s="1384" t="str">
        <f t="shared" si="8"/>
        <v>物业管理</v>
      </c>
      <c r="R39" s="1385" t="s">
        <v>5</v>
      </c>
      <c r="S39" s="1386">
        <f t="shared" si="9"/>
        <v>100</v>
      </c>
      <c r="T39" s="1385" t="s">
        <v>5</v>
      </c>
      <c r="U39" s="1386">
        <f t="shared" si="10"/>
        <v>100</v>
      </c>
      <c r="V39" s="1385" t="s">
        <v>5</v>
      </c>
      <c r="W39" s="1386">
        <f t="shared" si="11"/>
        <v>100</v>
      </c>
      <c r="X39" s="1379"/>
      <c r="Y39" s="3868" t="s">
        <v>499</v>
      </c>
      <c r="Z39" s="1387" t="str">
        <f t="shared" si="12"/>
        <v>物业管理</v>
      </c>
      <c r="AA39" s="1388">
        <f t="shared" si="3"/>
        <v>1</v>
      </c>
      <c r="AB39" s="1388">
        <f t="shared" si="4"/>
        <v>1</v>
      </c>
      <c r="AC39" s="1388">
        <f t="shared" si="5"/>
        <v>1</v>
      </c>
    </row>
    <row r="40" spans="1:29" ht="15">
      <c r="A40" s="563"/>
      <c r="B40" s="1650"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4"/>
      <c r="M40" s="1856"/>
      <c r="N40" s="1856"/>
      <c r="O40" s="1856"/>
      <c r="P40" s="3868"/>
      <c r="Q40" s="1384" t="str">
        <f t="shared" si="8"/>
        <v>市政基础设施</v>
      </c>
      <c r="R40" s="1385" t="s">
        <v>5</v>
      </c>
      <c r="S40" s="1386">
        <f t="shared" si="9"/>
        <v>100</v>
      </c>
      <c r="T40" s="1385" t="s">
        <v>5</v>
      </c>
      <c r="U40" s="1386">
        <f t="shared" si="10"/>
        <v>100</v>
      </c>
      <c r="V40" s="1385" t="s">
        <v>5</v>
      </c>
      <c r="W40" s="1386">
        <f t="shared" si="11"/>
        <v>100</v>
      </c>
      <c r="X40" s="1379"/>
      <c r="Y40" s="3868"/>
      <c r="Z40" s="1387" t="str">
        <f t="shared" si="12"/>
        <v>市政基础设施</v>
      </c>
      <c r="AA40" s="1388">
        <f t="shared" si="3"/>
        <v>1</v>
      </c>
      <c r="AB40" s="1388">
        <f t="shared" si="4"/>
        <v>1</v>
      </c>
      <c r="AC40" s="1388">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4"/>
      <c r="M41" s="1856"/>
      <c r="N41" s="1856"/>
      <c r="O41" s="1856"/>
      <c r="P41" s="3868"/>
      <c r="Q41" s="1384" t="str">
        <f t="shared" si="8"/>
        <v>层高</v>
      </c>
      <c r="R41" s="1385" t="s">
        <v>5</v>
      </c>
      <c r="S41" s="1386">
        <f t="shared" si="9"/>
        <v>100</v>
      </c>
      <c r="T41" s="1385" t="s">
        <v>5</v>
      </c>
      <c r="U41" s="1386">
        <f t="shared" si="10"/>
        <v>100</v>
      </c>
      <c r="V41" s="1385" t="s">
        <v>5</v>
      </c>
      <c r="W41" s="1386">
        <f t="shared" si="11"/>
        <v>100</v>
      </c>
      <c r="X41" s="1379"/>
      <c r="Y41" s="3868"/>
      <c r="Z41" s="1387" t="str">
        <f t="shared" si="12"/>
        <v>层高</v>
      </c>
      <c r="AA41" s="1388">
        <f t="shared" si="3"/>
        <v>1</v>
      </c>
      <c r="AB41" s="1388">
        <f t="shared" si="4"/>
        <v>1</v>
      </c>
      <c r="AC41" s="1388">
        <f t="shared" si="5"/>
        <v>1</v>
      </c>
    </row>
    <row r="42" spans="1:29" s="1199" customFormat="1" ht="15">
      <c r="A42" s="572"/>
      <c r="B42" s="866"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2"/>
      <c r="M42" s="1892"/>
      <c r="N42" s="1892"/>
      <c r="O42" s="1892"/>
      <c r="P42" s="3868"/>
      <c r="Q42" s="1413" t="str">
        <f t="shared" si="8"/>
        <v>单套建筑面积</v>
      </c>
      <c r="R42" s="1389" t="s">
        <v>5</v>
      </c>
      <c r="S42" s="1390">
        <f t="shared" si="9"/>
        <v>100</v>
      </c>
      <c r="T42" s="1389" t="s">
        <v>5</v>
      </c>
      <c r="U42" s="1390">
        <f t="shared" si="10"/>
        <v>100</v>
      </c>
      <c r="V42" s="1389" t="s">
        <v>5</v>
      </c>
      <c r="W42" s="1390">
        <f t="shared" si="11"/>
        <v>100</v>
      </c>
      <c r="X42" s="1391"/>
      <c r="Y42" s="3868"/>
      <c r="Z42" s="1392" t="str">
        <f t="shared" si="12"/>
        <v>单套建筑面积</v>
      </c>
      <c r="AA42" s="1388">
        <f t="shared" si="3"/>
        <v>1</v>
      </c>
      <c r="AB42" s="1388">
        <f t="shared" si="4"/>
        <v>1</v>
      </c>
      <c r="AC42" s="1388">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4"/>
      <c r="M43" s="1856"/>
      <c r="N43" s="1856"/>
      <c r="O43" s="1856"/>
      <c r="P43" s="3868"/>
      <c r="Q43" s="1384" t="str">
        <f t="shared" si="8"/>
        <v>内部装修</v>
      </c>
      <c r="R43" s="1385" t="s">
        <v>5</v>
      </c>
      <c r="S43" s="1386">
        <f t="shared" si="9"/>
        <v>100</v>
      </c>
      <c r="T43" s="1385" t="s">
        <v>5</v>
      </c>
      <c r="U43" s="1386">
        <f t="shared" si="10"/>
        <v>100</v>
      </c>
      <c r="V43" s="1385" t="s">
        <v>5</v>
      </c>
      <c r="W43" s="1386">
        <f t="shared" si="11"/>
        <v>100</v>
      </c>
      <c r="X43" s="1379"/>
      <c r="Y43" s="3868"/>
      <c r="Z43" s="1387" t="str">
        <f t="shared" si="12"/>
        <v>内部装修</v>
      </c>
      <c r="AA43" s="1388">
        <f t="shared" si="3"/>
        <v>1</v>
      </c>
      <c r="AB43" s="1388">
        <f t="shared" si="4"/>
        <v>1</v>
      </c>
      <c r="AC43" s="1388">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4"/>
      <c r="M44" s="1856"/>
      <c r="N44" s="1856"/>
      <c r="O44" s="1856"/>
      <c r="P44" s="3868"/>
      <c r="Q44" s="1384" t="str">
        <f t="shared" si="8"/>
        <v>内部装修维护情况</v>
      </c>
      <c r="R44" s="1385" t="s">
        <v>5</v>
      </c>
      <c r="S44" s="1386">
        <f t="shared" si="9"/>
        <v>100</v>
      </c>
      <c r="T44" s="1385" t="s">
        <v>5</v>
      </c>
      <c r="U44" s="1386">
        <f t="shared" si="10"/>
        <v>100</v>
      </c>
      <c r="V44" s="1385" t="s">
        <v>5</v>
      </c>
      <c r="W44" s="1386">
        <f t="shared" si="11"/>
        <v>100</v>
      </c>
      <c r="X44" s="1379"/>
      <c r="Y44" s="3868"/>
      <c r="Z44" s="1387" t="str">
        <f t="shared" si="12"/>
        <v>内部装修维护情况</v>
      </c>
      <c r="AA44" s="1388">
        <f t="shared" si="3"/>
        <v>1</v>
      </c>
      <c r="AB44" s="1388">
        <f t="shared" si="4"/>
        <v>1</v>
      </c>
      <c r="AC44" s="1388">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7"/>
      <c r="M45" s="1858"/>
      <c r="N45" s="1858"/>
      <c r="O45" s="1858"/>
      <c r="P45" s="3868"/>
      <c r="Q45" s="1049">
        <f t="shared" si="8"/>
        <v>111</v>
      </c>
      <c r="R45" s="1380" t="s">
        <v>5</v>
      </c>
      <c r="S45" s="1381">
        <f t="shared" si="9"/>
        <v>100</v>
      </c>
      <c r="T45" s="1380" t="s">
        <v>5</v>
      </c>
      <c r="U45" s="1381">
        <f t="shared" si="10"/>
        <v>100</v>
      </c>
      <c r="V45" s="1380" t="s">
        <v>5</v>
      </c>
      <c r="W45" s="1381">
        <f t="shared" si="11"/>
        <v>100</v>
      </c>
      <c r="X45" s="1382"/>
      <c r="Y45" s="3868"/>
      <c r="Z45" s="1048">
        <f t="shared" si="12"/>
        <v>111</v>
      </c>
      <c r="AA45" s="1383">
        <f t="shared" si="3"/>
        <v>1</v>
      </c>
      <c r="AB45" s="1383">
        <f t="shared" si="4"/>
        <v>1</v>
      </c>
      <c r="AC45" s="1383">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4"/>
      <c r="M46" s="1856"/>
      <c r="N46" s="1856"/>
      <c r="O46" s="1856"/>
      <c r="P46" s="3868"/>
      <c r="Q46" s="1384">
        <f t="shared" si="8"/>
        <v>111</v>
      </c>
      <c r="R46" s="1385" t="s">
        <v>5</v>
      </c>
      <c r="S46" s="1386">
        <f t="shared" si="9"/>
        <v>100</v>
      </c>
      <c r="T46" s="1385" t="s">
        <v>5</v>
      </c>
      <c r="U46" s="1386">
        <f t="shared" si="10"/>
        <v>100</v>
      </c>
      <c r="V46" s="1385" t="s">
        <v>5</v>
      </c>
      <c r="W46" s="1386">
        <f t="shared" si="11"/>
        <v>100</v>
      </c>
      <c r="X46" s="1379"/>
      <c r="Y46" s="3868"/>
      <c r="Z46" s="1387">
        <f t="shared" si="12"/>
        <v>111</v>
      </c>
      <c r="AA46" s="1388">
        <f t="shared" si="3"/>
        <v>1</v>
      </c>
      <c r="AB46" s="1388">
        <f t="shared" si="4"/>
        <v>1</v>
      </c>
      <c r="AC46" s="1388">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4"/>
      <c r="M47" s="1856"/>
      <c r="N47" s="1856"/>
      <c r="O47" s="1856"/>
      <c r="P47" s="3976"/>
      <c r="Q47" s="1384">
        <f t="shared" si="8"/>
        <v>111</v>
      </c>
      <c r="R47" s="1385" t="s">
        <v>5</v>
      </c>
      <c r="S47" s="1386">
        <f t="shared" si="9"/>
        <v>100</v>
      </c>
      <c r="T47" s="1385" t="s">
        <v>5</v>
      </c>
      <c r="U47" s="1386">
        <f t="shared" si="10"/>
        <v>100</v>
      </c>
      <c r="V47" s="1385" t="s">
        <v>5</v>
      </c>
      <c r="W47" s="1386">
        <f t="shared" si="11"/>
        <v>100</v>
      </c>
      <c r="X47" s="1379"/>
      <c r="Y47" s="3976"/>
      <c r="Z47" s="1387">
        <f t="shared" si="12"/>
        <v>111</v>
      </c>
      <c r="AA47" s="1388">
        <f t="shared" si="3"/>
        <v>1</v>
      </c>
      <c r="AB47" s="1388">
        <f t="shared" si="4"/>
        <v>1</v>
      </c>
      <c r="AC47" s="1388">
        <f t="shared" si="5"/>
        <v>1</v>
      </c>
    </row>
    <row r="48" spans="1:29" ht="15">
      <c r="A48" s="576" t="s">
        <v>683</v>
      </c>
      <c r="B48" s="849"/>
      <c r="C48" s="2233" t="s">
        <v>0</v>
      </c>
      <c r="D48" s="2234"/>
      <c r="E48" s="2235"/>
      <c r="F48" s="2236"/>
      <c r="G48" s="2237"/>
      <c r="H48" s="2238"/>
      <c r="I48" s="2235"/>
      <c r="J48" s="2238"/>
      <c r="K48" s="1418"/>
      <c r="L48" s="1866"/>
      <c r="M48" s="1856"/>
      <c r="N48" s="1856"/>
      <c r="O48" s="1856"/>
      <c r="P48" s="3870" t="str">
        <f>A48</f>
        <v>成交单价（元/平方米）</v>
      </c>
      <c r="Q48" s="3863"/>
      <c r="R48" s="3975">
        <f>E48</f>
        <v>0</v>
      </c>
      <c r="S48" s="3975"/>
      <c r="T48" s="3975">
        <f>G48</f>
        <v>0</v>
      </c>
      <c r="U48" s="3975"/>
      <c r="V48" s="3975">
        <f>I48</f>
        <v>0</v>
      </c>
      <c r="W48" s="3975"/>
      <c r="X48" s="1374"/>
      <c r="Y48" s="1393"/>
      <c r="Z48" s="1374"/>
      <c r="AA48" s="1374"/>
      <c r="AB48" s="1374"/>
      <c r="AC48" s="1374"/>
    </row>
    <row r="49" spans="1:29" ht="15.75" thickBot="1">
      <c r="A49" s="584" t="s">
        <v>2042</v>
      </c>
      <c r="B49" s="850"/>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870" t="str">
        <f>A49</f>
        <v>比较价格（元/平方米）</v>
      </c>
      <c r="Q49" s="3863"/>
      <c r="R49" s="3975" t="e">
        <f>IF(F1="售价",ROUND(PRODUCT(R48,AA7:AA47),0),ROUND(PRODUCT(R48,AA7:AA47),1))</f>
        <v>#DIV/0!</v>
      </c>
      <c r="S49" s="3975"/>
      <c r="T49" s="3975" t="e">
        <f>IF(F1="售价",ROUND(PRODUCT(T48,AB7:AB47),0),ROUND(PRODUCT(T48,AB7:AB47),1))</f>
        <v>#DIV/0!</v>
      </c>
      <c r="U49" s="3975"/>
      <c r="V49" s="3975" t="e">
        <f>IF(F1="售价",ROUND(PRODUCT(V48,AC7:AC47),0),ROUND(PRODUCT(V48,AC7:AC47),1))</f>
        <v>#DIV/0!</v>
      </c>
      <c r="W49" s="3975"/>
      <c r="X49" s="1374"/>
      <c r="Y49" s="1374"/>
      <c r="Z49" s="1374"/>
      <c r="AA49" s="1374"/>
      <c r="AB49" s="1374"/>
      <c r="AC49" s="1374"/>
    </row>
    <row r="50" spans="1:29" ht="15.75" thickBot="1">
      <c r="A50" s="588" t="s">
        <v>2198</v>
      </c>
      <c r="B50" s="589"/>
      <c r="C50" s="2241" t="e">
        <f>R50</f>
        <v>#DIV/0!</v>
      </c>
      <c r="D50" s="2241"/>
      <c r="E50" s="2241"/>
      <c r="F50" s="2241"/>
      <c r="G50" s="2241"/>
      <c r="H50" s="2241"/>
      <c r="I50" s="2241"/>
      <c r="J50" s="2241"/>
      <c r="K50" s="1419"/>
      <c r="L50" s="1866"/>
      <c r="M50" s="1856"/>
      <c r="N50" s="1856"/>
      <c r="O50" s="1856"/>
      <c r="P50" s="3980" t="str">
        <f>A50</f>
        <v>估价对象XX用房的比较价格（楼面单价，元/平方米）</v>
      </c>
      <c r="Q50" s="3870"/>
      <c r="R50" s="3974" t="e">
        <f>IF(F1="售价",ROUND(IF(D49="简单平均",AVERAGE(R49:V49),R49*F49+T49*H49+V49*J49),0),ROUND(IF(D49="简单平均",AVERAGE(R49:V49),R49*F49+T49*H49+V49*J49),1))</f>
        <v>#DIV/0!</v>
      </c>
      <c r="S50" s="3974"/>
      <c r="T50" s="3974"/>
      <c r="U50" s="3974"/>
      <c r="V50" s="3974"/>
      <c r="W50" s="3974"/>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2" t="s">
        <v>478</v>
      </c>
      <c r="B59" s="613"/>
      <c r="C59" s="2281" t="str">
        <f>YEAR(C7)&amp;"-"&amp;MONTH(C7)</f>
        <v>2024-3</v>
      </c>
      <c r="D59" s="2283">
        <f>EDATE(C59,-1)</f>
        <v>45323</v>
      </c>
      <c r="E59" s="2283">
        <f t="shared" ref="E59:O59" si="13">EDATE(D59,-1)</f>
        <v>45292</v>
      </c>
      <c r="F59" s="2283">
        <f t="shared" si="13"/>
        <v>45261</v>
      </c>
      <c r="G59" s="2283">
        <f t="shared" si="13"/>
        <v>45231</v>
      </c>
      <c r="H59" s="2283">
        <f t="shared" si="13"/>
        <v>45200</v>
      </c>
      <c r="I59" s="2283">
        <f t="shared" si="13"/>
        <v>45170</v>
      </c>
      <c r="J59" s="2283">
        <f t="shared" si="13"/>
        <v>45139</v>
      </c>
      <c r="K59" s="2283">
        <f t="shared" si="13"/>
        <v>45108</v>
      </c>
      <c r="L59" s="2283">
        <f t="shared" si="13"/>
        <v>45078</v>
      </c>
      <c r="M59" s="2283">
        <f t="shared" si="13"/>
        <v>45047</v>
      </c>
      <c r="N59" s="2283">
        <f t="shared" si="13"/>
        <v>45017</v>
      </c>
      <c r="O59" s="2283">
        <f t="shared" si="13"/>
        <v>44986</v>
      </c>
      <c r="P59" s="1929"/>
      <c r="Q59" s="1882"/>
      <c r="R59" s="1882"/>
      <c r="S59" s="1882"/>
      <c r="T59" s="1882"/>
      <c r="U59" s="1882"/>
      <c r="V59" s="1882"/>
      <c r="W59" s="1882"/>
      <c r="X59" s="1882"/>
      <c r="Y59" s="1882"/>
      <c r="Z59" s="1882"/>
      <c r="AA59" s="1882"/>
      <c r="AB59" s="1882"/>
      <c r="AC59" s="1882"/>
    </row>
    <row r="60" spans="1:29" s="1117" customFormat="1" ht="15">
      <c r="A60" s="614"/>
      <c r="B60" s="615"/>
      <c r="C60" s="616">
        <v>100</v>
      </c>
      <c r="D60" s="617"/>
      <c r="E60" s="617"/>
      <c r="F60" s="617"/>
      <c r="G60" s="617"/>
      <c r="H60" s="617"/>
      <c r="I60" s="617"/>
      <c r="J60" s="617"/>
      <c r="K60" s="617"/>
      <c r="L60" s="617"/>
      <c r="M60" s="618"/>
      <c r="N60" s="617"/>
      <c r="O60" s="618"/>
      <c r="P60" s="1930"/>
      <c r="Q60" s="1745"/>
      <c r="R60" s="1745"/>
      <c r="S60" s="1745"/>
      <c r="T60" s="1745"/>
      <c r="U60" s="1745"/>
      <c r="V60" s="1745"/>
      <c r="W60" s="1745"/>
      <c r="X60" s="1745"/>
      <c r="Y60" s="1745"/>
      <c r="Z60" s="1745"/>
      <c r="AA60" s="1745"/>
      <c r="AB60" s="1745"/>
      <c r="AC60" s="1745"/>
    </row>
    <row r="61" spans="1:29" s="1117" customFormat="1" ht="15.75" thickBot="1">
      <c r="A61" s="620" t="s">
        <v>523</v>
      </c>
      <c r="B61" s="621"/>
      <c r="C61" s="622"/>
      <c r="D61" s="623"/>
      <c r="E61" s="623"/>
      <c r="F61" s="623"/>
      <c r="G61" s="623"/>
      <c r="H61" s="623"/>
      <c r="I61" s="623"/>
      <c r="J61" s="623"/>
      <c r="K61" s="623"/>
      <c r="L61" s="623"/>
      <c r="M61" s="624"/>
      <c r="N61" s="623"/>
      <c r="O61" s="624"/>
      <c r="P61" s="1930"/>
      <c r="Q61" s="1879"/>
      <c r="R61" s="1745"/>
      <c r="S61" s="1745"/>
      <c r="T61" s="1745"/>
      <c r="U61" s="1745"/>
      <c r="V61" s="1745"/>
      <c r="W61" s="1745"/>
      <c r="X61" s="1745"/>
      <c r="Y61" s="1745"/>
      <c r="Z61" s="1745"/>
      <c r="AA61" s="1745"/>
      <c r="AB61" s="1745"/>
      <c r="AC61" s="1745"/>
    </row>
    <row r="62" spans="1:29" s="1117" customFormat="1" ht="15">
      <c r="A62" s="626" t="s">
        <v>480</v>
      </c>
      <c r="B62" s="615"/>
      <c r="C62" s="627" t="s">
        <v>524</v>
      </c>
      <c r="D62" s="628"/>
      <c r="E62" s="628"/>
      <c r="F62" s="628"/>
      <c r="G62" s="628"/>
      <c r="H62" s="628"/>
      <c r="I62" s="628"/>
      <c r="J62" s="628"/>
      <c r="K62" s="628"/>
      <c r="L62" s="629"/>
      <c r="M62" s="630"/>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6"/>
      <c r="B63" s="615"/>
      <c r="C63" s="851">
        <v>100</v>
      </c>
      <c r="D63" s="617"/>
      <c r="E63" s="617"/>
      <c r="F63" s="617"/>
      <c r="G63" s="617"/>
      <c r="H63" s="617"/>
      <c r="I63" s="617"/>
      <c r="J63" s="617"/>
      <c r="K63" s="617"/>
      <c r="L63" s="617"/>
      <c r="M63" s="619"/>
      <c r="N63" s="1883"/>
      <c r="O63" s="1883"/>
      <c r="P63" s="1930"/>
      <c r="Q63" s="1879"/>
      <c r="R63" s="1745"/>
      <c r="S63" s="1745"/>
      <c r="T63" s="1745"/>
      <c r="U63" s="1745"/>
      <c r="V63" s="1745"/>
      <c r="W63" s="1745"/>
      <c r="X63" s="1745"/>
      <c r="Y63" s="1745"/>
      <c r="Z63" s="1745"/>
      <c r="AA63" s="1745"/>
      <c r="AB63" s="1745"/>
      <c r="AC63" s="1745"/>
    </row>
    <row r="64" spans="1:29">
      <c r="A64" s="631" t="s">
        <v>525</v>
      </c>
      <c r="B64" s="632" t="s">
        <v>483</v>
      </c>
      <c r="C64" s="671">
        <f>C9</f>
        <v>0</v>
      </c>
      <c r="D64" s="567"/>
      <c r="E64" s="567"/>
      <c r="F64" s="567"/>
      <c r="G64" s="567"/>
      <c r="H64" s="567"/>
      <c r="I64" s="567"/>
      <c r="J64" s="567"/>
      <c r="K64" s="633"/>
      <c r="L64" s="634"/>
      <c r="M64" s="635"/>
      <c r="N64" s="1885"/>
      <c r="O64" s="1885"/>
      <c r="P64" s="1932"/>
      <c r="Q64" s="1879"/>
      <c r="R64" s="1867"/>
      <c r="S64" s="1867"/>
      <c r="T64" s="1867"/>
      <c r="U64" s="1867"/>
      <c r="V64" s="1867"/>
      <c r="W64" s="1867"/>
      <c r="X64" s="1867"/>
      <c r="Y64" s="1867"/>
      <c r="Z64" s="1867"/>
      <c r="AA64" s="1867"/>
      <c r="AB64" s="1867"/>
      <c r="AC64" s="1867"/>
    </row>
    <row r="65" spans="1:29" ht="15.75" thickBot="1">
      <c r="A65" s="636"/>
      <c r="B65" s="637"/>
      <c r="C65" s="638"/>
      <c r="D65" s="638"/>
      <c r="E65" s="638"/>
      <c r="F65" s="638"/>
      <c r="G65" s="638"/>
      <c r="H65" s="638"/>
      <c r="I65" s="638"/>
      <c r="J65" s="638"/>
      <c r="K65" s="638"/>
      <c r="L65" s="638"/>
      <c r="M65" s="639"/>
      <c r="N65" s="1887"/>
      <c r="O65" s="1887"/>
      <c r="P65" s="1932"/>
      <c r="Q65" s="1879"/>
      <c r="R65" s="1867"/>
      <c r="S65" s="1867"/>
      <c r="T65" s="1867"/>
      <c r="U65" s="1867"/>
      <c r="V65" s="1867"/>
      <c r="W65" s="1867"/>
      <c r="X65" s="1867"/>
      <c r="Y65" s="1867"/>
      <c r="Z65" s="1867"/>
      <c r="AA65" s="1867"/>
      <c r="AB65" s="1867"/>
      <c r="AC65" s="1867"/>
    </row>
    <row r="66" spans="1:29" ht="27.75" thickTop="1">
      <c r="A66" s="636"/>
      <c r="B66" s="640" t="s">
        <v>486</v>
      </c>
      <c r="C66" s="685"/>
      <c r="D66" s="685"/>
      <c r="E66" s="685"/>
      <c r="F66" s="685"/>
      <c r="G66" s="685"/>
      <c r="H66" s="685"/>
      <c r="I66" s="685"/>
      <c r="J66" s="685"/>
      <c r="K66" s="686"/>
      <c r="L66" s="687"/>
      <c r="M66" s="688"/>
      <c r="N66" s="1885"/>
      <c r="O66" s="1885"/>
      <c r="P66" s="1932"/>
      <c r="Q66" s="1879"/>
      <c r="R66" s="1867"/>
      <c r="S66" s="1867"/>
      <c r="T66" s="1867"/>
      <c r="U66" s="1867"/>
      <c r="V66" s="1867"/>
      <c r="W66" s="1867"/>
      <c r="X66" s="1867"/>
      <c r="Y66" s="1867"/>
      <c r="Z66" s="1867"/>
      <c r="AA66" s="1867"/>
      <c r="AB66" s="1867"/>
      <c r="AC66" s="1867"/>
    </row>
    <row r="67" spans="1:29" ht="15.75" thickBot="1">
      <c r="A67" s="636"/>
      <c r="B67" s="645"/>
      <c r="C67" s="638"/>
      <c r="D67" s="638"/>
      <c r="E67" s="638"/>
      <c r="F67" s="638"/>
      <c r="G67" s="638"/>
      <c r="H67" s="638"/>
      <c r="I67" s="638"/>
      <c r="J67" s="638"/>
      <c r="K67" s="638"/>
      <c r="L67" s="638"/>
      <c r="M67" s="639"/>
      <c r="N67" s="1887"/>
      <c r="O67" s="1887"/>
      <c r="P67" s="1932"/>
      <c r="Q67" s="1879"/>
      <c r="R67" s="1867"/>
      <c r="S67" s="1867"/>
      <c r="T67" s="1867"/>
      <c r="U67" s="1867"/>
      <c r="V67" s="1867"/>
      <c r="W67" s="1867"/>
      <c r="X67" s="1867"/>
      <c r="Y67" s="1867"/>
      <c r="Z67" s="1867"/>
      <c r="AA67" s="1867"/>
      <c r="AB67" s="1867"/>
      <c r="AC67" s="1867"/>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6"/>
      <c r="B69" s="650"/>
      <c r="C69" s="510"/>
      <c r="D69" s="510"/>
      <c r="E69" s="510"/>
      <c r="F69" s="510"/>
      <c r="G69" s="510"/>
      <c r="H69" s="510"/>
      <c r="I69" s="510"/>
      <c r="J69" s="510"/>
      <c r="K69" s="651"/>
      <c r="L69" s="652"/>
      <c r="M69" s="653"/>
      <c r="N69" s="1885"/>
      <c r="O69" s="1885"/>
      <c r="P69" s="1932"/>
      <c r="Q69" s="1879"/>
      <c r="R69" s="1867"/>
      <c r="S69" s="1867"/>
      <c r="T69" s="1867"/>
      <c r="U69" s="1867"/>
      <c r="V69" s="1867"/>
      <c r="W69" s="1867"/>
      <c r="X69" s="1867"/>
      <c r="Y69" s="1867"/>
      <c r="Z69" s="1867"/>
      <c r="AA69" s="1867"/>
      <c r="AB69" s="1867"/>
      <c r="AC69" s="1867"/>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4"/>
      <c r="B71" s="640">
        <f>B12</f>
        <v>111</v>
      </c>
      <c r="C71" s="655"/>
      <c r="D71" s="655"/>
      <c r="E71" s="655"/>
      <c r="F71" s="655"/>
      <c r="G71" s="655"/>
      <c r="H71" s="656"/>
      <c r="I71" s="656"/>
      <c r="J71" s="656"/>
      <c r="K71" s="656"/>
      <c r="L71" s="657"/>
      <c r="M71" s="658"/>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4"/>
      <c r="B72" s="645"/>
      <c r="C72" s="659"/>
      <c r="D72" s="638"/>
      <c r="E72" s="638"/>
      <c r="F72" s="638"/>
      <c r="G72" s="638"/>
      <c r="H72" s="638"/>
      <c r="I72" s="638"/>
      <c r="J72" s="638"/>
      <c r="K72" s="638"/>
      <c r="L72" s="638"/>
      <c r="M72" s="639"/>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4"/>
      <c r="B73" s="640">
        <f>B13</f>
        <v>111</v>
      </c>
      <c r="C73" s="655"/>
      <c r="D73" s="655"/>
      <c r="E73" s="655"/>
      <c r="F73" s="655"/>
      <c r="G73" s="655"/>
      <c r="H73" s="656"/>
      <c r="I73" s="656"/>
      <c r="J73" s="656"/>
      <c r="K73" s="656"/>
      <c r="L73" s="657"/>
      <c r="M73" s="658"/>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4"/>
      <c r="B74" s="645"/>
      <c r="C74" s="659"/>
      <c r="D74" s="659"/>
      <c r="E74" s="659"/>
      <c r="F74" s="659"/>
      <c r="G74" s="659"/>
      <c r="H74" s="660"/>
      <c r="I74" s="660"/>
      <c r="J74" s="660"/>
      <c r="K74" s="660"/>
      <c r="L74" s="660"/>
      <c r="M74" s="661"/>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4"/>
      <c r="B75" s="648">
        <f>B14</f>
        <v>111</v>
      </c>
      <c r="C75" s="628"/>
      <c r="D75" s="628"/>
      <c r="E75" s="628"/>
      <c r="F75" s="628"/>
      <c r="G75" s="628"/>
      <c r="H75" s="662"/>
      <c r="I75" s="662"/>
      <c r="J75" s="662"/>
      <c r="K75" s="662"/>
      <c r="L75" s="663"/>
      <c r="M75" s="664"/>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5"/>
      <c r="B76" s="666"/>
      <c r="C76" s="667"/>
      <c r="D76" s="667"/>
      <c r="E76" s="667"/>
      <c r="F76" s="667"/>
      <c r="G76" s="667"/>
      <c r="H76" s="668"/>
      <c r="I76" s="668"/>
      <c r="J76" s="668"/>
      <c r="K76" s="668"/>
      <c r="L76" s="668"/>
      <c r="M76" s="669"/>
      <c r="N76" s="1888"/>
      <c r="O76" s="1888"/>
      <c r="P76" s="1933"/>
      <c r="Q76" s="1890"/>
      <c r="R76" s="1891"/>
      <c r="S76" s="1891"/>
      <c r="T76" s="1891"/>
      <c r="U76" s="1891"/>
      <c r="V76" s="1891"/>
      <c r="W76" s="1891"/>
      <c r="X76" s="1891"/>
      <c r="Y76" s="1891"/>
      <c r="Z76" s="1891"/>
      <c r="AA76" s="1891"/>
      <c r="AB76" s="1891"/>
      <c r="AC76" s="1891"/>
    </row>
    <row r="77" spans="1:29">
      <c r="A77" s="631" t="s">
        <v>488</v>
      </c>
      <c r="B77" s="632" t="s">
        <v>533</v>
      </c>
      <c r="C77" s="670" t="s">
        <v>527</v>
      </c>
      <c r="D77" s="670" t="s">
        <v>528</v>
      </c>
      <c r="E77" s="670" t="s">
        <v>529</v>
      </c>
      <c r="F77" s="670" t="s">
        <v>530</v>
      </c>
      <c r="G77" s="670" t="s">
        <v>531</v>
      </c>
      <c r="H77" s="671"/>
      <c r="I77" s="671"/>
      <c r="J77" s="671"/>
      <c r="K77" s="672"/>
      <c r="L77" s="673"/>
      <c r="M77" s="674"/>
      <c r="N77" s="1885"/>
      <c r="O77" s="1885"/>
      <c r="P77" s="1936"/>
      <c r="Q77" s="1879"/>
      <c r="R77" s="1867"/>
      <c r="S77" s="1867"/>
      <c r="T77" s="1867"/>
      <c r="U77" s="1867"/>
      <c r="V77" s="1867"/>
      <c r="W77" s="1867"/>
      <c r="X77" s="1867"/>
      <c r="Y77" s="1867"/>
      <c r="Z77" s="1867"/>
      <c r="AA77" s="1867"/>
      <c r="AB77" s="1867"/>
      <c r="AC77" s="1867"/>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7"/>
      <c r="O78" s="1887"/>
      <c r="P78" s="1932"/>
      <c r="Q78" s="1879"/>
      <c r="R78" s="1867"/>
      <c r="S78" s="1867"/>
      <c r="T78" s="1867"/>
      <c r="U78" s="1867"/>
      <c r="V78" s="1867"/>
      <c r="W78" s="1867"/>
      <c r="X78" s="1867"/>
      <c r="Y78" s="1867"/>
      <c r="Z78" s="1867"/>
      <c r="AA78" s="1867"/>
      <c r="AB78" s="1867"/>
      <c r="AC78" s="1867"/>
    </row>
    <row r="79" spans="1:29" ht="15.75" thickTop="1">
      <c r="A79" s="636"/>
      <c r="B79" s="640" t="s">
        <v>534</v>
      </c>
      <c r="C79" s="675" t="s">
        <v>527</v>
      </c>
      <c r="D79" s="675" t="s">
        <v>528</v>
      </c>
      <c r="E79" s="675" t="s">
        <v>529</v>
      </c>
      <c r="F79" s="675" t="s">
        <v>530</v>
      </c>
      <c r="G79" s="675" t="s">
        <v>531</v>
      </c>
      <c r="H79" s="641"/>
      <c r="I79" s="641"/>
      <c r="J79" s="641"/>
      <c r="K79" s="642"/>
      <c r="L79" s="643"/>
      <c r="M79" s="644"/>
      <c r="N79" s="1885"/>
      <c r="O79" s="1885"/>
      <c r="P79" s="1932"/>
      <c r="Q79" s="1879"/>
      <c r="R79" s="1867"/>
      <c r="S79" s="1867"/>
      <c r="T79" s="1867"/>
      <c r="U79" s="1867"/>
      <c r="V79" s="1867"/>
      <c r="W79" s="1867"/>
      <c r="X79" s="1867"/>
      <c r="Y79" s="1867"/>
      <c r="Z79" s="1867"/>
      <c r="AA79" s="1867"/>
      <c r="AB79" s="1867"/>
      <c r="AC79" s="1867"/>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7"/>
      <c r="O80" s="1887"/>
      <c r="P80" s="1932"/>
      <c r="Q80" s="1879"/>
      <c r="R80" s="1867"/>
      <c r="S80" s="1867"/>
      <c r="T80" s="1867"/>
      <c r="U80" s="1867"/>
      <c r="V80" s="1867"/>
      <c r="W80" s="1867"/>
      <c r="X80" s="1867"/>
      <c r="Y80" s="1867"/>
      <c r="Z80" s="1867"/>
      <c r="AA80" s="1867"/>
      <c r="AB80" s="1867"/>
      <c r="AC80" s="1867"/>
    </row>
    <row r="81" spans="1:29" ht="15.75" thickTop="1">
      <c r="A81" s="636"/>
      <c r="B81" s="1651" t="s">
        <v>1840</v>
      </c>
      <c r="C81" s="675" t="s">
        <v>527</v>
      </c>
      <c r="D81" s="675" t="s">
        <v>528</v>
      </c>
      <c r="E81" s="675" t="s">
        <v>529</v>
      </c>
      <c r="F81" s="675" t="s">
        <v>530</v>
      </c>
      <c r="G81" s="675" t="s">
        <v>531</v>
      </c>
      <c r="H81" s="641"/>
      <c r="I81" s="641"/>
      <c r="J81" s="641"/>
      <c r="K81" s="642"/>
      <c r="L81" s="643"/>
      <c r="M81" s="644"/>
      <c r="N81" s="1885"/>
      <c r="O81" s="1885"/>
      <c r="P81" s="1932"/>
      <c r="Q81" s="1879"/>
      <c r="R81" s="1867"/>
      <c r="S81" s="1867"/>
      <c r="T81" s="1867"/>
      <c r="U81" s="1867"/>
      <c r="V81" s="1867"/>
      <c r="W81" s="1867"/>
      <c r="X81" s="1867"/>
      <c r="Y81" s="1867"/>
      <c r="Z81" s="1867"/>
      <c r="AA81" s="1867"/>
      <c r="AB81" s="1867"/>
      <c r="AC81" s="1867"/>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7"/>
      <c r="O82" s="1887"/>
      <c r="P82" s="1932"/>
      <c r="Q82" s="1879"/>
      <c r="R82" s="1867"/>
      <c r="S82" s="1867"/>
      <c r="T82" s="1867"/>
      <c r="U82" s="1867"/>
      <c r="V82" s="1867"/>
      <c r="W82" s="1867"/>
      <c r="X82" s="1867"/>
      <c r="Y82" s="1867"/>
      <c r="Z82" s="1867"/>
      <c r="AA82" s="1867"/>
      <c r="AB82" s="1867"/>
      <c r="AC82" s="1867"/>
    </row>
    <row r="83" spans="1:29" ht="15.75" thickTop="1">
      <c r="A83" s="636"/>
      <c r="B83" s="2204" t="s">
        <v>1841</v>
      </c>
      <c r="C83" s="2205" t="s">
        <v>1842</v>
      </c>
      <c r="D83" s="2205" t="s">
        <v>1843</v>
      </c>
      <c r="E83" s="2205" t="s">
        <v>1844</v>
      </c>
      <c r="F83" s="2205" t="s">
        <v>1845</v>
      </c>
      <c r="G83" s="2205" t="s">
        <v>1846</v>
      </c>
      <c r="H83" s="641"/>
      <c r="I83" s="641"/>
      <c r="J83" s="641"/>
      <c r="K83" s="641"/>
      <c r="L83" s="641"/>
      <c r="M83" s="2208"/>
      <c r="N83" s="1887"/>
      <c r="O83" s="1887"/>
      <c r="P83" s="1932"/>
      <c r="Q83" s="1879"/>
      <c r="R83" s="1867"/>
      <c r="S83" s="1867"/>
      <c r="T83" s="1867"/>
      <c r="U83" s="1867"/>
      <c r="V83" s="1867"/>
      <c r="W83" s="1867"/>
      <c r="X83" s="1867"/>
      <c r="Y83" s="1867"/>
      <c r="Z83" s="1867"/>
      <c r="AA83" s="1867"/>
      <c r="AB83" s="1867"/>
      <c r="AC83" s="1867"/>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7"/>
      <c r="O84" s="1887"/>
      <c r="P84" s="1932"/>
      <c r="Q84" s="1879"/>
      <c r="R84" s="1867"/>
      <c r="S84" s="1867"/>
      <c r="T84" s="1867"/>
      <c r="U84" s="1867"/>
      <c r="V84" s="1867"/>
      <c r="W84" s="1867"/>
      <c r="X84" s="1867"/>
      <c r="Y84" s="1867"/>
      <c r="Z84" s="1867"/>
      <c r="AA84" s="1867"/>
      <c r="AB84" s="1867"/>
      <c r="AC84" s="1867"/>
    </row>
    <row r="85" spans="1:29" ht="15.75" thickTop="1">
      <c r="A85" s="636"/>
      <c r="B85" s="640" t="s">
        <v>724</v>
      </c>
      <c r="C85" s="675" t="s">
        <v>527</v>
      </c>
      <c r="D85" s="675" t="s">
        <v>528</v>
      </c>
      <c r="E85" s="675" t="s">
        <v>529</v>
      </c>
      <c r="F85" s="675" t="s">
        <v>530</v>
      </c>
      <c r="G85" s="675" t="s">
        <v>531</v>
      </c>
      <c r="H85" s="641"/>
      <c r="I85" s="641"/>
      <c r="J85" s="641"/>
      <c r="K85" s="642"/>
      <c r="L85" s="643"/>
      <c r="M85" s="644"/>
      <c r="N85" s="1885"/>
      <c r="O85" s="1885"/>
      <c r="P85" s="1932"/>
      <c r="Q85" s="1879"/>
      <c r="R85" s="1867"/>
      <c r="S85" s="1867"/>
      <c r="T85" s="1867"/>
      <c r="U85" s="1867"/>
      <c r="V85" s="1867"/>
      <c r="W85" s="1867"/>
      <c r="X85" s="1867"/>
      <c r="Y85" s="1867"/>
      <c r="Z85" s="1867"/>
      <c r="AA85" s="1867"/>
      <c r="AB85" s="1867"/>
      <c r="AC85" s="1867"/>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6"/>
      <c r="B87" s="640" t="s">
        <v>725</v>
      </c>
      <c r="C87" s="655"/>
      <c r="D87" s="655"/>
      <c r="E87" s="655"/>
      <c r="F87" s="655"/>
      <c r="G87" s="655"/>
      <c r="H87" s="655"/>
      <c r="I87" s="655"/>
      <c r="J87" s="655"/>
      <c r="K87" s="655"/>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6"/>
      <c r="B89" s="640" t="str">
        <f>B27</f>
        <v>楼层</v>
      </c>
      <c r="C89" s="655"/>
      <c r="D89" s="655"/>
      <c r="E89" s="655"/>
      <c r="F89" s="854"/>
      <c r="G89" s="655"/>
      <c r="H89" s="655"/>
      <c r="I89" s="655"/>
      <c r="J89" s="655"/>
      <c r="K89" s="655"/>
      <c r="L89" s="655"/>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4"/>
      <c r="B91" s="640" t="str">
        <f>B28</f>
        <v>朝向</v>
      </c>
      <c r="C91" s="655"/>
      <c r="D91" s="655"/>
      <c r="E91" s="655"/>
      <c r="F91" s="655"/>
      <c r="G91" s="655"/>
      <c r="H91" s="656"/>
      <c r="I91" s="656"/>
      <c r="J91" s="656"/>
      <c r="K91" s="656"/>
      <c r="L91" s="657"/>
      <c r="M91" s="658"/>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6"/>
      <c r="B93" s="640">
        <f>B29</f>
        <v>111</v>
      </c>
      <c r="C93" s="655"/>
      <c r="D93" s="655"/>
      <c r="E93" s="655"/>
      <c r="F93" s="655"/>
      <c r="G93" s="655"/>
      <c r="H93" s="655"/>
      <c r="I93" s="655"/>
      <c r="J93" s="655"/>
      <c r="K93" s="655"/>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38"/>
      <c r="H94" s="638"/>
      <c r="I94" s="638"/>
      <c r="J94" s="638"/>
      <c r="K94" s="638"/>
      <c r="L94" s="638"/>
      <c r="M94" s="639"/>
      <c r="N94" s="1887"/>
      <c r="O94" s="1887"/>
      <c r="P94" s="1932"/>
      <c r="Q94" s="1879"/>
      <c r="R94" s="1867"/>
      <c r="S94" s="1867"/>
      <c r="T94" s="1867"/>
      <c r="U94" s="1867"/>
      <c r="V94" s="1867"/>
      <c r="W94" s="1867"/>
      <c r="X94" s="1867"/>
      <c r="Y94" s="1867"/>
      <c r="Z94" s="1867"/>
      <c r="AA94" s="1867"/>
      <c r="AB94" s="1867"/>
      <c r="AC94" s="1867"/>
    </row>
    <row r="95" spans="1:29" ht="15.75" thickTop="1">
      <c r="A95" s="636"/>
      <c r="B95" s="640">
        <f>B30</f>
        <v>111</v>
      </c>
      <c r="C95" s="655"/>
      <c r="D95" s="655"/>
      <c r="E95" s="655"/>
      <c r="F95" s="655"/>
      <c r="G95" s="685"/>
      <c r="H95" s="685"/>
      <c r="I95" s="685"/>
      <c r="J95" s="685"/>
      <c r="K95" s="686"/>
      <c r="L95" s="687"/>
      <c r="M95" s="688"/>
      <c r="N95" s="1885"/>
      <c r="O95" s="1885"/>
      <c r="P95" s="1932"/>
      <c r="Q95" s="1879"/>
      <c r="R95" s="1867"/>
      <c r="S95" s="1867"/>
      <c r="T95" s="1867"/>
      <c r="U95" s="1867"/>
      <c r="V95" s="1867"/>
      <c r="W95" s="1867"/>
      <c r="X95" s="1867"/>
      <c r="Y95" s="1867"/>
      <c r="Z95" s="1867"/>
      <c r="AA95" s="1867"/>
      <c r="AB95" s="1867"/>
      <c r="AC95" s="1867"/>
    </row>
    <row r="96" spans="1:29" ht="15.75" thickBot="1">
      <c r="A96" s="636"/>
      <c r="B96" s="645"/>
      <c r="C96" s="659"/>
      <c r="D96" s="659"/>
      <c r="E96" s="659"/>
      <c r="F96" s="659"/>
      <c r="G96" s="638"/>
      <c r="H96" s="638"/>
      <c r="I96" s="638"/>
      <c r="J96" s="638"/>
      <c r="K96" s="638"/>
      <c r="L96" s="638"/>
      <c r="M96" s="639"/>
      <c r="N96" s="1887"/>
      <c r="O96" s="1887"/>
      <c r="P96" s="1932"/>
      <c r="Q96" s="1879"/>
      <c r="R96" s="1867"/>
      <c r="S96" s="1867"/>
      <c r="T96" s="1867"/>
      <c r="U96" s="1867"/>
      <c r="V96" s="1867"/>
      <c r="W96" s="1867"/>
      <c r="X96" s="1867"/>
      <c r="Y96" s="1867"/>
      <c r="Z96" s="1867"/>
      <c r="AA96" s="1867"/>
      <c r="AB96" s="1867"/>
      <c r="AC96" s="1867"/>
    </row>
    <row r="97" spans="1:29" ht="15.75" thickTop="1">
      <c r="A97" s="636"/>
      <c r="B97" s="640">
        <f>B31</f>
        <v>111</v>
      </c>
      <c r="C97" s="655"/>
      <c r="D97" s="655"/>
      <c r="E97" s="655"/>
      <c r="F97" s="655"/>
      <c r="G97" s="685"/>
      <c r="H97" s="685"/>
      <c r="I97" s="685"/>
      <c r="J97" s="685"/>
      <c r="K97" s="686"/>
      <c r="L97" s="687"/>
      <c r="M97" s="688"/>
      <c r="N97" s="1885"/>
      <c r="O97" s="1885"/>
      <c r="P97" s="1932"/>
      <c r="Q97" s="1879"/>
      <c r="R97" s="1867"/>
      <c r="S97" s="1867"/>
      <c r="T97" s="1867"/>
      <c r="U97" s="1867"/>
      <c r="V97" s="1867"/>
      <c r="W97" s="1867"/>
      <c r="X97" s="1867"/>
      <c r="Y97" s="1867"/>
      <c r="Z97" s="1867"/>
      <c r="AA97" s="1867"/>
      <c r="AB97" s="1867"/>
      <c r="AC97" s="1867"/>
    </row>
    <row r="98" spans="1:29" ht="15.75" thickBot="1">
      <c r="A98" s="636"/>
      <c r="B98" s="645"/>
      <c r="C98" s="659"/>
      <c r="D98" s="638"/>
      <c r="E98" s="638"/>
      <c r="F98" s="638"/>
      <c r="G98" s="638"/>
      <c r="H98" s="638"/>
      <c r="I98" s="638"/>
      <c r="J98" s="638"/>
      <c r="K98" s="638"/>
      <c r="L98" s="638"/>
      <c r="M98" s="639"/>
      <c r="N98" s="1887"/>
      <c r="O98" s="1887"/>
      <c r="P98" s="1932"/>
      <c r="Q98" s="1879"/>
      <c r="R98" s="1867"/>
      <c r="S98" s="1867"/>
      <c r="T98" s="1867"/>
      <c r="U98" s="1867"/>
      <c r="V98" s="1867"/>
      <c r="W98" s="1867"/>
      <c r="X98" s="1867"/>
      <c r="Y98" s="1867"/>
      <c r="Z98" s="1867"/>
      <c r="AA98" s="1867"/>
      <c r="AB98" s="1867"/>
      <c r="AC98" s="1867"/>
    </row>
    <row r="99" spans="1:29" ht="15.75" thickTop="1">
      <c r="A99" s="636"/>
      <c r="B99" s="648">
        <f>B32</f>
        <v>111</v>
      </c>
      <c r="C99" s="628"/>
      <c r="D99" s="628"/>
      <c r="E99" s="628"/>
      <c r="F99" s="628"/>
      <c r="G99" s="689"/>
      <c r="H99" s="689"/>
      <c r="I99" s="689"/>
      <c r="J99" s="689"/>
      <c r="K99" s="690"/>
      <c r="L99" s="691"/>
      <c r="M99" s="692"/>
      <c r="N99" s="1885"/>
      <c r="O99" s="1885"/>
      <c r="P99" s="1932"/>
      <c r="Q99" s="1879"/>
      <c r="R99" s="1867"/>
      <c r="S99" s="1867"/>
      <c r="T99" s="1867"/>
      <c r="U99" s="1867"/>
      <c r="V99" s="1867"/>
      <c r="W99" s="1867"/>
      <c r="X99" s="1867"/>
      <c r="Y99" s="1867"/>
      <c r="Z99" s="1867"/>
      <c r="AA99" s="1867"/>
      <c r="AB99" s="1867"/>
      <c r="AC99" s="1867"/>
    </row>
    <row r="100" spans="1:29" ht="15.75" thickBot="1">
      <c r="A100" s="855"/>
      <c r="B100" s="666"/>
      <c r="C100" s="667"/>
      <c r="D100" s="667"/>
      <c r="E100" s="667"/>
      <c r="F100" s="667"/>
      <c r="G100" s="693"/>
      <c r="H100" s="693"/>
      <c r="I100" s="693"/>
      <c r="J100" s="693"/>
      <c r="K100" s="693"/>
      <c r="L100" s="693"/>
      <c r="M100" s="694"/>
      <c r="N100" s="1887"/>
      <c r="O100" s="1887"/>
      <c r="P100" s="1932"/>
      <c r="Q100" s="1879"/>
      <c r="R100" s="1867"/>
      <c r="S100" s="1867"/>
      <c r="T100" s="1867"/>
      <c r="U100" s="1867"/>
      <c r="V100" s="1867"/>
      <c r="W100" s="1867"/>
      <c r="X100" s="1867"/>
      <c r="Y100" s="1867"/>
      <c r="Z100" s="1867"/>
      <c r="AA100" s="1867"/>
      <c r="AB100" s="1867"/>
      <c r="AC100" s="1867"/>
    </row>
    <row r="101" spans="1:29">
      <c r="A101" s="631" t="s">
        <v>500</v>
      </c>
      <c r="B101" s="632" t="s">
        <v>687</v>
      </c>
      <c r="C101" s="567"/>
      <c r="D101" s="567"/>
      <c r="E101" s="567"/>
      <c r="F101" s="567"/>
      <c r="G101" s="567"/>
      <c r="H101" s="567"/>
      <c r="I101" s="567"/>
      <c r="J101" s="567"/>
      <c r="K101" s="633"/>
      <c r="L101" s="634"/>
      <c r="M101" s="635"/>
      <c r="N101" s="1885"/>
      <c r="O101" s="1885"/>
      <c r="P101" s="1932"/>
      <c r="Q101" s="1879"/>
      <c r="R101" s="1867"/>
      <c r="S101" s="1867"/>
      <c r="T101" s="1867"/>
      <c r="U101" s="1867"/>
      <c r="V101" s="1867"/>
      <c r="W101" s="1867"/>
      <c r="X101" s="1867"/>
      <c r="Y101" s="1867"/>
      <c r="Z101" s="1867"/>
      <c r="AA101" s="1867"/>
      <c r="AB101" s="1867"/>
      <c r="AC101" s="1867"/>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5"/>
      <c r="B104" s="696"/>
      <c r="C104" s="697"/>
      <c r="D104" s="697"/>
      <c r="E104" s="697"/>
      <c r="F104" s="697"/>
      <c r="G104" s="697"/>
      <c r="H104" s="697"/>
      <c r="I104" s="697"/>
      <c r="J104" s="698"/>
      <c r="K104" s="698"/>
      <c r="L104" s="699"/>
      <c r="M104" s="700"/>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4"/>
      <c r="B105" s="645"/>
      <c r="C105" s="659"/>
      <c r="D105" s="638"/>
      <c r="E105" s="638"/>
      <c r="F105" s="638"/>
      <c r="G105" s="638"/>
      <c r="H105" s="638"/>
      <c r="I105" s="638"/>
      <c r="J105" s="638"/>
      <c r="K105" s="638"/>
      <c r="L105" s="638"/>
      <c r="M105" s="639"/>
      <c r="N105" s="1887"/>
      <c r="O105" s="1887"/>
      <c r="P105" s="1933"/>
      <c r="Q105" s="1890"/>
      <c r="R105" s="1891"/>
      <c r="S105" s="1891"/>
      <c r="T105" s="1891"/>
      <c r="U105" s="1891"/>
      <c r="V105" s="1891"/>
      <c r="W105" s="1891"/>
      <c r="X105" s="1891"/>
      <c r="Y105" s="1891"/>
      <c r="Z105" s="1891"/>
      <c r="AA105" s="1891"/>
      <c r="AB105" s="1891"/>
      <c r="AC105" s="1891"/>
    </row>
    <row r="106" spans="1:29" ht="15" thickTop="1">
      <c r="A106" s="702"/>
      <c r="B106" s="640" t="s">
        <v>689</v>
      </c>
      <c r="C106" s="655"/>
      <c r="D106" s="655"/>
      <c r="E106" s="685"/>
      <c r="F106" s="685"/>
      <c r="G106" s="685"/>
      <c r="H106" s="685"/>
      <c r="I106" s="685"/>
      <c r="J106" s="685"/>
      <c r="K106" s="686"/>
      <c r="L106" s="687"/>
      <c r="M106" s="688"/>
      <c r="N106" s="1885"/>
      <c r="O106" s="1885"/>
      <c r="P106" s="1932"/>
      <c r="Q106" s="1879"/>
      <c r="R106" s="1867"/>
      <c r="S106" s="1867"/>
      <c r="T106" s="1867"/>
      <c r="U106" s="1867"/>
      <c r="V106" s="1867"/>
      <c r="W106" s="1867"/>
      <c r="X106" s="1867"/>
      <c r="Y106" s="1867"/>
      <c r="Z106" s="1867"/>
      <c r="AA106" s="1867"/>
      <c r="AB106" s="1867"/>
      <c r="AC106" s="1867"/>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2"/>
      <c r="B108" s="640" t="s">
        <v>691</v>
      </c>
      <c r="C108" s="655"/>
      <c r="D108" s="655"/>
      <c r="E108" s="655"/>
      <c r="F108" s="685"/>
      <c r="G108" s="685"/>
      <c r="H108" s="685"/>
      <c r="I108" s="685"/>
      <c r="J108" s="685"/>
      <c r="K108" s="686"/>
      <c r="L108" s="687"/>
      <c r="M108" s="688"/>
      <c r="N108" s="1885"/>
      <c r="O108" s="1885"/>
      <c r="P108" s="1932"/>
      <c r="Q108" s="1879"/>
      <c r="R108" s="1867"/>
      <c r="S108" s="1867"/>
      <c r="T108" s="1867"/>
      <c r="U108" s="1867"/>
      <c r="V108" s="1867"/>
      <c r="W108" s="1867"/>
      <c r="X108" s="1867"/>
      <c r="Y108" s="1867"/>
      <c r="Z108" s="1867"/>
      <c r="AA108" s="1867"/>
      <c r="AB108" s="1867"/>
      <c r="AC108" s="1867"/>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5"/>
      <c r="O110" s="1885"/>
      <c r="P110" s="1932"/>
      <c r="Q110" s="1879"/>
      <c r="R110" s="1867"/>
      <c r="S110" s="1867"/>
      <c r="T110" s="1867"/>
      <c r="U110" s="1867"/>
      <c r="V110" s="1867"/>
      <c r="W110" s="1867"/>
      <c r="X110" s="1867"/>
      <c r="Y110" s="1867"/>
      <c r="Z110" s="1867"/>
      <c r="AA110" s="1867"/>
      <c r="AB110" s="1867"/>
      <c r="AC110" s="1867"/>
    </row>
    <row r="111" spans="1:29">
      <c r="A111" s="702"/>
      <c r="B111" s="648"/>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5"/>
      <c r="B113" s="640" t="s">
        <v>726</v>
      </c>
      <c r="C113" s="655"/>
      <c r="D113" s="655"/>
      <c r="E113" s="655"/>
      <c r="F113" s="655"/>
      <c r="G113" s="655"/>
      <c r="H113" s="685"/>
      <c r="I113" s="685"/>
      <c r="J113" s="685"/>
      <c r="K113" s="686"/>
      <c r="L113" s="687"/>
      <c r="M113" s="688"/>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2"/>
      <c r="B115" s="640" t="s">
        <v>693</v>
      </c>
      <c r="C115" s="655"/>
      <c r="D115" s="655"/>
      <c r="E115" s="685"/>
      <c r="F115" s="685"/>
      <c r="G115" s="685"/>
      <c r="H115" s="685"/>
      <c r="I115" s="685"/>
      <c r="J115" s="685"/>
      <c r="K115" s="686"/>
      <c r="L115" s="687"/>
      <c r="M115" s="688"/>
      <c r="N115" s="1885"/>
      <c r="O115" s="1885"/>
      <c r="P115" s="1932"/>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2"/>
      <c r="B117" s="1651" t="s">
        <v>1839</v>
      </c>
      <c r="C117" s="655"/>
      <c r="D117" s="655"/>
      <c r="E117" s="655"/>
      <c r="F117" s="655"/>
      <c r="G117" s="655"/>
      <c r="H117" s="685"/>
      <c r="I117" s="685"/>
      <c r="J117" s="685"/>
      <c r="K117" s="686"/>
      <c r="L117" s="687"/>
      <c r="M117" s="688"/>
      <c r="N117" s="1885"/>
      <c r="O117" s="1885"/>
      <c r="P117" s="1932"/>
      <c r="Q117" s="1879"/>
      <c r="R117" s="1867"/>
      <c r="S117" s="1867"/>
      <c r="T117" s="1867"/>
      <c r="U117" s="1867"/>
      <c r="V117" s="1867"/>
      <c r="W117" s="1867"/>
      <c r="X117" s="1867"/>
      <c r="Y117" s="1867"/>
      <c r="Z117" s="1867"/>
      <c r="AA117" s="1867"/>
      <c r="AB117" s="1867"/>
      <c r="AC117" s="1867"/>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7"/>
      <c r="O118" s="1887"/>
      <c r="P118" s="1932"/>
      <c r="Q118" s="1879"/>
      <c r="R118" s="1867"/>
      <c r="S118" s="1867"/>
      <c r="T118" s="1867"/>
      <c r="U118" s="1867"/>
      <c r="V118" s="1867"/>
      <c r="W118" s="1867"/>
      <c r="X118" s="1867"/>
      <c r="Y118" s="1867"/>
      <c r="Z118" s="1867"/>
      <c r="AA118" s="1867"/>
      <c r="AB118" s="1867"/>
      <c r="AC118" s="1867"/>
    </row>
    <row r="119" spans="1:29" ht="15" thickTop="1">
      <c r="A119" s="702"/>
      <c r="B119" s="879" t="s">
        <v>727</v>
      </c>
      <c r="C119" s="685"/>
      <c r="D119" s="685"/>
      <c r="E119" s="685"/>
      <c r="F119" s="685"/>
      <c r="G119" s="685"/>
      <c r="H119" s="685"/>
      <c r="I119" s="685"/>
      <c r="J119" s="685"/>
      <c r="K119" s="685"/>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5"/>
      <c r="B121" s="640" t="s">
        <v>715</v>
      </c>
      <c r="C121" s="655"/>
      <c r="D121" s="655"/>
      <c r="E121" s="655"/>
      <c r="F121" s="685"/>
      <c r="G121" s="656"/>
      <c r="H121" s="656"/>
      <c r="I121" s="656"/>
      <c r="J121" s="656"/>
      <c r="K121" s="656"/>
      <c r="L121" s="657"/>
      <c r="M121" s="658"/>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4"/>
      <c r="B122" s="637"/>
      <c r="C122" s="659"/>
      <c r="D122" s="659"/>
      <c r="E122" s="659"/>
      <c r="F122" s="659"/>
      <c r="G122" s="659"/>
      <c r="H122" s="659"/>
      <c r="I122" s="659"/>
      <c r="J122" s="659"/>
      <c r="K122" s="659"/>
      <c r="L122" s="659"/>
      <c r="M122" s="659"/>
      <c r="N122" s="1888"/>
      <c r="O122" s="1888"/>
      <c r="P122" s="1933"/>
      <c r="Q122" s="1890"/>
      <c r="R122" s="1891"/>
      <c r="S122" s="1891"/>
      <c r="T122" s="1891"/>
      <c r="U122" s="1891"/>
      <c r="V122" s="1891"/>
      <c r="W122" s="1891"/>
      <c r="X122" s="1891"/>
      <c r="Y122" s="1891"/>
      <c r="Z122" s="1891"/>
      <c r="AA122" s="1891"/>
      <c r="AB122" s="1891"/>
      <c r="AC122" s="1891"/>
    </row>
    <row r="123" spans="1:29" ht="15" thickTop="1">
      <c r="A123" s="702"/>
      <c r="B123" s="640" t="s">
        <v>695</v>
      </c>
      <c r="C123" s="655"/>
      <c r="D123" s="655"/>
      <c r="E123" s="655"/>
      <c r="F123" s="685"/>
      <c r="G123" s="685"/>
      <c r="H123" s="685"/>
      <c r="I123" s="685"/>
      <c r="J123" s="685"/>
      <c r="K123" s="686"/>
      <c r="L123" s="687"/>
      <c r="M123" s="688"/>
      <c r="N123" s="1885"/>
      <c r="O123" s="1885"/>
      <c r="P123" s="1932"/>
      <c r="Q123" s="1879"/>
      <c r="R123" s="1867"/>
      <c r="S123" s="1867"/>
      <c r="T123" s="1867"/>
      <c r="U123" s="1867"/>
      <c r="V123" s="1867"/>
      <c r="W123" s="1867"/>
      <c r="X123" s="1867"/>
      <c r="Y123" s="1867"/>
      <c r="Z123" s="1867"/>
      <c r="AA123" s="1867"/>
      <c r="AB123" s="1867"/>
      <c r="AC123" s="1867"/>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5"/>
      <c r="O125" s="1885"/>
      <c r="P125" s="1933"/>
      <c r="Q125" s="1879"/>
      <c r="R125" s="1867"/>
      <c r="S125" s="1867"/>
      <c r="T125" s="1867"/>
      <c r="U125" s="1867"/>
      <c r="V125" s="1867"/>
      <c r="W125" s="1867"/>
      <c r="X125" s="1867"/>
      <c r="Y125" s="1867"/>
      <c r="Z125" s="1867"/>
      <c r="AA125" s="1867"/>
      <c r="AB125" s="1867"/>
      <c r="AC125" s="1867"/>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5"/>
      <c r="B127" s="640">
        <f>B45</f>
        <v>111</v>
      </c>
      <c r="C127" s="655"/>
      <c r="D127" s="655"/>
      <c r="E127" s="655"/>
      <c r="F127" s="655"/>
      <c r="G127" s="655"/>
      <c r="H127" s="656"/>
      <c r="I127" s="656"/>
      <c r="J127" s="656"/>
      <c r="K127" s="656"/>
      <c r="L127" s="657"/>
      <c r="M127" s="658"/>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4"/>
      <c r="B128" s="645"/>
      <c r="C128" s="659"/>
      <c r="D128" s="638"/>
      <c r="E128" s="638"/>
      <c r="F128" s="638"/>
      <c r="G128" s="659"/>
      <c r="H128" s="660"/>
      <c r="I128" s="660"/>
      <c r="J128" s="660"/>
      <c r="K128" s="660"/>
      <c r="L128" s="660"/>
      <c r="M128" s="661"/>
      <c r="N128" s="1888"/>
      <c r="O128" s="1888"/>
      <c r="P128" s="1933"/>
      <c r="Q128" s="1890"/>
      <c r="R128" s="1891"/>
      <c r="S128" s="1891"/>
      <c r="T128" s="1891"/>
      <c r="U128" s="1891"/>
      <c r="V128" s="1891"/>
      <c r="W128" s="1891"/>
      <c r="X128" s="1891"/>
      <c r="Y128" s="1891"/>
      <c r="Z128" s="1891"/>
      <c r="AA128" s="1891"/>
      <c r="AB128" s="1891"/>
      <c r="AC128" s="1891"/>
    </row>
    <row r="129" spans="1:29" ht="15" thickTop="1">
      <c r="A129" s="702"/>
      <c r="B129" s="640">
        <f>B46</f>
        <v>111</v>
      </c>
      <c r="C129" s="655"/>
      <c r="D129" s="655"/>
      <c r="E129" s="655"/>
      <c r="F129" s="655"/>
      <c r="G129" s="685"/>
      <c r="H129" s="685"/>
      <c r="I129" s="685"/>
      <c r="J129" s="685"/>
      <c r="K129" s="686"/>
      <c r="L129" s="687"/>
      <c r="M129" s="688"/>
      <c r="N129" s="1885"/>
      <c r="O129" s="1885"/>
      <c r="P129" s="1932"/>
      <c r="Q129" s="1879"/>
      <c r="R129" s="1867"/>
      <c r="S129" s="1867"/>
      <c r="T129" s="1867"/>
      <c r="U129" s="1867"/>
      <c r="V129" s="1867"/>
      <c r="W129" s="1867"/>
      <c r="X129" s="1867"/>
      <c r="Y129" s="1867"/>
      <c r="Z129" s="1867"/>
      <c r="AA129" s="1867"/>
      <c r="AB129" s="1867"/>
      <c r="AC129" s="1867"/>
    </row>
    <row r="130" spans="1:29" ht="15.75" thickBot="1">
      <c r="A130" s="636"/>
      <c r="B130" s="645"/>
      <c r="C130" s="659"/>
      <c r="D130" s="659"/>
      <c r="E130" s="659"/>
      <c r="F130" s="659"/>
      <c r="G130" s="638"/>
      <c r="H130" s="638"/>
      <c r="I130" s="638"/>
      <c r="J130" s="638"/>
      <c r="K130" s="638"/>
      <c r="L130" s="638"/>
      <c r="M130" s="639"/>
      <c r="N130" s="1887"/>
      <c r="O130" s="1887"/>
      <c r="P130" s="1932"/>
      <c r="Q130" s="1879"/>
      <c r="R130" s="1867"/>
      <c r="S130" s="1867"/>
      <c r="T130" s="1867"/>
      <c r="U130" s="1867"/>
      <c r="V130" s="1867"/>
      <c r="W130" s="1867"/>
      <c r="X130" s="1867"/>
      <c r="Y130" s="1867"/>
      <c r="Z130" s="1867"/>
      <c r="AA130" s="1867"/>
      <c r="AB130" s="1867"/>
      <c r="AC130" s="1867"/>
    </row>
    <row r="131" spans="1:29" ht="15" thickTop="1">
      <c r="A131" s="702"/>
      <c r="B131" s="648">
        <f>B47</f>
        <v>111</v>
      </c>
      <c r="C131" s="628"/>
      <c r="D131" s="628"/>
      <c r="E131" s="628"/>
      <c r="F131" s="628"/>
      <c r="G131" s="689"/>
      <c r="H131" s="689"/>
      <c r="I131" s="689"/>
      <c r="J131" s="689"/>
      <c r="K131" s="628"/>
      <c r="L131" s="629"/>
      <c r="M131" s="692"/>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6"/>
      <c r="C132" s="667"/>
      <c r="D132" s="667"/>
      <c r="E132" s="667"/>
      <c r="F132" s="667"/>
      <c r="G132" s="693"/>
      <c r="H132" s="693"/>
      <c r="I132" s="693"/>
      <c r="J132" s="693"/>
      <c r="K132" s="693"/>
      <c r="L132" s="693"/>
      <c r="M132" s="694"/>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728</v>
      </c>
      <c r="C1" s="473" t="s">
        <v>667</v>
      </c>
      <c r="D1" s="81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09"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8" t="s">
        <v>468</v>
      </c>
      <c r="B3" s="479"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470</v>
      </c>
      <c r="B4" s="482"/>
      <c r="C4" s="3871" t="s">
        <v>471</v>
      </c>
      <c r="D4" s="3872"/>
      <c r="E4" s="3893" t="s">
        <v>472</v>
      </c>
      <c r="F4" s="3894"/>
      <c r="G4" s="3871" t="s">
        <v>473</v>
      </c>
      <c r="H4" s="3872"/>
      <c r="I4" s="3871" t="s">
        <v>474</v>
      </c>
      <c r="J4" s="3872"/>
      <c r="K4" s="483" t="s">
        <v>475</v>
      </c>
      <c r="L4" s="1855"/>
      <c r="M4" s="1856"/>
      <c r="N4" s="1856"/>
      <c r="O4" s="1856"/>
      <c r="P4" s="3873" t="s">
        <v>476</v>
      </c>
      <c r="Q4" s="3874"/>
      <c r="R4" s="3857" t="s">
        <v>472</v>
      </c>
      <c r="S4" s="3858"/>
      <c r="T4" s="3857" t="s">
        <v>473</v>
      </c>
      <c r="U4" s="3858"/>
      <c r="V4" s="3879" t="s">
        <v>474</v>
      </c>
      <c r="W4" s="3879"/>
      <c r="X4" s="1379"/>
      <c r="Y4" s="3857" t="s">
        <v>476</v>
      </c>
      <c r="Z4" s="3858"/>
      <c r="AA4" s="3852" t="s">
        <v>472</v>
      </c>
      <c r="AB4" s="3853" t="s">
        <v>473</v>
      </c>
      <c r="AC4" s="3852" t="s">
        <v>474</v>
      </c>
    </row>
    <row r="5" spans="1:29" ht="15">
      <c r="A5" s="484"/>
      <c r="B5" s="485"/>
      <c r="C5" s="3882" t="s">
        <v>2192</v>
      </c>
      <c r="D5" s="3883"/>
      <c r="E5" s="3895" t="s">
        <v>2193</v>
      </c>
      <c r="F5" s="3896"/>
      <c r="G5" s="3882" t="s">
        <v>2194</v>
      </c>
      <c r="H5" s="3883"/>
      <c r="I5" s="3882" t="s">
        <v>2195</v>
      </c>
      <c r="J5" s="3883"/>
      <c r="K5" s="483"/>
      <c r="L5" s="1855"/>
      <c r="M5" s="1856"/>
      <c r="N5" s="1856"/>
      <c r="O5" s="1856"/>
      <c r="P5" s="3875"/>
      <c r="Q5" s="3876"/>
      <c r="R5" s="3859"/>
      <c r="S5" s="3860"/>
      <c r="T5" s="3859"/>
      <c r="U5" s="3860"/>
      <c r="V5" s="3879"/>
      <c r="W5" s="3879"/>
      <c r="X5" s="1379"/>
      <c r="Y5" s="3859"/>
      <c r="Z5" s="3860"/>
      <c r="AA5" s="3853"/>
      <c r="AB5" s="3853"/>
      <c r="AC5" s="3853"/>
    </row>
    <row r="6" spans="1:29" ht="15.75" thickBot="1">
      <c r="A6" s="486"/>
      <c r="B6" s="487"/>
      <c r="C6" s="3880" t="s">
        <v>2196</v>
      </c>
      <c r="D6" s="3881"/>
      <c r="E6" s="3897" t="s">
        <v>2196</v>
      </c>
      <c r="F6" s="3898"/>
      <c r="G6" s="3880" t="s">
        <v>2196</v>
      </c>
      <c r="H6" s="3881"/>
      <c r="I6" s="3880" t="s">
        <v>2196</v>
      </c>
      <c r="J6" s="3881"/>
      <c r="K6" s="483" t="s">
        <v>477</v>
      </c>
      <c r="L6" s="1855"/>
      <c r="M6" s="1856"/>
      <c r="N6" s="1856"/>
      <c r="O6" s="1856"/>
      <c r="P6" s="3877"/>
      <c r="Q6" s="3878"/>
      <c r="R6" s="3859"/>
      <c r="S6" s="3860"/>
      <c r="T6" s="3861"/>
      <c r="U6" s="3862"/>
      <c r="V6" s="3879"/>
      <c r="W6" s="3879"/>
      <c r="X6" s="1379"/>
      <c r="Y6" s="3861"/>
      <c r="Z6" s="3862"/>
      <c r="AA6" s="3854"/>
      <c r="AB6" s="3854"/>
      <c r="AC6" s="3854"/>
    </row>
    <row r="7" spans="1:29" s="1117" customFormat="1" ht="15.75" thickBot="1">
      <c r="A7" s="2391"/>
      <c r="B7" s="2398" t="s">
        <v>478</v>
      </c>
      <c r="C7" s="488">
        <f>'数据-取费表'!B2</f>
        <v>45378</v>
      </c>
      <c r="D7" s="489">
        <v>100</v>
      </c>
      <c r="E7" s="490"/>
      <c r="F7" s="491">
        <f>SUMIF(52:52,YEAR(E7)&amp;"-"&amp;MONTH(E7),53:53)</f>
        <v>0</v>
      </c>
      <c r="G7" s="490"/>
      <c r="H7" s="489">
        <f>SUMIF(52:52,YEAR(G7)&amp;"-"&amp;MONTH(G7),53:53)</f>
        <v>0</v>
      </c>
      <c r="I7" s="490"/>
      <c r="J7" s="489">
        <f>SUMIF(52:52,YEAR(I7)&amp;"-"&amp;MONTH(I7),53:53)</f>
        <v>0</v>
      </c>
      <c r="K7" s="493"/>
      <c r="L7" s="1857"/>
      <c r="M7" s="1858"/>
      <c r="N7" s="1858"/>
      <c r="O7" s="1858"/>
      <c r="P7" s="3855" t="s">
        <v>479</v>
      </c>
      <c r="Q7" s="3864"/>
      <c r="R7" s="1380" t="s">
        <v>5</v>
      </c>
      <c r="S7" s="1381">
        <f t="shared" ref="S7:S15" si="0">F7</f>
        <v>0</v>
      </c>
      <c r="T7" s="1380" t="s">
        <v>5</v>
      </c>
      <c r="U7" s="1381">
        <f t="shared" ref="U7:U15" si="1">H7</f>
        <v>0</v>
      </c>
      <c r="V7" s="1380" t="s">
        <v>5</v>
      </c>
      <c r="W7" s="1381">
        <f t="shared" ref="W7:W15"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494"/>
      <c r="F8" s="491">
        <f>SUMIF(55:55,E8,56:56)-SUMIF(55:55,C8,56:56)+100</f>
        <v>0</v>
      </c>
      <c r="G8" s="494"/>
      <c r="H8" s="489">
        <f>SUMIF(55:55,G8,56:56)-SUMIF(55:55,C8,56:56)+100</f>
        <v>0</v>
      </c>
      <c r="I8" s="494"/>
      <c r="J8" s="489">
        <f>SUMIF(55:55,I8,56:56)-SUMIF(55:55,C8,56:56)+100</f>
        <v>0</v>
      </c>
      <c r="K8" s="493"/>
      <c r="L8" s="1857"/>
      <c r="M8" s="1858"/>
      <c r="N8" s="1858"/>
      <c r="O8" s="1858"/>
      <c r="P8" s="3855" t="s">
        <v>482</v>
      </c>
      <c r="Q8" s="3856"/>
      <c r="R8" s="1380" t="s">
        <v>5</v>
      </c>
      <c r="S8" s="1381">
        <f t="shared" si="0"/>
        <v>0</v>
      </c>
      <c r="T8" s="1380" t="s">
        <v>5</v>
      </c>
      <c r="U8" s="1381">
        <f t="shared" si="1"/>
        <v>0</v>
      </c>
      <c r="V8" s="1380" t="s">
        <v>5</v>
      </c>
      <c r="W8" s="1381">
        <f t="shared" si="2"/>
        <v>0</v>
      </c>
      <c r="X8" s="1382"/>
      <c r="Y8" s="3855" t="s">
        <v>482</v>
      </c>
      <c r="Z8" s="3856"/>
      <c r="AA8" s="1383" t="e">
        <f t="shared" ref="AA8:AA40" si="3">D8/F8</f>
        <v>#DIV/0!</v>
      </c>
      <c r="AB8" s="1383" t="e">
        <f t="shared" ref="AB8:AB40" si="4">D8/H8</f>
        <v>#DIV/0!</v>
      </c>
      <c r="AC8" s="1383" t="e">
        <f t="shared" ref="AC8:AC40" si="5">D8/J8</f>
        <v>#DIV/0!</v>
      </c>
    </row>
    <row r="9" spans="1:29" s="1117" customFormat="1" ht="15">
      <c r="A9" s="2393"/>
      <c r="B9" s="2400" t="s">
        <v>2038</v>
      </c>
      <c r="C9" s="821"/>
      <c r="D9" s="244">
        <v>100</v>
      </c>
      <c r="E9" s="824"/>
      <c r="F9" s="244">
        <f>SUMIF(57:57,E9,58:58)-SUMIF(57:57,C9,58:58)+100</f>
        <v>100</v>
      </c>
      <c r="G9" s="822"/>
      <c r="H9" s="244">
        <f>SUMIF(57:57,G9,58:58)-SUMIF(57:57,C9,58:58)+100</f>
        <v>100</v>
      </c>
      <c r="I9" s="822"/>
      <c r="J9" s="244">
        <f>SUMIF(57:57,I9,58:58)-SUMIF(57:57,C9,58:58)+100</f>
        <v>100</v>
      </c>
      <c r="K9" s="493"/>
      <c r="L9" s="1857"/>
      <c r="M9" s="1858"/>
      <c r="N9" s="1858"/>
      <c r="O9" s="1859"/>
      <c r="P9" s="3863" t="s">
        <v>484</v>
      </c>
      <c r="Q9" s="1049" t="str">
        <f t="shared" ref="Q9:Q15" si="6">B9</f>
        <v>用途</v>
      </c>
      <c r="R9" s="1380" t="s">
        <v>5</v>
      </c>
      <c r="S9" s="1381">
        <f t="shared" si="0"/>
        <v>100</v>
      </c>
      <c r="T9" s="1380" t="s">
        <v>5</v>
      </c>
      <c r="U9" s="1381">
        <f t="shared" si="1"/>
        <v>100</v>
      </c>
      <c r="V9" s="1380" t="s">
        <v>5</v>
      </c>
      <c r="W9" s="1381">
        <f t="shared" si="2"/>
        <v>100</v>
      </c>
      <c r="X9" s="1382"/>
      <c r="Y9" s="3811" t="s">
        <v>485</v>
      </c>
      <c r="Z9" s="1048" t="str">
        <f t="shared" ref="Z9:Z15" si="7">Q9</f>
        <v>用途</v>
      </c>
      <c r="AA9" s="1383">
        <f t="shared" si="3"/>
        <v>1</v>
      </c>
      <c r="AB9" s="1383">
        <f t="shared" si="4"/>
        <v>1</v>
      </c>
      <c r="AC9" s="1383">
        <f t="shared" si="5"/>
        <v>1</v>
      </c>
    </row>
    <row r="10" spans="1:29" s="1198" customFormat="1" ht="27">
      <c r="A10" s="2394"/>
      <c r="B10" s="2399" t="s">
        <v>2039</v>
      </c>
      <c r="C10" s="3659"/>
      <c r="D10" s="245">
        <v>100</v>
      </c>
      <c r="E10" s="3659"/>
      <c r="F10" s="245">
        <f>SUMIF(59:59,E10,60:60)-SUMIF(59:59,C10,60:60)+100</f>
        <v>100</v>
      </c>
      <c r="G10" s="3660"/>
      <c r="H10" s="245">
        <f>SUMIF(59:59,G10,60:60)-SUMIF(59:59,C10,60:60)+100</f>
        <v>100</v>
      </c>
      <c r="I10" s="3659"/>
      <c r="J10" s="245">
        <f>SUMIF(59:59,I10,60:60)-SUMIF(59:59,C10,60:60)+100</f>
        <v>100</v>
      </c>
      <c r="K10" s="493"/>
      <c r="L10" s="1860"/>
      <c r="M10" s="1899"/>
      <c r="N10" s="1899"/>
      <c r="O10" s="1861"/>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5"/>
      <c r="B11" s="2399"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2"/>
      <c r="M11" s="1856"/>
      <c r="N11" s="1856"/>
      <c r="O11" s="1863"/>
      <c r="P11" s="3863"/>
      <c r="Q11" s="1049" t="str">
        <f t="shared" si="6"/>
        <v>容积率</v>
      </c>
      <c r="R11" s="1380" t="s">
        <v>5</v>
      </c>
      <c r="S11" s="1381" t="e">
        <f t="shared" si="0"/>
        <v>#N/A</v>
      </c>
      <c r="T11" s="1380" t="s">
        <v>5</v>
      </c>
      <c r="U11" s="1381" t="e">
        <f t="shared" si="1"/>
        <v>#N/A</v>
      </c>
      <c r="V11" s="1380" t="s">
        <v>5</v>
      </c>
      <c r="W11" s="1381" t="e">
        <f t="shared" si="2"/>
        <v>#N/A</v>
      </c>
      <c r="X11" s="1382"/>
      <c r="Y11" s="3811"/>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SUMIF(64:64,E12,65:65)-SUMIF(64:64,C12,65:65)+100</f>
        <v>100</v>
      </c>
      <c r="G12" s="882"/>
      <c r="H12" s="245">
        <f>SUMIF(64:64,G12,65:65)-SUMIF(64:64,C12,65:65)+100</f>
        <v>100</v>
      </c>
      <c r="I12" s="842"/>
      <c r="J12" s="245">
        <f>SUMIF(64:64,I12,65:65)-SUMIF(64:64,C12,65:65)+100</f>
        <v>100</v>
      </c>
      <c r="K12" s="550"/>
      <c r="L12" s="1857"/>
      <c r="M12" s="1858"/>
      <c r="N12" s="1858"/>
      <c r="O12" s="1859"/>
      <c r="P12" s="3863"/>
      <c r="Q12" s="1049">
        <f t="shared" si="6"/>
        <v>111</v>
      </c>
      <c r="R12" s="1380" t="s">
        <v>5</v>
      </c>
      <c r="S12" s="1381">
        <f t="shared" si="0"/>
        <v>100</v>
      </c>
      <c r="T12" s="1380" t="s">
        <v>5</v>
      </c>
      <c r="U12" s="1381">
        <f t="shared" si="1"/>
        <v>100</v>
      </c>
      <c r="V12" s="1380" t="s">
        <v>5</v>
      </c>
      <c r="W12" s="1381">
        <f t="shared" si="2"/>
        <v>100</v>
      </c>
      <c r="X12" s="1382"/>
      <c r="Y12" s="3811"/>
      <c r="Z12" s="1048">
        <f t="shared" si="7"/>
        <v>111</v>
      </c>
      <c r="AA12" s="1383">
        <f>D12/F12</f>
        <v>1</v>
      </c>
      <c r="AB12" s="1383">
        <f>D12/H12</f>
        <v>1</v>
      </c>
      <c r="AC12" s="1383">
        <f>D12/J12</f>
        <v>1</v>
      </c>
    </row>
    <row r="13" spans="1:29" ht="15">
      <c r="A13" s="2396"/>
      <c r="B13" s="2402">
        <v>111</v>
      </c>
      <c r="C13" s="508"/>
      <c r="D13" s="509">
        <v>100</v>
      </c>
      <c r="E13" s="508"/>
      <c r="F13" s="245">
        <f>SUMIF(66:66,E13,67:67)-SUMIF(66:66,C13,67:67)+100</f>
        <v>100</v>
      </c>
      <c r="G13" s="882"/>
      <c r="H13" s="509">
        <f>SUMIF(66:66,G13,67:67)-SUMIF(66:66,C13,67:67)+100</f>
        <v>100</v>
      </c>
      <c r="I13" s="842"/>
      <c r="J13" s="509">
        <f>SUMIF(66:66,I13,67:67)-SUMIF(66:66,C13,67:67)+100</f>
        <v>100</v>
      </c>
      <c r="K13" s="550"/>
      <c r="L13" s="1864"/>
      <c r="M13" s="1856"/>
      <c r="N13" s="1856"/>
      <c r="O13" s="1863"/>
      <c r="P13" s="3863"/>
      <c r="Q13" s="1049">
        <f t="shared" si="6"/>
        <v>111</v>
      </c>
      <c r="R13" s="1380" t="s">
        <v>5</v>
      </c>
      <c r="S13" s="1381">
        <f t="shared" si="0"/>
        <v>100</v>
      </c>
      <c r="T13" s="1380" t="s">
        <v>5</v>
      </c>
      <c r="U13" s="1381">
        <f t="shared" si="1"/>
        <v>100</v>
      </c>
      <c r="V13" s="1380" t="s">
        <v>5</v>
      </c>
      <c r="W13" s="1381">
        <f t="shared" si="2"/>
        <v>100</v>
      </c>
      <c r="X13" s="1382"/>
      <c r="Y13" s="3811"/>
      <c r="Z13" s="1048">
        <f t="shared" si="7"/>
        <v>111</v>
      </c>
      <c r="AA13" s="1383">
        <f t="shared" si="3"/>
        <v>1</v>
      </c>
      <c r="AB13" s="1383">
        <f t="shared" si="4"/>
        <v>1</v>
      </c>
      <c r="AC13" s="1383">
        <f t="shared" si="5"/>
        <v>1</v>
      </c>
    </row>
    <row r="14" spans="1:29" ht="15.75" thickBot="1">
      <c r="A14" s="2397"/>
      <c r="B14" s="2403">
        <v>111</v>
      </c>
      <c r="C14" s="514"/>
      <c r="D14" s="515">
        <v>100</v>
      </c>
      <c r="E14" s="514"/>
      <c r="F14" s="515">
        <f>SUMIF(68:68,E14,69:69)-SUMIF(68:68,C14,69:69)+100</f>
        <v>100</v>
      </c>
      <c r="G14" s="882"/>
      <c r="H14" s="515">
        <f>SUMIF(68:68,G14,69:69)-SUMIF(68:68,C14,69:69)+100</f>
        <v>100</v>
      </c>
      <c r="I14" s="842"/>
      <c r="J14" s="515">
        <f>SUMIF(68:68,I14,69:69)-SUMIF(68:68,C14,69:69)+100</f>
        <v>100</v>
      </c>
      <c r="K14" s="550"/>
      <c r="L14" s="1864"/>
      <c r="M14" s="1856"/>
      <c r="N14" s="1856"/>
      <c r="O14" s="1863"/>
      <c r="P14" s="3863"/>
      <c r="Q14" s="1049">
        <f t="shared" si="6"/>
        <v>111</v>
      </c>
      <c r="R14" s="1380" t="s">
        <v>5</v>
      </c>
      <c r="S14" s="1381">
        <f t="shared" si="0"/>
        <v>100</v>
      </c>
      <c r="T14" s="1380" t="s">
        <v>5</v>
      </c>
      <c r="U14" s="1381">
        <f t="shared" si="1"/>
        <v>100</v>
      </c>
      <c r="V14" s="1380" t="s">
        <v>5</v>
      </c>
      <c r="W14" s="1381">
        <f t="shared" si="2"/>
        <v>100</v>
      </c>
      <c r="X14" s="1382"/>
      <c r="Y14" s="3811"/>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4"/>
      <c r="M15" s="1856"/>
      <c r="N15" s="1856"/>
      <c r="O15" s="1863"/>
      <c r="P15" s="3865" t="s">
        <v>489</v>
      </c>
      <c r="Q15" s="1384" t="str">
        <f t="shared" si="6"/>
        <v>产业集聚程度</v>
      </c>
      <c r="R15" s="1385" t="s">
        <v>5</v>
      </c>
      <c r="S15" s="1386">
        <f t="shared" si="0"/>
        <v>100</v>
      </c>
      <c r="T15" s="1385" t="s">
        <v>5</v>
      </c>
      <c r="U15" s="1386">
        <f t="shared" si="1"/>
        <v>100</v>
      </c>
      <c r="V15" s="1385" t="s">
        <v>5</v>
      </c>
      <c r="W15" s="1386">
        <f t="shared" si="2"/>
        <v>100</v>
      </c>
      <c r="X15" s="1379"/>
      <c r="Y15" s="3865" t="s">
        <v>489</v>
      </c>
      <c r="Z15" s="1387" t="str">
        <f t="shared" si="7"/>
        <v>产业集聚程度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866"/>
      <c r="Q16" s="1384"/>
      <c r="R16" s="1385"/>
      <c r="S16" s="1386"/>
      <c r="T16" s="1385"/>
      <c r="U16" s="1386"/>
      <c r="V16" s="1385"/>
      <c r="W16" s="1386"/>
      <c r="X16" s="1379"/>
      <c r="Y16" s="3866"/>
      <c r="Z16" s="1387"/>
      <c r="AA16" s="1388">
        <v>1</v>
      </c>
      <c r="AB16" s="1388">
        <v>1</v>
      </c>
      <c r="AC16" s="1388">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4"/>
      <c r="M17" s="1856"/>
      <c r="N17" s="1856"/>
      <c r="O17" s="1863"/>
      <c r="P17" s="3866"/>
      <c r="Q17" s="1384" t="str">
        <f>B17</f>
        <v>交通便捷度</v>
      </c>
      <c r="R17" s="1385" t="s">
        <v>5</v>
      </c>
      <c r="S17" s="1386">
        <f>F17</f>
        <v>100</v>
      </c>
      <c r="T17" s="1385" t="s">
        <v>5</v>
      </c>
      <c r="U17" s="1386">
        <f>H17</f>
        <v>100</v>
      </c>
      <c r="V17" s="1385" t="s">
        <v>5</v>
      </c>
      <c r="W17" s="1386">
        <f>J17</f>
        <v>100</v>
      </c>
      <c r="X17" s="1379"/>
      <c r="Y17" s="3866"/>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866"/>
      <c r="Q18" s="1384"/>
      <c r="R18" s="1385"/>
      <c r="S18" s="1386"/>
      <c r="T18" s="1385"/>
      <c r="U18" s="1386"/>
      <c r="V18" s="1385"/>
      <c r="W18" s="1386"/>
      <c r="X18" s="1379"/>
      <c r="Y18" s="3866"/>
      <c r="Z18" s="1387"/>
      <c r="AA18" s="1388">
        <v>1</v>
      </c>
      <c r="AB18" s="1388">
        <v>1</v>
      </c>
      <c r="AC18" s="1388">
        <v>1</v>
      </c>
    </row>
    <row r="19" spans="1:29" ht="42.75">
      <c r="A19" s="501"/>
      <c r="B19" s="2210"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4"/>
      <c r="M19" s="1856"/>
      <c r="N19" s="1856"/>
      <c r="O19" s="1863"/>
      <c r="P19" s="3866"/>
      <c r="Q19" s="1384" t="str">
        <f>B19</f>
        <v>公共配套设施</v>
      </c>
      <c r="R19" s="1385" t="s">
        <v>5</v>
      </c>
      <c r="S19" s="1386">
        <f>F19</f>
        <v>100</v>
      </c>
      <c r="T19" s="1385" t="s">
        <v>5</v>
      </c>
      <c r="U19" s="1386">
        <f>H19</f>
        <v>100</v>
      </c>
      <c r="V19" s="1385" t="s">
        <v>5</v>
      </c>
      <c r="W19" s="1386">
        <f>J19</f>
        <v>100</v>
      </c>
      <c r="X19" s="1379"/>
      <c r="Y19" s="3866"/>
      <c r="Z19" s="1387" t="str">
        <f>Q19</f>
        <v>公共配套设施</v>
      </c>
      <c r="AA19" s="1388">
        <f t="shared" si="3"/>
        <v>1</v>
      </c>
      <c r="AB19" s="1388">
        <f t="shared" si="4"/>
        <v>1</v>
      </c>
      <c r="AC19" s="1388">
        <f t="shared" si="5"/>
        <v>1</v>
      </c>
    </row>
    <row r="20" spans="1:29" ht="15">
      <c r="A20" s="501"/>
      <c r="B20" s="535"/>
      <c r="C20" s="545"/>
      <c r="D20" s="524"/>
      <c r="E20" s="525"/>
      <c r="F20" s="526"/>
      <c r="G20" s="527"/>
      <c r="H20" s="524"/>
      <c r="I20" s="525"/>
      <c r="J20" s="524"/>
      <c r="K20" s="861"/>
      <c r="L20" s="1864"/>
      <c r="M20" s="1856"/>
      <c r="N20" s="1856"/>
      <c r="O20" s="1863"/>
      <c r="P20" s="3866"/>
      <c r="Q20" s="1384"/>
      <c r="R20" s="1385"/>
      <c r="S20" s="1386"/>
      <c r="T20" s="1385"/>
      <c r="U20" s="1386"/>
      <c r="V20" s="1385"/>
      <c r="W20" s="1386"/>
      <c r="X20" s="1379"/>
      <c r="Y20" s="3866"/>
      <c r="Z20" s="1387"/>
      <c r="AA20" s="1388">
        <v>1</v>
      </c>
      <c r="AB20" s="1388">
        <v>1</v>
      </c>
      <c r="AC20" s="1388">
        <v>1</v>
      </c>
    </row>
    <row r="21" spans="1:29" ht="28.5">
      <c r="A21" s="501"/>
      <c r="B21" s="2198"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4"/>
      <c r="M21" s="1856"/>
      <c r="N21" s="1856"/>
      <c r="O21" s="1863"/>
      <c r="P21" s="3866"/>
      <c r="Q21" s="2192" t="str">
        <f>B21</f>
        <v>基础设施水平</v>
      </c>
      <c r="R21" s="1385" t="s">
        <v>5</v>
      </c>
      <c r="S21" s="1386">
        <f>F21</f>
        <v>100</v>
      </c>
      <c r="T21" s="1385" t="s">
        <v>5</v>
      </c>
      <c r="U21" s="1386">
        <f>H21</f>
        <v>100</v>
      </c>
      <c r="V21" s="1385" t="s">
        <v>5</v>
      </c>
      <c r="W21" s="1386">
        <f>J21</f>
        <v>100</v>
      </c>
      <c r="X21" s="2194"/>
      <c r="Y21" s="3866"/>
      <c r="Z21" s="2193" t="str">
        <f>Q21</f>
        <v>基础设施水平</v>
      </c>
      <c r="AA21" s="1388">
        <f>D21/F21</f>
        <v>1</v>
      </c>
      <c r="AB21" s="1388">
        <f>D21/H21</f>
        <v>1</v>
      </c>
      <c r="AC21" s="1388">
        <f>D21/J21</f>
        <v>1</v>
      </c>
    </row>
    <row r="22" spans="1:29" ht="15">
      <c r="A22" s="501"/>
      <c r="B22" s="547"/>
      <c r="C22" s="835"/>
      <c r="D22" s="524"/>
      <c r="E22" s="545"/>
      <c r="F22" s="526"/>
      <c r="G22" s="545"/>
      <c r="H22" s="524"/>
      <c r="I22" s="545"/>
      <c r="J22" s="524"/>
      <c r="K22" s="2209"/>
      <c r="L22" s="1864"/>
      <c r="M22" s="1856"/>
      <c r="N22" s="1856"/>
      <c r="O22" s="1863"/>
      <c r="P22" s="3866"/>
      <c r="Q22" s="2192"/>
      <c r="R22" s="1385"/>
      <c r="S22" s="1386"/>
      <c r="T22" s="1385"/>
      <c r="U22" s="1386"/>
      <c r="V22" s="1385"/>
      <c r="W22" s="1386"/>
      <c r="X22" s="2194"/>
      <c r="Y22" s="3866"/>
      <c r="Z22" s="2193"/>
      <c r="AA22" s="1388">
        <v>1</v>
      </c>
      <c r="AB22" s="1388">
        <v>1</v>
      </c>
      <c r="AC22" s="1388">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4"/>
      <c r="M23" s="1856"/>
      <c r="N23" s="1856"/>
      <c r="O23" s="1863"/>
      <c r="P23" s="3866"/>
      <c r="Q23" s="1384" t="str">
        <f>B23</f>
        <v>环境质量</v>
      </c>
      <c r="R23" s="1385" t="s">
        <v>5</v>
      </c>
      <c r="S23" s="1386">
        <f>F23</f>
        <v>100</v>
      </c>
      <c r="T23" s="1385" t="s">
        <v>5</v>
      </c>
      <c r="U23" s="1386">
        <f>H23</f>
        <v>100</v>
      </c>
      <c r="V23" s="1385" t="s">
        <v>5</v>
      </c>
      <c r="W23" s="1386">
        <f>J23</f>
        <v>100</v>
      </c>
      <c r="X23" s="1379"/>
      <c r="Y23" s="3866"/>
      <c r="Z23" s="1387" t="str">
        <f>Q23</f>
        <v>环境质量</v>
      </c>
      <c r="AA23" s="1388">
        <f t="shared" si="3"/>
        <v>1</v>
      </c>
      <c r="AB23" s="1388">
        <f t="shared" si="4"/>
        <v>1</v>
      </c>
      <c r="AC23" s="1388">
        <f t="shared" si="5"/>
        <v>1</v>
      </c>
    </row>
    <row r="24" spans="1:29" ht="15">
      <c r="A24" s="501"/>
      <c r="B24" s="884"/>
      <c r="C24" s="545"/>
      <c r="D24" s="524"/>
      <c r="E24" s="525"/>
      <c r="F24" s="526"/>
      <c r="G24" s="527"/>
      <c r="H24" s="524"/>
      <c r="I24" s="525"/>
      <c r="J24" s="524"/>
      <c r="K24" s="861"/>
      <c r="L24" s="1864"/>
      <c r="M24" s="1856"/>
      <c r="N24" s="1856"/>
      <c r="O24" s="1863"/>
      <c r="P24" s="3866"/>
      <c r="Q24" s="1384"/>
      <c r="R24" s="1385"/>
      <c r="S24" s="1386"/>
      <c r="T24" s="1385"/>
      <c r="U24" s="1386"/>
      <c r="V24" s="1385"/>
      <c r="W24" s="1386"/>
      <c r="X24" s="1379"/>
      <c r="Y24" s="3866"/>
      <c r="Z24" s="1387"/>
      <c r="AA24" s="1388">
        <v>1</v>
      </c>
      <c r="AB24" s="1388">
        <v>1</v>
      </c>
      <c r="AC24" s="1388">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4"/>
      <c r="M25" s="1856"/>
      <c r="N25" s="1856"/>
      <c r="O25" s="1863"/>
      <c r="P25" s="3866"/>
      <c r="Q25" s="1384">
        <f>B25</f>
        <v>111</v>
      </c>
      <c r="R25" s="1385" t="s">
        <v>5</v>
      </c>
      <c r="S25" s="1386">
        <f>F25</f>
        <v>100</v>
      </c>
      <c r="T25" s="1385" t="s">
        <v>5</v>
      </c>
      <c r="U25" s="1386">
        <f>H25</f>
        <v>100</v>
      </c>
      <c r="V25" s="1385" t="s">
        <v>5</v>
      </c>
      <c r="W25" s="1386">
        <f>J25</f>
        <v>100</v>
      </c>
      <c r="X25" s="1379"/>
      <c r="Y25" s="3866"/>
      <c r="Z25" s="1387">
        <f>Q25</f>
        <v>111</v>
      </c>
      <c r="AA25" s="1388">
        <f t="shared" si="3"/>
        <v>1</v>
      </c>
      <c r="AB25" s="1388">
        <f t="shared" si="4"/>
        <v>1</v>
      </c>
      <c r="AC25" s="1388">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4"/>
      <c r="M26" s="1856"/>
      <c r="N26" s="1856"/>
      <c r="O26" s="1863"/>
      <c r="P26" s="3866"/>
      <c r="Q26" s="1384">
        <f t="shared" ref="Q26:Q40" si="8">B26</f>
        <v>111</v>
      </c>
      <c r="R26" s="1385" t="s">
        <v>5</v>
      </c>
      <c r="S26" s="1386">
        <f>F26</f>
        <v>100</v>
      </c>
      <c r="T26" s="1385" t="s">
        <v>5</v>
      </c>
      <c r="U26" s="1386">
        <f>H26</f>
        <v>100</v>
      </c>
      <c r="V26" s="1385" t="s">
        <v>5</v>
      </c>
      <c r="W26" s="1386">
        <f>J26</f>
        <v>100</v>
      </c>
      <c r="X26" s="1379"/>
      <c r="Y26" s="3866"/>
      <c r="Z26" s="1387">
        <f>Q26</f>
        <v>111</v>
      </c>
      <c r="AA26" s="1388">
        <f t="shared" si="3"/>
        <v>1</v>
      </c>
      <c r="AB26" s="1388">
        <f t="shared" si="4"/>
        <v>1</v>
      </c>
      <c r="AC26" s="1388">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7"/>
      <c r="M27" s="1858"/>
      <c r="N27" s="1858"/>
      <c r="O27" s="1859"/>
      <c r="P27" s="3866"/>
      <c r="Q27" s="1049">
        <f t="shared" si="8"/>
        <v>111</v>
      </c>
      <c r="R27" s="1380" t="s">
        <v>5</v>
      </c>
      <c r="S27" s="1381">
        <f>F27</f>
        <v>100</v>
      </c>
      <c r="T27" s="1380" t="s">
        <v>5</v>
      </c>
      <c r="U27" s="1381">
        <f>H27</f>
        <v>100</v>
      </c>
      <c r="V27" s="1380" t="s">
        <v>5</v>
      </c>
      <c r="W27" s="1381">
        <f>J27</f>
        <v>100</v>
      </c>
      <c r="X27" s="1382"/>
      <c r="Y27" s="3866"/>
      <c r="Z27" s="1048">
        <f>Q27</f>
        <v>111</v>
      </c>
      <c r="AA27" s="1388">
        <f>D27/F27</f>
        <v>1</v>
      </c>
      <c r="AB27" s="1388">
        <f>D27/H27</f>
        <v>1</v>
      </c>
      <c r="AC27" s="1388">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4"/>
      <c r="M28" s="1856"/>
      <c r="N28" s="1856"/>
      <c r="O28" s="1863"/>
      <c r="P28" s="3866"/>
      <c r="Q28" s="1384">
        <f t="shared" si="8"/>
        <v>111</v>
      </c>
      <c r="R28" s="1385" t="s">
        <v>5</v>
      </c>
      <c r="S28" s="1386">
        <f t="shared" ref="S28:S40" si="9">F28</f>
        <v>100</v>
      </c>
      <c r="T28" s="1385" t="s">
        <v>5</v>
      </c>
      <c r="U28" s="1386">
        <f t="shared" ref="U28:U40" si="10">H28</f>
        <v>100</v>
      </c>
      <c r="V28" s="1385" t="s">
        <v>5</v>
      </c>
      <c r="W28" s="1386">
        <f t="shared" ref="W28:W40" si="11">J28</f>
        <v>100</v>
      </c>
      <c r="X28" s="1379"/>
      <c r="Y28" s="3866"/>
      <c r="Z28" s="1387">
        <f t="shared" ref="Z28:Z40" si="12">Q28</f>
        <v>111</v>
      </c>
      <c r="AA28" s="1388">
        <f t="shared" si="3"/>
        <v>1</v>
      </c>
      <c r="AB28" s="1388">
        <f t="shared" si="4"/>
        <v>1</v>
      </c>
      <c r="AC28" s="1388">
        <f t="shared" si="5"/>
        <v>1</v>
      </c>
    </row>
    <row r="29" spans="1:29" ht="15">
      <c r="A29" s="2386" t="s">
        <v>2037</v>
      </c>
      <c r="B29" s="165" t="s">
        <v>720</v>
      </c>
      <c r="C29" s="878"/>
      <c r="D29" s="566">
        <v>100</v>
      </c>
      <c r="E29" s="878"/>
      <c r="F29" s="544">
        <f>SUMIF(88:88,E29,89:89)-SUMIF(88:88,C29,89:89)+100</f>
        <v>100</v>
      </c>
      <c r="G29" s="878"/>
      <c r="H29" s="509">
        <f>SUMIF(88:88,G29,89:89)-SUMIF(88:88,C29,89:89)+100</f>
        <v>100</v>
      </c>
      <c r="I29" s="878"/>
      <c r="J29" s="566">
        <f>SUMIF(88:88,I29,89:89)-SUMIF(88:88,C29,89:89)+100</f>
        <v>100</v>
      </c>
      <c r="K29" s="553"/>
      <c r="L29" s="1864"/>
      <c r="M29" s="1856"/>
      <c r="N29" s="1856"/>
      <c r="O29" s="1863"/>
      <c r="P29" s="3867" t="s">
        <v>499</v>
      </c>
      <c r="Q29" s="1384" t="str">
        <f t="shared" si="8"/>
        <v>建筑类型</v>
      </c>
      <c r="R29" s="1385" t="s">
        <v>5</v>
      </c>
      <c r="S29" s="1386">
        <f t="shared" si="9"/>
        <v>100</v>
      </c>
      <c r="T29" s="1385" t="s">
        <v>5</v>
      </c>
      <c r="U29" s="1386">
        <f t="shared" si="10"/>
        <v>100</v>
      </c>
      <c r="V29" s="1385" t="s">
        <v>5</v>
      </c>
      <c r="W29" s="1386">
        <f t="shared" si="11"/>
        <v>100</v>
      </c>
      <c r="X29" s="1379"/>
      <c r="Y29" s="3868" t="s">
        <v>499</v>
      </c>
      <c r="Z29" s="1387" t="str">
        <f t="shared" si="12"/>
        <v>建筑类型</v>
      </c>
      <c r="AA29" s="1388">
        <f t="shared" si="3"/>
        <v>1</v>
      </c>
      <c r="AB29" s="1388">
        <f t="shared" si="4"/>
        <v>1</v>
      </c>
      <c r="AC29" s="1388">
        <f t="shared" si="5"/>
        <v>1</v>
      </c>
    </row>
    <row r="30" spans="1:29" s="1199"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2"/>
      <c r="M30" s="1892"/>
      <c r="N30" s="1892"/>
      <c r="O30" s="1865"/>
      <c r="P30" s="3868"/>
      <c r="Q30" s="1413" t="str">
        <f t="shared" si="8"/>
        <v>项目建筑规模</v>
      </c>
      <c r="R30" s="1389" t="s">
        <v>5</v>
      </c>
      <c r="S30" s="1390" t="e">
        <f t="shared" si="9"/>
        <v>#N/A</v>
      </c>
      <c r="T30" s="1389" t="s">
        <v>5</v>
      </c>
      <c r="U30" s="1390" t="e">
        <f t="shared" si="10"/>
        <v>#N/A</v>
      </c>
      <c r="V30" s="1389" t="s">
        <v>5</v>
      </c>
      <c r="W30" s="1390" t="e">
        <f t="shared" si="11"/>
        <v>#N/A</v>
      </c>
      <c r="X30" s="1391"/>
      <c r="Y30" s="3868"/>
      <c r="Z30" s="1392" t="str">
        <f t="shared" si="12"/>
        <v>项目建筑规模</v>
      </c>
      <c r="AA30" s="1388" t="e">
        <f t="shared" si="3"/>
        <v>#N/A</v>
      </c>
      <c r="AB30" s="1388" t="e">
        <f t="shared" si="4"/>
        <v>#N/A</v>
      </c>
      <c r="AC30" s="1388"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4"/>
      <c r="M31" s="1856"/>
      <c r="N31" s="1856"/>
      <c r="O31" s="1863"/>
      <c r="P31" s="3868"/>
      <c r="Q31" s="1384" t="str">
        <f t="shared" si="8"/>
        <v>建筑结构</v>
      </c>
      <c r="R31" s="1385" t="s">
        <v>5</v>
      </c>
      <c r="S31" s="1386">
        <f t="shared" si="9"/>
        <v>100</v>
      </c>
      <c r="T31" s="1385" t="s">
        <v>5</v>
      </c>
      <c r="U31" s="1386">
        <f t="shared" si="10"/>
        <v>100</v>
      </c>
      <c r="V31" s="1385" t="s">
        <v>5</v>
      </c>
      <c r="W31" s="1386">
        <f t="shared" si="11"/>
        <v>100</v>
      </c>
      <c r="X31" s="1379"/>
      <c r="Y31" s="3868"/>
      <c r="Z31" s="1387" t="str">
        <f t="shared" si="12"/>
        <v>建筑结构</v>
      </c>
      <c r="AA31" s="1388">
        <f t="shared" si="3"/>
        <v>1</v>
      </c>
      <c r="AB31" s="1388">
        <f t="shared" si="4"/>
        <v>1</v>
      </c>
      <c r="AC31" s="1388">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4"/>
      <c r="M32" s="1856"/>
      <c r="N32" s="1856"/>
      <c r="O32" s="1863"/>
      <c r="P32" s="3868"/>
      <c r="Q32" s="1384" t="str">
        <f t="shared" si="8"/>
        <v>公共部分装修</v>
      </c>
      <c r="R32" s="1385" t="s">
        <v>5</v>
      </c>
      <c r="S32" s="1386">
        <f t="shared" si="9"/>
        <v>100</v>
      </c>
      <c r="T32" s="1385" t="s">
        <v>5</v>
      </c>
      <c r="U32" s="1386">
        <f t="shared" si="10"/>
        <v>100</v>
      </c>
      <c r="V32" s="1385" t="s">
        <v>5</v>
      </c>
      <c r="W32" s="1386">
        <f t="shared" si="11"/>
        <v>100</v>
      </c>
      <c r="X32" s="1379"/>
      <c r="Y32" s="3868"/>
      <c r="Z32" s="1387" t="str">
        <f t="shared" si="12"/>
        <v>公共部分装修</v>
      </c>
      <c r="AA32" s="1388">
        <f t="shared" si="3"/>
        <v>1</v>
      </c>
      <c r="AB32" s="1388">
        <f t="shared" si="4"/>
        <v>1</v>
      </c>
      <c r="AC32" s="1388">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4"/>
      <c r="M33" s="1856"/>
      <c r="N33" s="1856"/>
      <c r="O33" s="1863"/>
      <c r="P33" s="3868"/>
      <c r="Q33" s="1384" t="str">
        <f t="shared" si="8"/>
        <v>成新度</v>
      </c>
      <c r="R33" s="1385" t="s">
        <v>5</v>
      </c>
      <c r="S33" s="1386" t="e">
        <f t="shared" si="9"/>
        <v>#N/A</v>
      </c>
      <c r="T33" s="1385" t="s">
        <v>5</v>
      </c>
      <c r="U33" s="1386" t="e">
        <f t="shared" si="10"/>
        <v>#N/A</v>
      </c>
      <c r="V33" s="1385" t="s">
        <v>5</v>
      </c>
      <c r="W33" s="1386" t="e">
        <f t="shared" si="11"/>
        <v>#N/A</v>
      </c>
      <c r="X33" s="1379"/>
      <c r="Y33" s="3868"/>
      <c r="Z33" s="1387" t="str">
        <f t="shared" si="12"/>
        <v>成新度</v>
      </c>
      <c r="AA33" s="1388" t="e">
        <f t="shared" si="3"/>
        <v>#N/A</v>
      </c>
      <c r="AB33" s="1388" t="e">
        <f t="shared" si="4"/>
        <v>#N/A</v>
      </c>
      <c r="AC33" s="1388" t="e">
        <f t="shared" si="5"/>
        <v>#N/A</v>
      </c>
    </row>
    <row r="34" spans="1:29" s="1117"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7"/>
      <c r="M34" s="1858"/>
      <c r="N34" s="1858"/>
      <c r="O34" s="1859"/>
      <c r="P34" s="3868"/>
      <c r="Q34" s="1049" t="str">
        <f t="shared" si="8"/>
        <v>物业管理</v>
      </c>
      <c r="R34" s="1380" t="s">
        <v>5</v>
      </c>
      <c r="S34" s="1381">
        <f t="shared" si="9"/>
        <v>100</v>
      </c>
      <c r="T34" s="1380" t="s">
        <v>5</v>
      </c>
      <c r="U34" s="1381">
        <f t="shared" si="10"/>
        <v>100</v>
      </c>
      <c r="V34" s="1380" t="s">
        <v>5</v>
      </c>
      <c r="W34" s="1381">
        <f t="shared" si="11"/>
        <v>100</v>
      </c>
      <c r="X34" s="1382"/>
      <c r="Y34" s="3868"/>
      <c r="Z34" s="1048" t="str">
        <f t="shared" si="12"/>
        <v>物业管理</v>
      </c>
      <c r="AA34" s="1383">
        <f t="shared" si="3"/>
        <v>1</v>
      </c>
      <c r="AB34" s="1383">
        <f t="shared" si="4"/>
        <v>1</v>
      </c>
      <c r="AC34" s="1383">
        <f t="shared" si="5"/>
        <v>1</v>
      </c>
    </row>
    <row r="35" spans="1:29" ht="15">
      <c r="A35" s="563"/>
      <c r="B35" s="1650"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4"/>
      <c r="M35" s="1856"/>
      <c r="N35" s="1856"/>
      <c r="O35" s="1863"/>
      <c r="P35" s="3868" t="s">
        <v>499</v>
      </c>
      <c r="Q35" s="1384" t="str">
        <f t="shared" si="8"/>
        <v>市政基础设施</v>
      </c>
      <c r="R35" s="1385" t="s">
        <v>5</v>
      </c>
      <c r="S35" s="1386">
        <f t="shared" si="9"/>
        <v>100</v>
      </c>
      <c r="T35" s="1385" t="s">
        <v>5</v>
      </c>
      <c r="U35" s="1386">
        <f t="shared" si="10"/>
        <v>100</v>
      </c>
      <c r="V35" s="1385" t="s">
        <v>5</v>
      </c>
      <c r="W35" s="1386">
        <f t="shared" si="11"/>
        <v>100</v>
      </c>
      <c r="X35" s="1379"/>
      <c r="Y35" s="3868" t="s">
        <v>499</v>
      </c>
      <c r="Z35" s="1387" t="str">
        <f t="shared" si="12"/>
        <v>市政基础设施</v>
      </c>
      <c r="AA35" s="1388">
        <f t="shared" si="3"/>
        <v>1</v>
      </c>
      <c r="AB35" s="1388">
        <f t="shared" si="4"/>
        <v>1</v>
      </c>
      <c r="AC35" s="1388">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4"/>
      <c r="M36" s="1856"/>
      <c r="N36" s="1856"/>
      <c r="O36" s="1863"/>
      <c r="P36" s="3868"/>
      <c r="Q36" s="1384" t="str">
        <f t="shared" si="8"/>
        <v>内部装修</v>
      </c>
      <c r="R36" s="1385" t="s">
        <v>5</v>
      </c>
      <c r="S36" s="1386">
        <f t="shared" si="9"/>
        <v>100</v>
      </c>
      <c r="T36" s="1385" t="s">
        <v>5</v>
      </c>
      <c r="U36" s="1386">
        <f t="shared" si="10"/>
        <v>100</v>
      </c>
      <c r="V36" s="1385" t="s">
        <v>5</v>
      </c>
      <c r="W36" s="1386">
        <f t="shared" si="11"/>
        <v>100</v>
      </c>
      <c r="X36" s="1379"/>
      <c r="Y36" s="3868"/>
      <c r="Z36" s="1387" t="str">
        <f t="shared" si="12"/>
        <v>内部装修</v>
      </c>
      <c r="AA36" s="1388">
        <f t="shared" si="3"/>
        <v>1</v>
      </c>
      <c r="AB36" s="1388">
        <f t="shared" si="4"/>
        <v>1</v>
      </c>
      <c r="AC36" s="1388">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4"/>
      <c r="M37" s="1856"/>
      <c r="N37" s="1856"/>
      <c r="O37" s="1863"/>
      <c r="P37" s="3868"/>
      <c r="Q37" s="1384" t="str">
        <f t="shared" si="8"/>
        <v>内部装修状况</v>
      </c>
      <c r="R37" s="1385" t="s">
        <v>5</v>
      </c>
      <c r="S37" s="1386">
        <f t="shared" si="9"/>
        <v>100</v>
      </c>
      <c r="T37" s="1385" t="s">
        <v>5</v>
      </c>
      <c r="U37" s="1386">
        <f t="shared" si="10"/>
        <v>100</v>
      </c>
      <c r="V37" s="1385" t="s">
        <v>5</v>
      </c>
      <c r="W37" s="1386">
        <f t="shared" si="11"/>
        <v>100</v>
      </c>
      <c r="X37" s="1379"/>
      <c r="Y37" s="3868"/>
      <c r="Z37" s="1387" t="str">
        <f t="shared" si="12"/>
        <v>内部装修状况</v>
      </c>
      <c r="AA37" s="1388">
        <f t="shared" si="3"/>
        <v>1</v>
      </c>
      <c r="AB37" s="1388">
        <f t="shared" si="4"/>
        <v>1</v>
      </c>
      <c r="AC37" s="1388">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2"/>
      <c r="M38" s="1892"/>
      <c r="N38" s="1892"/>
      <c r="O38" s="1865"/>
      <c r="P38" s="3868"/>
      <c r="Q38" s="1413">
        <f t="shared" si="8"/>
        <v>111</v>
      </c>
      <c r="R38" s="1389" t="s">
        <v>5</v>
      </c>
      <c r="S38" s="1390">
        <f t="shared" si="9"/>
        <v>100</v>
      </c>
      <c r="T38" s="1389" t="s">
        <v>5</v>
      </c>
      <c r="U38" s="1390">
        <f t="shared" si="10"/>
        <v>100</v>
      </c>
      <c r="V38" s="1389" t="s">
        <v>5</v>
      </c>
      <c r="W38" s="1390">
        <f t="shared" si="11"/>
        <v>100</v>
      </c>
      <c r="X38" s="1391"/>
      <c r="Y38" s="3868"/>
      <c r="Z38" s="1392">
        <f t="shared" si="12"/>
        <v>111</v>
      </c>
      <c r="AA38" s="1388">
        <f t="shared" si="3"/>
        <v>1</v>
      </c>
      <c r="AB38" s="1388">
        <f t="shared" si="4"/>
        <v>1</v>
      </c>
      <c r="AC38" s="1388">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4"/>
      <c r="M39" s="1856"/>
      <c r="N39" s="1856"/>
      <c r="O39" s="1863"/>
      <c r="P39" s="3868"/>
      <c r="Q39" s="1384">
        <f t="shared" si="8"/>
        <v>111</v>
      </c>
      <c r="R39" s="1385" t="s">
        <v>5</v>
      </c>
      <c r="S39" s="1386">
        <f t="shared" si="9"/>
        <v>100</v>
      </c>
      <c r="T39" s="1385" t="s">
        <v>5</v>
      </c>
      <c r="U39" s="1386">
        <f t="shared" si="10"/>
        <v>100</v>
      </c>
      <c r="V39" s="1385" t="s">
        <v>5</v>
      </c>
      <c r="W39" s="1386">
        <f t="shared" si="11"/>
        <v>100</v>
      </c>
      <c r="X39" s="1379"/>
      <c r="Y39" s="3868"/>
      <c r="Z39" s="1387">
        <f t="shared" si="12"/>
        <v>111</v>
      </c>
      <c r="AA39" s="1388">
        <f t="shared" si="3"/>
        <v>1</v>
      </c>
      <c r="AB39" s="1388">
        <f t="shared" si="4"/>
        <v>1</v>
      </c>
      <c r="AC39" s="1388">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4"/>
      <c r="M40" s="1856"/>
      <c r="N40" s="1856"/>
      <c r="O40" s="1863"/>
      <c r="P40" s="3976"/>
      <c r="Q40" s="1384">
        <f t="shared" si="8"/>
        <v>111</v>
      </c>
      <c r="R40" s="1385" t="s">
        <v>5</v>
      </c>
      <c r="S40" s="1386">
        <f t="shared" si="9"/>
        <v>100</v>
      </c>
      <c r="T40" s="1385" t="s">
        <v>5</v>
      </c>
      <c r="U40" s="1386">
        <f t="shared" si="10"/>
        <v>100</v>
      </c>
      <c r="V40" s="1385" t="s">
        <v>5</v>
      </c>
      <c r="W40" s="1386">
        <f t="shared" si="11"/>
        <v>100</v>
      </c>
      <c r="X40" s="1379"/>
      <c r="Y40" s="3976"/>
      <c r="Z40" s="1387">
        <f t="shared" si="12"/>
        <v>111</v>
      </c>
      <c r="AA40" s="1388">
        <f t="shared" si="3"/>
        <v>1</v>
      </c>
      <c r="AB40" s="1388">
        <f t="shared" si="4"/>
        <v>1</v>
      </c>
      <c r="AC40" s="1388">
        <f t="shared" si="5"/>
        <v>1</v>
      </c>
    </row>
    <row r="41" spans="1:29" ht="15">
      <c r="A41" s="576" t="s">
        <v>683</v>
      </c>
      <c r="B41" s="849"/>
      <c r="C41" s="2233" t="s">
        <v>0</v>
      </c>
      <c r="D41" s="2234"/>
      <c r="E41" s="2235"/>
      <c r="F41" s="2236"/>
      <c r="G41" s="2237"/>
      <c r="H41" s="2238"/>
      <c r="I41" s="2235"/>
      <c r="J41" s="2238"/>
      <c r="K41" s="1418"/>
      <c r="L41" s="1866"/>
      <c r="M41" s="1867"/>
      <c r="N41" s="1856"/>
      <c r="O41" s="1867"/>
      <c r="P41" s="3863" t="str">
        <f>A41</f>
        <v>成交单价（元/平方米）</v>
      </c>
      <c r="Q41" s="3863"/>
      <c r="R41" s="3975">
        <f>E41</f>
        <v>0</v>
      </c>
      <c r="S41" s="3975"/>
      <c r="T41" s="3975">
        <f>G41</f>
        <v>0</v>
      </c>
      <c r="U41" s="3975"/>
      <c r="V41" s="3975">
        <f>I41</f>
        <v>0</v>
      </c>
      <c r="W41" s="3975"/>
      <c r="X41" s="1374"/>
      <c r="Y41" s="1393"/>
      <c r="Z41" s="1374"/>
      <c r="AA41" s="1374"/>
      <c r="AB41" s="1374"/>
      <c r="AC41" s="1374"/>
    </row>
    <row r="42" spans="1:29" ht="15.75" thickBot="1">
      <c r="A42" s="584" t="s">
        <v>2042</v>
      </c>
      <c r="B42" s="850"/>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863" t="str">
        <f>A42</f>
        <v>比较价格（元/平方米）</v>
      </c>
      <c r="Q42" s="3863"/>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1374"/>
      <c r="Y42" s="1374"/>
      <c r="Z42" s="1374"/>
      <c r="AA42" s="1374"/>
      <c r="AB42" s="1374"/>
      <c r="AC42" s="1374"/>
    </row>
    <row r="43" spans="1:29" ht="15.75" thickBot="1">
      <c r="A43" s="588" t="s">
        <v>2198</v>
      </c>
      <c r="B43" s="589"/>
      <c r="C43" s="2241" t="e">
        <f>R43</f>
        <v>#DIV/0!</v>
      </c>
      <c r="D43" s="2241"/>
      <c r="E43" s="2241"/>
      <c r="F43" s="2241"/>
      <c r="G43" s="2241"/>
      <c r="H43" s="2241"/>
      <c r="I43" s="2241"/>
      <c r="J43" s="2241"/>
      <c r="K43" s="1419"/>
      <c r="L43" s="1866"/>
      <c r="M43" s="1867"/>
      <c r="N43" s="1867"/>
      <c r="O43" s="1867"/>
      <c r="P43" s="3869" t="str">
        <f>A43</f>
        <v>估价对象XX用房的比较价格（楼面单价，元/平方米）</v>
      </c>
      <c r="Q43" s="3870"/>
      <c r="R43" s="3974" t="e">
        <f>IF(F1="售价",ROUND(IF(D42="简单平均",AVERAGE(R42:V42),R42*F42+T42*H42+V42*J42),0),ROUND(IF(D42="简单平均",AVERAGE(R42:V42),R42*F42+T42*H42+V42*J42),1))</f>
        <v>#DIV/0!</v>
      </c>
      <c r="S43" s="3974"/>
      <c r="T43" s="3974"/>
      <c r="U43" s="3974"/>
      <c r="V43" s="3974"/>
      <c r="W43" s="3974"/>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2" t="s">
        <v>478</v>
      </c>
      <c r="B52" s="613"/>
      <c r="C52" s="2281" t="str">
        <f>YEAR(C7)&amp;"-"&amp;MONTH(C7)</f>
        <v>2024-3</v>
      </c>
      <c r="D52" s="2283">
        <f>EDATE(C52,-1)</f>
        <v>45323</v>
      </c>
      <c r="E52" s="2283">
        <f t="shared" ref="E52:O52" si="13">EDATE(D52,-1)</f>
        <v>45292</v>
      </c>
      <c r="F52" s="2283">
        <f t="shared" si="13"/>
        <v>45261</v>
      </c>
      <c r="G52" s="2283">
        <f t="shared" si="13"/>
        <v>45231</v>
      </c>
      <c r="H52" s="2283">
        <f t="shared" si="13"/>
        <v>45200</v>
      </c>
      <c r="I52" s="2283">
        <f t="shared" si="13"/>
        <v>45170</v>
      </c>
      <c r="J52" s="2283">
        <f t="shared" si="13"/>
        <v>45139</v>
      </c>
      <c r="K52" s="2283">
        <f t="shared" si="13"/>
        <v>45108</v>
      </c>
      <c r="L52" s="2283">
        <f t="shared" si="13"/>
        <v>45078</v>
      </c>
      <c r="M52" s="2283">
        <f t="shared" si="13"/>
        <v>45047</v>
      </c>
      <c r="N52" s="2283">
        <f t="shared" si="13"/>
        <v>45017</v>
      </c>
      <c r="O52" s="2283">
        <f t="shared" si="13"/>
        <v>44986</v>
      </c>
      <c r="P52" s="1881"/>
      <c r="Q52" s="1882"/>
      <c r="R52" s="1882"/>
      <c r="S52" s="1882"/>
      <c r="T52" s="1882"/>
      <c r="U52" s="1882"/>
      <c r="V52" s="1882"/>
      <c r="W52" s="1882"/>
      <c r="X52" s="1882"/>
      <c r="Y52" s="1882"/>
      <c r="Z52" s="1882"/>
      <c r="AA52" s="1882"/>
      <c r="AB52" s="1882"/>
      <c r="AC52" s="1882"/>
    </row>
    <row r="53" spans="1:29" s="1117" customFormat="1" ht="15">
      <c r="A53" s="614"/>
      <c r="B53" s="615"/>
      <c r="C53" s="616">
        <v>100</v>
      </c>
      <c r="D53" s="617"/>
      <c r="E53" s="617"/>
      <c r="F53" s="617"/>
      <c r="G53" s="617"/>
      <c r="H53" s="617"/>
      <c r="I53" s="617"/>
      <c r="J53" s="617"/>
      <c r="K53" s="617"/>
      <c r="L53" s="617"/>
      <c r="M53" s="618"/>
      <c r="N53" s="617"/>
      <c r="O53" s="619"/>
      <c r="P53" s="1879"/>
      <c r="Q53" s="1745"/>
      <c r="R53" s="1745"/>
      <c r="S53" s="1745"/>
      <c r="T53" s="1745"/>
      <c r="U53" s="1745"/>
      <c r="V53" s="1745"/>
      <c r="W53" s="1745"/>
      <c r="X53" s="1745"/>
      <c r="Y53" s="1745"/>
      <c r="Z53" s="1745"/>
      <c r="AA53" s="1745"/>
      <c r="AB53" s="1745"/>
      <c r="AC53" s="1745"/>
    </row>
    <row r="54" spans="1:29" s="1117" customFormat="1" ht="15.75" thickBot="1">
      <c r="A54" s="620" t="s">
        <v>523</v>
      </c>
      <c r="B54" s="621"/>
      <c r="C54" s="622"/>
      <c r="D54" s="623"/>
      <c r="E54" s="623"/>
      <c r="F54" s="623"/>
      <c r="G54" s="623"/>
      <c r="H54" s="623"/>
      <c r="I54" s="623"/>
      <c r="J54" s="623"/>
      <c r="K54" s="623"/>
      <c r="L54" s="623"/>
      <c r="M54" s="624"/>
      <c r="N54" s="623"/>
      <c r="O54" s="625"/>
      <c r="P54" s="1879"/>
      <c r="Q54" s="1879"/>
      <c r="R54" s="1745"/>
      <c r="S54" s="1745"/>
      <c r="T54" s="1745"/>
      <c r="U54" s="1745"/>
      <c r="V54" s="1745"/>
      <c r="W54" s="1745"/>
      <c r="X54" s="1745"/>
      <c r="Y54" s="1745"/>
      <c r="Z54" s="1745"/>
      <c r="AA54" s="1745"/>
      <c r="AB54" s="1745"/>
      <c r="AC54" s="1745"/>
    </row>
    <row r="55" spans="1:29" s="1117" customFormat="1" ht="15">
      <c r="A55" s="626" t="s">
        <v>480</v>
      </c>
      <c r="B55" s="615"/>
      <c r="C55" s="627" t="s">
        <v>524</v>
      </c>
      <c r="D55" s="628"/>
      <c r="E55" s="628"/>
      <c r="F55" s="628"/>
      <c r="G55" s="628"/>
      <c r="H55" s="628"/>
      <c r="I55" s="628"/>
      <c r="J55" s="628"/>
      <c r="K55" s="628"/>
      <c r="L55" s="629"/>
      <c r="M55" s="630"/>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6"/>
      <c r="B56" s="615"/>
      <c r="C56" s="616">
        <v>100</v>
      </c>
      <c r="D56" s="617"/>
      <c r="E56" s="617"/>
      <c r="F56" s="617"/>
      <c r="G56" s="617"/>
      <c r="H56" s="617"/>
      <c r="I56" s="617"/>
      <c r="J56" s="617"/>
      <c r="K56" s="617"/>
      <c r="L56" s="617"/>
      <c r="M56" s="619"/>
      <c r="N56" s="1883"/>
      <c r="O56" s="1883"/>
      <c r="P56" s="1879"/>
      <c r="Q56" s="1879"/>
      <c r="R56" s="1745"/>
      <c r="S56" s="1745"/>
      <c r="T56" s="1745"/>
      <c r="U56" s="1745"/>
      <c r="V56" s="1745"/>
      <c r="W56" s="1745"/>
      <c r="X56" s="1745"/>
      <c r="Y56" s="1745"/>
      <c r="Z56" s="1745"/>
      <c r="AA56" s="1745"/>
      <c r="AB56" s="1745"/>
      <c r="AC56" s="1745"/>
    </row>
    <row r="57" spans="1:29">
      <c r="A57" s="631" t="s">
        <v>525</v>
      </c>
      <c r="B57" s="632" t="s">
        <v>483</v>
      </c>
      <c r="C57" s="671">
        <f>C9</f>
        <v>0</v>
      </c>
      <c r="D57" s="567"/>
      <c r="E57" s="567"/>
      <c r="F57" s="567"/>
      <c r="G57" s="567"/>
      <c r="H57" s="567"/>
      <c r="I57" s="567"/>
      <c r="J57" s="567"/>
      <c r="K57" s="633"/>
      <c r="L57" s="634"/>
      <c r="M57" s="635"/>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38"/>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ht="27.75" thickTop="1">
      <c r="A59" s="636"/>
      <c r="B59" s="640" t="s">
        <v>486</v>
      </c>
      <c r="C59" s="685"/>
      <c r="D59" s="685"/>
      <c r="E59" s="685"/>
      <c r="F59" s="685"/>
      <c r="G59" s="685"/>
      <c r="H59" s="685"/>
      <c r="I59" s="685"/>
      <c r="J59" s="685"/>
      <c r="K59" s="686"/>
      <c r="L59" s="687"/>
      <c r="M59" s="688"/>
      <c r="N59" s="1885"/>
      <c r="O59" s="1885"/>
      <c r="P59" s="1886"/>
      <c r="Q59" s="1879"/>
      <c r="R59" s="1867"/>
      <c r="S59" s="1867"/>
      <c r="T59" s="1867"/>
      <c r="U59" s="1867"/>
      <c r="V59" s="1867"/>
      <c r="W59" s="1867"/>
      <c r="X59" s="1867"/>
      <c r="Y59" s="1867"/>
      <c r="Z59" s="1867"/>
      <c r="AA59" s="1867"/>
      <c r="AB59" s="1867"/>
      <c r="AC59" s="1867"/>
    </row>
    <row r="60" spans="1:29" ht="15.75" thickBot="1">
      <c r="A60" s="636"/>
      <c r="B60" s="645"/>
      <c r="C60" s="638"/>
      <c r="D60" s="638"/>
      <c r="E60" s="638"/>
      <c r="F60" s="638"/>
      <c r="G60" s="638"/>
      <c r="H60" s="638"/>
      <c r="I60" s="638"/>
      <c r="J60" s="638"/>
      <c r="K60" s="638"/>
      <c r="L60" s="638"/>
      <c r="M60" s="639"/>
      <c r="N60" s="1887"/>
      <c r="O60" s="1887"/>
      <c r="P60" s="1886"/>
      <c r="Q60" s="1879"/>
      <c r="R60" s="1867"/>
      <c r="S60" s="1867"/>
      <c r="T60" s="1867"/>
      <c r="U60" s="1867"/>
      <c r="V60" s="1867"/>
      <c r="W60" s="1867"/>
      <c r="X60" s="1867"/>
      <c r="Y60" s="1867"/>
      <c r="Z60" s="1867"/>
      <c r="AA60" s="1867"/>
      <c r="AB60" s="1867"/>
      <c r="AC60" s="1867"/>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6"/>
      <c r="B62" s="650"/>
      <c r="C62" s="510"/>
      <c r="D62" s="510"/>
      <c r="E62" s="510"/>
      <c r="F62" s="510"/>
      <c r="G62" s="510"/>
      <c r="H62" s="510"/>
      <c r="I62" s="510"/>
      <c r="J62" s="510"/>
      <c r="K62" s="651"/>
      <c r="L62" s="652"/>
      <c r="M62" s="653"/>
      <c r="N62" s="1885"/>
      <c r="O62" s="1885"/>
      <c r="P62" s="1886"/>
      <c r="Q62" s="1879"/>
      <c r="R62" s="1867"/>
      <c r="S62" s="1867"/>
      <c r="T62" s="1867"/>
      <c r="U62" s="1867"/>
      <c r="V62" s="1867"/>
      <c r="W62" s="1867"/>
      <c r="X62" s="1867"/>
      <c r="Y62" s="1867"/>
      <c r="Z62" s="1867"/>
      <c r="AA62" s="1867"/>
      <c r="AB62" s="1867"/>
      <c r="AC62" s="1867"/>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4"/>
      <c r="B64" s="640">
        <f>B12</f>
        <v>111</v>
      </c>
      <c r="C64" s="655"/>
      <c r="D64" s="655"/>
      <c r="E64" s="655"/>
      <c r="F64" s="655"/>
      <c r="G64" s="655"/>
      <c r="H64" s="656"/>
      <c r="I64" s="656"/>
      <c r="J64" s="656"/>
      <c r="K64" s="656"/>
      <c r="L64" s="657"/>
      <c r="M64" s="658"/>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4"/>
      <c r="B65" s="645"/>
      <c r="C65" s="659"/>
      <c r="D65" s="638"/>
      <c r="E65" s="638"/>
      <c r="F65" s="638"/>
      <c r="G65" s="638"/>
      <c r="H65" s="638"/>
      <c r="I65" s="638"/>
      <c r="J65" s="638"/>
      <c r="K65" s="638"/>
      <c r="L65" s="638"/>
      <c r="M65" s="639"/>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4"/>
      <c r="B66" s="640">
        <f>B13</f>
        <v>111</v>
      </c>
      <c r="C66" s="655"/>
      <c r="D66" s="655"/>
      <c r="E66" s="655"/>
      <c r="F66" s="655"/>
      <c r="G66" s="655"/>
      <c r="H66" s="656"/>
      <c r="I66" s="656"/>
      <c r="J66" s="656"/>
      <c r="K66" s="656"/>
      <c r="L66" s="657"/>
      <c r="M66" s="658"/>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4"/>
      <c r="B67" s="645"/>
      <c r="C67" s="659"/>
      <c r="D67" s="638"/>
      <c r="E67" s="638"/>
      <c r="F67" s="638"/>
      <c r="G67" s="659"/>
      <c r="H67" s="660"/>
      <c r="I67" s="660"/>
      <c r="J67" s="660"/>
      <c r="K67" s="660"/>
      <c r="L67" s="660"/>
      <c r="M67" s="661"/>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4"/>
      <c r="B68" s="648">
        <f>B14</f>
        <v>111</v>
      </c>
      <c r="C68" s="628"/>
      <c r="D68" s="628"/>
      <c r="E68" s="628"/>
      <c r="F68" s="628"/>
      <c r="G68" s="628"/>
      <c r="H68" s="662"/>
      <c r="I68" s="662"/>
      <c r="J68" s="662"/>
      <c r="K68" s="662"/>
      <c r="L68" s="663"/>
      <c r="M68" s="664"/>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5"/>
      <c r="B69" s="666"/>
      <c r="C69" s="667"/>
      <c r="D69" s="667"/>
      <c r="E69" s="667"/>
      <c r="F69" s="667"/>
      <c r="G69" s="667"/>
      <c r="H69" s="668"/>
      <c r="I69" s="668"/>
      <c r="J69" s="668"/>
      <c r="K69" s="668"/>
      <c r="L69" s="668"/>
      <c r="M69" s="669"/>
      <c r="N69" s="1888"/>
      <c r="O69" s="1888"/>
      <c r="P69" s="1889"/>
      <c r="Q69" s="1890"/>
      <c r="R69" s="1891"/>
      <c r="S69" s="1891"/>
      <c r="T69" s="1891"/>
      <c r="U69" s="1891"/>
      <c r="V69" s="1891"/>
      <c r="W69" s="1891"/>
      <c r="X69" s="1891"/>
      <c r="Y69" s="1891"/>
      <c r="Z69" s="1891"/>
      <c r="AA69" s="1891"/>
      <c r="AB69" s="1891"/>
      <c r="AC69" s="1891"/>
    </row>
    <row r="70" spans="1:29">
      <c r="A70" s="631" t="s">
        <v>488</v>
      </c>
      <c r="B70" s="632" t="s">
        <v>533</v>
      </c>
      <c r="C70" s="670" t="s">
        <v>527</v>
      </c>
      <c r="D70" s="670" t="s">
        <v>528</v>
      </c>
      <c r="E70" s="670" t="s">
        <v>529</v>
      </c>
      <c r="F70" s="670" t="s">
        <v>530</v>
      </c>
      <c r="G70" s="670" t="s">
        <v>531</v>
      </c>
      <c r="H70" s="671"/>
      <c r="I70" s="671"/>
      <c r="J70" s="671"/>
      <c r="K70" s="672"/>
      <c r="L70" s="673"/>
      <c r="M70" s="674"/>
      <c r="N70" s="1885"/>
      <c r="O70" s="1885"/>
      <c r="P70" s="1895"/>
      <c r="Q70" s="1879"/>
      <c r="R70" s="1867"/>
      <c r="S70" s="1867"/>
      <c r="T70" s="1867"/>
      <c r="U70" s="1867"/>
      <c r="V70" s="1867"/>
      <c r="W70" s="1867"/>
      <c r="X70" s="1867"/>
      <c r="Y70" s="1867"/>
      <c r="Z70" s="1867"/>
      <c r="AA70" s="1867"/>
      <c r="AB70" s="1867"/>
      <c r="AC70" s="1867"/>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7"/>
      <c r="O71" s="1887"/>
      <c r="P71" s="1886"/>
      <c r="Q71" s="1879"/>
      <c r="R71" s="1867"/>
      <c r="S71" s="1867"/>
      <c r="T71" s="1867"/>
      <c r="U71" s="1867"/>
      <c r="V71" s="1867"/>
      <c r="W71" s="1867"/>
      <c r="X71" s="1867"/>
      <c r="Y71" s="1867"/>
      <c r="Z71" s="1867"/>
      <c r="AA71" s="1867"/>
      <c r="AB71" s="1867"/>
      <c r="AC71" s="1867"/>
    </row>
    <row r="72" spans="1:29" ht="15.75" thickTop="1">
      <c r="A72" s="636"/>
      <c r="B72" s="640" t="s">
        <v>534</v>
      </c>
      <c r="C72" s="675" t="s">
        <v>527</v>
      </c>
      <c r="D72" s="675" t="s">
        <v>528</v>
      </c>
      <c r="E72" s="675" t="s">
        <v>529</v>
      </c>
      <c r="F72" s="675" t="s">
        <v>530</v>
      </c>
      <c r="G72" s="675" t="s">
        <v>531</v>
      </c>
      <c r="H72" s="641"/>
      <c r="I72" s="641"/>
      <c r="J72" s="641"/>
      <c r="K72" s="642"/>
      <c r="L72" s="643"/>
      <c r="M72" s="644"/>
      <c r="N72" s="1885"/>
      <c r="O72" s="1885"/>
      <c r="P72" s="1886"/>
      <c r="Q72" s="1879"/>
      <c r="R72" s="1867"/>
      <c r="S72" s="1867"/>
      <c r="T72" s="1867"/>
      <c r="U72" s="1867"/>
      <c r="V72" s="1867"/>
      <c r="W72" s="1867"/>
      <c r="X72" s="1867"/>
      <c r="Y72" s="1867"/>
      <c r="Z72" s="1867"/>
      <c r="AA72" s="1867"/>
      <c r="AB72" s="1867"/>
      <c r="AC72" s="1867"/>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7"/>
      <c r="O73" s="1887"/>
      <c r="P73" s="1886"/>
      <c r="Q73" s="1879"/>
      <c r="R73" s="1867"/>
      <c r="S73" s="1867"/>
      <c r="T73" s="1867"/>
      <c r="U73" s="1867"/>
      <c r="V73" s="1867"/>
      <c r="W73" s="1867"/>
      <c r="X73" s="1867"/>
      <c r="Y73" s="1867"/>
      <c r="Z73" s="1867"/>
      <c r="AA73" s="1867"/>
      <c r="AB73" s="1867"/>
      <c r="AC73" s="1867"/>
    </row>
    <row r="74" spans="1:29" ht="15.75" thickTop="1">
      <c r="A74" s="636"/>
      <c r="B74" s="1651" t="s">
        <v>1840</v>
      </c>
      <c r="C74" s="675" t="s">
        <v>527</v>
      </c>
      <c r="D74" s="675" t="s">
        <v>528</v>
      </c>
      <c r="E74" s="675" t="s">
        <v>529</v>
      </c>
      <c r="F74" s="675" t="s">
        <v>530</v>
      </c>
      <c r="G74" s="675" t="s">
        <v>531</v>
      </c>
      <c r="H74" s="641"/>
      <c r="I74" s="641"/>
      <c r="J74" s="641"/>
      <c r="K74" s="642"/>
      <c r="L74" s="643"/>
      <c r="M74" s="644"/>
      <c r="N74" s="1885"/>
      <c r="O74" s="1885"/>
      <c r="P74" s="1886"/>
      <c r="Q74" s="1879"/>
      <c r="R74" s="1867"/>
      <c r="S74" s="1867"/>
      <c r="T74" s="1867"/>
      <c r="U74" s="1867"/>
      <c r="V74" s="1867"/>
      <c r="W74" s="1867"/>
      <c r="X74" s="1867"/>
      <c r="Y74" s="1867"/>
      <c r="Z74" s="1867"/>
      <c r="AA74" s="1867"/>
      <c r="AB74" s="1867"/>
      <c r="AC74" s="1867"/>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7"/>
      <c r="O75" s="1887"/>
      <c r="P75" s="1886"/>
      <c r="Q75" s="1879"/>
      <c r="R75" s="1867"/>
      <c r="S75" s="1867"/>
      <c r="T75" s="1867"/>
      <c r="U75" s="1867"/>
      <c r="V75" s="1867"/>
      <c r="W75" s="1867"/>
      <c r="X75" s="1867"/>
      <c r="Y75" s="1867"/>
      <c r="Z75" s="1867"/>
      <c r="AA75" s="1867"/>
      <c r="AB75" s="1867"/>
      <c r="AC75" s="1867"/>
    </row>
    <row r="76" spans="1:29" ht="15.75" thickTop="1">
      <c r="A76" s="636"/>
      <c r="B76" s="2204" t="s">
        <v>1841</v>
      </c>
      <c r="C76" s="2205" t="s">
        <v>1842</v>
      </c>
      <c r="D76" s="2205" t="s">
        <v>1843</v>
      </c>
      <c r="E76" s="2205" t="s">
        <v>1844</v>
      </c>
      <c r="F76" s="2205" t="s">
        <v>1845</v>
      </c>
      <c r="G76" s="2205" t="s">
        <v>1846</v>
      </c>
      <c r="H76" s="897"/>
      <c r="I76" s="897"/>
      <c r="J76" s="897"/>
      <c r="K76" s="897"/>
      <c r="L76" s="897"/>
      <c r="M76" s="528"/>
      <c r="N76" s="1887"/>
      <c r="O76" s="1887"/>
      <c r="P76" s="1886"/>
      <c r="Q76" s="1879"/>
      <c r="R76" s="1867"/>
      <c r="S76" s="1867"/>
      <c r="T76" s="1867"/>
      <c r="U76" s="1867"/>
      <c r="V76" s="1867"/>
      <c r="W76" s="1867"/>
      <c r="X76" s="1867"/>
      <c r="Y76" s="1867"/>
      <c r="Z76" s="1867"/>
      <c r="AA76" s="1867"/>
      <c r="AB76" s="1867"/>
      <c r="AC76" s="1867"/>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724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6"/>
      <c r="B80" s="640">
        <f>B25</f>
        <v>111</v>
      </c>
      <c r="C80" s="655"/>
      <c r="D80" s="655"/>
      <c r="E80" s="655"/>
      <c r="F80" s="655"/>
      <c r="G80" s="655"/>
      <c r="H80" s="655"/>
      <c r="I80" s="655"/>
      <c r="J80" s="655"/>
      <c r="K80" s="655"/>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6"/>
      <c r="B81" s="645"/>
      <c r="C81" s="659"/>
      <c r="D81" s="638"/>
      <c r="E81" s="638"/>
      <c r="F81" s="638"/>
      <c r="G81" s="638"/>
      <c r="H81" s="638"/>
      <c r="I81" s="638"/>
      <c r="J81" s="638"/>
      <c r="K81" s="638"/>
      <c r="L81" s="638"/>
      <c r="M81" s="639"/>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6"/>
      <c r="B82" s="640">
        <f>B26</f>
        <v>111</v>
      </c>
      <c r="C82" s="655"/>
      <c r="D82" s="655"/>
      <c r="E82" s="655"/>
      <c r="F82" s="655"/>
      <c r="G82" s="655"/>
      <c r="H82" s="655"/>
      <c r="I82" s="655"/>
      <c r="J82" s="655"/>
      <c r="K82" s="655"/>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6"/>
      <c r="B83" s="645"/>
      <c r="C83" s="659"/>
      <c r="D83" s="638"/>
      <c r="E83" s="638"/>
      <c r="F83" s="638"/>
      <c r="G83" s="638"/>
      <c r="H83" s="638"/>
      <c r="I83" s="638"/>
      <c r="J83" s="638"/>
      <c r="K83" s="638"/>
      <c r="L83" s="638"/>
      <c r="M83" s="639"/>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4"/>
      <c r="B84" s="640">
        <f>B27</f>
        <v>111</v>
      </c>
      <c r="C84" s="655"/>
      <c r="D84" s="655"/>
      <c r="E84" s="655"/>
      <c r="F84" s="655"/>
      <c r="G84" s="655"/>
      <c r="H84" s="655"/>
      <c r="I84" s="655"/>
      <c r="J84" s="655"/>
      <c r="K84" s="655"/>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4"/>
      <c r="B85" s="645"/>
      <c r="C85" s="659"/>
      <c r="D85" s="638"/>
      <c r="E85" s="638"/>
      <c r="F85" s="638"/>
      <c r="G85" s="638"/>
      <c r="H85" s="638"/>
      <c r="I85" s="638"/>
      <c r="J85" s="638"/>
      <c r="K85" s="638"/>
      <c r="L85" s="638"/>
      <c r="M85" s="639"/>
      <c r="N85" s="1888"/>
      <c r="O85" s="1888"/>
      <c r="P85" s="1889"/>
      <c r="Q85" s="1890"/>
      <c r="R85" s="1891"/>
      <c r="S85" s="1891"/>
      <c r="T85" s="1891"/>
      <c r="U85" s="1891"/>
      <c r="V85" s="1891"/>
      <c r="W85" s="1891"/>
      <c r="X85" s="1891"/>
      <c r="Y85" s="1891"/>
      <c r="Z85" s="1891"/>
      <c r="AA85" s="1891"/>
      <c r="AB85" s="1891"/>
      <c r="AC85" s="1891"/>
    </row>
    <row r="86" spans="1:29" ht="15.75" thickTop="1">
      <c r="A86" s="636"/>
      <c r="B86" s="648">
        <f>B28</f>
        <v>111</v>
      </c>
      <c r="C86" s="628"/>
      <c r="D86" s="628"/>
      <c r="E86" s="628"/>
      <c r="F86" s="628"/>
      <c r="G86" s="689"/>
      <c r="H86" s="689"/>
      <c r="I86" s="689"/>
      <c r="J86" s="689"/>
      <c r="K86" s="690"/>
      <c r="L86" s="691"/>
      <c r="M86" s="692"/>
      <c r="N86" s="1885"/>
      <c r="O86" s="1885"/>
      <c r="P86" s="1886"/>
      <c r="Q86" s="1879"/>
      <c r="R86" s="1867"/>
      <c r="S86" s="1867"/>
      <c r="T86" s="1867"/>
      <c r="U86" s="1867"/>
      <c r="V86" s="1867"/>
      <c r="W86" s="1867"/>
      <c r="X86" s="1867"/>
      <c r="Y86" s="1867"/>
      <c r="Z86" s="1867"/>
      <c r="AA86" s="1867"/>
      <c r="AB86" s="1867"/>
      <c r="AC86" s="1867"/>
    </row>
    <row r="87" spans="1:29" ht="15.75" thickBot="1">
      <c r="A87" s="855"/>
      <c r="B87" s="666"/>
      <c r="C87" s="667"/>
      <c r="D87" s="667"/>
      <c r="E87" s="667"/>
      <c r="F87" s="667"/>
      <c r="G87" s="693"/>
      <c r="H87" s="693"/>
      <c r="I87" s="693"/>
      <c r="J87" s="693"/>
      <c r="K87" s="693"/>
      <c r="L87" s="693"/>
      <c r="M87" s="694"/>
      <c r="N87" s="1887"/>
      <c r="O87" s="1887"/>
      <c r="P87" s="1886"/>
      <c r="Q87" s="1879"/>
      <c r="R87" s="1867"/>
      <c r="S87" s="1867"/>
      <c r="T87" s="1867"/>
      <c r="U87" s="1867"/>
      <c r="V87" s="1867"/>
      <c r="W87" s="1867"/>
      <c r="X87" s="1867"/>
      <c r="Y87" s="1867"/>
      <c r="Z87" s="1867"/>
      <c r="AA87" s="1867"/>
      <c r="AB87" s="1867"/>
      <c r="AC87" s="1867"/>
    </row>
    <row r="88" spans="1:29">
      <c r="A88" s="631" t="s">
        <v>500</v>
      </c>
      <c r="B88" s="632" t="s">
        <v>687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5"/>
      <c r="B91" s="696"/>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7"/>
      <c r="O92" s="1887"/>
      <c r="P92" s="1889"/>
      <c r="Q92" s="1890"/>
      <c r="R92" s="1891"/>
      <c r="S92" s="1891"/>
      <c r="T92" s="1891"/>
      <c r="U92" s="1891"/>
      <c r="V92" s="1891"/>
      <c r="W92" s="1891"/>
      <c r="X92" s="1891"/>
      <c r="Y92" s="1891"/>
      <c r="Z92" s="1891"/>
      <c r="AA92" s="1891"/>
      <c r="AB92" s="1891"/>
      <c r="AC92" s="1891"/>
    </row>
    <row r="93" spans="1:29" ht="15" thickTop="1">
      <c r="A93" s="702"/>
      <c r="B93" s="640" t="s">
        <v>689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691</v>
      </c>
      <c r="C95" s="655"/>
      <c r="D95" s="655"/>
      <c r="E95" s="655"/>
      <c r="F95" s="685"/>
      <c r="G95" s="685"/>
      <c r="H95" s="685"/>
      <c r="I95" s="685"/>
      <c r="J95" s="685"/>
      <c r="K95" s="686"/>
      <c r="L95" s="687"/>
      <c r="M95" s="688"/>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5"/>
      <c r="O97" s="1885"/>
      <c r="P97" s="1886"/>
      <c r="Q97" s="1879"/>
      <c r="R97" s="1867"/>
      <c r="S97" s="1867"/>
      <c r="T97" s="1867"/>
      <c r="U97" s="1867"/>
      <c r="V97" s="1867"/>
      <c r="W97" s="1867"/>
      <c r="X97" s="1867"/>
      <c r="Y97" s="1867"/>
      <c r="Z97" s="1867"/>
      <c r="AA97" s="1867"/>
      <c r="AB97" s="1867"/>
      <c r="AC97" s="1867"/>
    </row>
    <row r="98" spans="1:29">
      <c r="A98" s="702"/>
      <c r="B98" s="648"/>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5"/>
      <c r="B100" s="640" t="s">
        <v>693</v>
      </c>
      <c r="C100" s="655"/>
      <c r="D100" s="655"/>
      <c r="E100" s="655"/>
      <c r="F100" s="655"/>
      <c r="G100" s="655"/>
      <c r="H100" s="685"/>
      <c r="I100" s="685"/>
      <c r="J100" s="685"/>
      <c r="K100" s="686"/>
      <c r="L100" s="687"/>
      <c r="M100" s="688"/>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2"/>
      <c r="B102" s="1651" t="s">
        <v>1839</v>
      </c>
      <c r="C102" s="655"/>
      <c r="D102" s="655"/>
      <c r="E102" s="655"/>
      <c r="F102" s="655"/>
      <c r="G102" s="655"/>
      <c r="H102" s="685"/>
      <c r="I102" s="685"/>
      <c r="J102" s="685"/>
      <c r="K102" s="686"/>
      <c r="L102" s="687"/>
      <c r="M102" s="688"/>
      <c r="N102" s="1885"/>
      <c r="O102" s="1885"/>
      <c r="P102" s="1886"/>
      <c r="Q102" s="1879"/>
      <c r="R102" s="1867"/>
      <c r="S102" s="1867"/>
      <c r="T102" s="1867"/>
      <c r="U102" s="1867"/>
      <c r="V102" s="1867"/>
      <c r="W102" s="1867"/>
      <c r="X102" s="1867"/>
      <c r="Y102" s="1867"/>
      <c r="Z102" s="1867"/>
      <c r="AA102" s="1867"/>
      <c r="AB102" s="1867"/>
      <c r="AC102" s="1867"/>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2"/>
      <c r="B104" s="640" t="s">
        <v>695</v>
      </c>
      <c r="C104" s="655"/>
      <c r="D104" s="655"/>
      <c r="E104" s="655"/>
      <c r="F104" s="655"/>
      <c r="G104" s="655"/>
      <c r="H104" s="685"/>
      <c r="I104" s="685"/>
      <c r="J104" s="685"/>
      <c r="K104" s="686"/>
      <c r="L104" s="687"/>
      <c r="M104" s="688"/>
      <c r="N104" s="1885"/>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7"/>
      <c r="O105" s="1887"/>
      <c r="P105" s="1886"/>
      <c r="Q105" s="1879"/>
      <c r="R105" s="1867"/>
      <c r="S105" s="1867"/>
      <c r="T105" s="1867"/>
      <c r="U105" s="1867"/>
      <c r="V105" s="1867"/>
      <c r="W105" s="1867"/>
      <c r="X105" s="1867"/>
      <c r="Y105" s="1867"/>
      <c r="Z105" s="1867"/>
      <c r="AA105" s="1867"/>
      <c r="AB105" s="1867"/>
      <c r="AC105" s="1867"/>
    </row>
    <row r="106" spans="1:29" ht="27.75" thickTop="1">
      <c r="A106" s="702"/>
      <c r="B106" s="879" t="s">
        <v>731</v>
      </c>
      <c r="C106" s="675" t="s">
        <v>527</v>
      </c>
      <c r="D106" s="675" t="s">
        <v>528</v>
      </c>
      <c r="E106" s="675" t="s">
        <v>529</v>
      </c>
      <c r="F106" s="675" t="s">
        <v>530</v>
      </c>
      <c r="G106" s="675" t="s">
        <v>531</v>
      </c>
      <c r="H106" s="641"/>
      <c r="I106" s="641"/>
      <c r="J106" s="641"/>
      <c r="K106" s="642"/>
      <c r="L106" s="643"/>
      <c r="M106" s="644"/>
      <c r="N106" s="1887"/>
      <c r="O106" s="1887"/>
      <c r="P106" s="1924"/>
      <c r="Q106" s="1925"/>
      <c r="R106" s="1867"/>
      <c r="S106" s="1867"/>
      <c r="T106" s="1867"/>
      <c r="U106" s="1867"/>
      <c r="V106" s="1867"/>
      <c r="W106" s="1867"/>
      <c r="X106" s="1867"/>
      <c r="Y106" s="1867"/>
      <c r="Z106" s="1867"/>
      <c r="AA106" s="1867"/>
      <c r="AB106" s="1867"/>
      <c r="AC106" s="1867"/>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5"/>
      <c r="B108" s="640">
        <f>B38</f>
        <v>111</v>
      </c>
      <c r="C108" s="655"/>
      <c r="D108" s="655"/>
      <c r="E108" s="655"/>
      <c r="F108" s="655"/>
      <c r="G108" s="655"/>
      <c r="H108" s="656"/>
      <c r="I108" s="656"/>
      <c r="J108" s="656"/>
      <c r="K108" s="656"/>
      <c r="L108" s="657"/>
      <c r="M108" s="658"/>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4"/>
      <c r="B109" s="637"/>
      <c r="C109" s="659"/>
      <c r="D109" s="638"/>
      <c r="E109" s="638"/>
      <c r="F109" s="638"/>
      <c r="G109" s="659"/>
      <c r="H109" s="660"/>
      <c r="I109" s="660"/>
      <c r="J109" s="660"/>
      <c r="K109" s="660"/>
      <c r="L109" s="660"/>
      <c r="M109" s="661"/>
      <c r="N109" s="1888"/>
      <c r="O109" s="1888"/>
      <c r="P109" s="1889"/>
      <c r="Q109" s="1890"/>
      <c r="R109" s="1891"/>
      <c r="S109" s="1891"/>
      <c r="T109" s="1891"/>
      <c r="U109" s="1891"/>
      <c r="V109" s="1891"/>
      <c r="W109" s="1891"/>
      <c r="X109" s="1891"/>
      <c r="Y109" s="1891"/>
      <c r="Z109" s="1891"/>
      <c r="AA109" s="1891"/>
      <c r="AB109" s="1891"/>
      <c r="AC109" s="1891"/>
    </row>
    <row r="110" spans="1:29" ht="15" thickTop="1">
      <c r="A110" s="702"/>
      <c r="B110" s="640">
        <f>B39</f>
        <v>111</v>
      </c>
      <c r="C110" s="655"/>
      <c r="D110" s="655"/>
      <c r="E110" s="655"/>
      <c r="F110" s="655"/>
      <c r="G110" s="655"/>
      <c r="H110" s="656"/>
      <c r="I110" s="656"/>
      <c r="J110" s="656"/>
      <c r="K110" s="656"/>
      <c r="L110" s="657"/>
      <c r="M110" s="658"/>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59"/>
      <c r="D111" s="638"/>
      <c r="E111" s="638"/>
      <c r="F111" s="638"/>
      <c r="G111" s="659"/>
      <c r="H111" s="660"/>
      <c r="I111" s="660"/>
      <c r="J111" s="660"/>
      <c r="K111" s="660"/>
      <c r="L111" s="660"/>
      <c r="M111" s="661"/>
      <c r="N111" s="1887"/>
      <c r="O111" s="1887"/>
      <c r="P111" s="1886"/>
      <c r="Q111" s="1879"/>
      <c r="R111" s="1867"/>
      <c r="S111" s="1867"/>
      <c r="T111" s="1867"/>
      <c r="U111" s="1867"/>
      <c r="V111" s="1867"/>
      <c r="W111" s="1867"/>
      <c r="X111" s="1867"/>
      <c r="Y111" s="1867"/>
      <c r="Z111" s="1867"/>
      <c r="AA111" s="1867"/>
      <c r="AB111" s="1867"/>
      <c r="AC111" s="1867"/>
    </row>
    <row r="112" spans="1:29" ht="15" thickTop="1">
      <c r="A112" s="702"/>
      <c r="B112" s="648">
        <f>B40</f>
        <v>111</v>
      </c>
      <c r="C112" s="628"/>
      <c r="D112" s="628"/>
      <c r="E112" s="628"/>
      <c r="F112" s="628"/>
      <c r="G112" s="689"/>
      <c r="H112" s="689"/>
      <c r="I112" s="689"/>
      <c r="J112" s="689"/>
      <c r="K112" s="628"/>
      <c r="L112" s="629"/>
      <c r="M112" s="692"/>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6"/>
      <c r="C113" s="667"/>
      <c r="D113" s="667"/>
      <c r="E113" s="667"/>
      <c r="F113" s="667"/>
      <c r="G113" s="693"/>
      <c r="H113" s="693"/>
      <c r="I113" s="693"/>
      <c r="J113" s="693"/>
      <c r="K113" s="693"/>
      <c r="L113" s="693"/>
      <c r="M113" s="694"/>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IF(B37="元/平方米",C39,ROUND(B2*10000/D3,0))</f>
        <v>#DIV/0!</v>
      </c>
      <c r="C3" s="816" t="s">
        <v>736</v>
      </c>
      <c r="D3" s="815">
        <f>SUMIF('数据-汇总表'!$C19:$C33,D1,'数据-汇总表'!$E19:$E33)</f>
        <v>0</v>
      </c>
      <c r="E3" s="1633" t="s">
        <v>1594</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871" t="s">
        <v>738</v>
      </c>
      <c r="D4" s="3872"/>
      <c r="E4" s="3871" t="s">
        <v>739</v>
      </c>
      <c r="F4" s="3872"/>
      <c r="G4" s="3871" t="s">
        <v>740</v>
      </c>
      <c r="H4" s="3872"/>
      <c r="I4" s="3871" t="s">
        <v>741</v>
      </c>
      <c r="J4" s="3872"/>
      <c r="K4" s="483" t="s">
        <v>742</v>
      </c>
      <c r="L4" s="1855"/>
      <c r="M4" s="1856"/>
      <c r="N4" s="1856"/>
      <c r="O4" s="1856"/>
      <c r="P4" s="3873" t="s">
        <v>743</v>
      </c>
      <c r="Q4" s="3874"/>
      <c r="R4" s="3857" t="s">
        <v>739</v>
      </c>
      <c r="S4" s="3858"/>
      <c r="T4" s="3857" t="s">
        <v>740</v>
      </c>
      <c r="U4" s="3858"/>
      <c r="V4" s="3879" t="s">
        <v>741</v>
      </c>
      <c r="W4" s="3879"/>
      <c r="X4" s="1379"/>
      <c r="Y4" s="3857" t="s">
        <v>743</v>
      </c>
      <c r="Z4" s="3858"/>
      <c r="AA4" s="3852" t="s">
        <v>739</v>
      </c>
      <c r="AB4" s="3853" t="s">
        <v>740</v>
      </c>
      <c r="AC4" s="3852" t="s">
        <v>741</v>
      </c>
    </row>
    <row r="5" spans="1:29" ht="15">
      <c r="A5" s="484"/>
      <c r="B5" s="485"/>
      <c r="C5" s="3882" t="s">
        <v>2192</v>
      </c>
      <c r="D5" s="3883"/>
      <c r="E5" s="3882" t="s">
        <v>2193</v>
      </c>
      <c r="F5" s="3883"/>
      <c r="G5" s="3882" t="s">
        <v>2194</v>
      </c>
      <c r="H5" s="3883"/>
      <c r="I5" s="3882" t="s">
        <v>2195</v>
      </c>
      <c r="J5" s="3883"/>
      <c r="K5" s="483"/>
      <c r="L5" s="1855"/>
      <c r="M5" s="1856"/>
      <c r="N5" s="1856"/>
      <c r="O5" s="1856"/>
      <c r="P5" s="3875"/>
      <c r="Q5" s="3876"/>
      <c r="R5" s="3859"/>
      <c r="S5" s="3860"/>
      <c r="T5" s="3859"/>
      <c r="U5" s="3860"/>
      <c r="V5" s="3879"/>
      <c r="W5" s="3879"/>
      <c r="X5" s="1379"/>
      <c r="Y5" s="3859"/>
      <c r="Z5" s="3860"/>
      <c r="AA5" s="3853"/>
      <c r="AB5" s="3853"/>
      <c r="AC5" s="3853"/>
    </row>
    <row r="6" spans="1:29" ht="15.75" thickBot="1">
      <c r="A6" s="486"/>
      <c r="B6" s="487"/>
      <c r="C6" s="3880" t="s">
        <v>2196</v>
      </c>
      <c r="D6" s="3881"/>
      <c r="E6" s="3884" t="s">
        <v>2196</v>
      </c>
      <c r="F6" s="3885"/>
      <c r="G6" s="3880" t="s">
        <v>2196</v>
      </c>
      <c r="H6" s="3881"/>
      <c r="I6" s="3880" t="s">
        <v>2196</v>
      </c>
      <c r="J6" s="3881"/>
      <c r="K6" s="483" t="s">
        <v>477</v>
      </c>
      <c r="L6" s="1855"/>
      <c r="M6" s="1856"/>
      <c r="N6" s="1856"/>
      <c r="O6" s="1856"/>
      <c r="P6" s="3877"/>
      <c r="Q6" s="3878"/>
      <c r="R6" s="3859"/>
      <c r="S6" s="3860"/>
      <c r="T6" s="3861"/>
      <c r="U6" s="3862"/>
      <c r="V6" s="3879"/>
      <c r="W6" s="3879"/>
      <c r="X6" s="1379"/>
      <c r="Y6" s="3861"/>
      <c r="Z6" s="3862"/>
      <c r="AA6" s="3854"/>
      <c r="AB6" s="3854"/>
      <c r="AC6" s="3854"/>
    </row>
    <row r="7" spans="1:29" s="1117" customFormat="1" ht="15.75" thickBot="1">
      <c r="A7" s="2391"/>
      <c r="B7" s="2398" t="s">
        <v>478</v>
      </c>
      <c r="C7" s="488">
        <f>'数据-取费表'!B2</f>
        <v>45378</v>
      </c>
      <c r="D7" s="489">
        <v>100</v>
      </c>
      <c r="E7" s="490"/>
      <c r="F7" s="491">
        <f>SUMIF(48:48,YEAR(E7)&amp;"-"&amp;MONTH(E7),49:49)</f>
        <v>0</v>
      </c>
      <c r="G7" s="492"/>
      <c r="H7" s="489">
        <f>SUMIF(48:48,YEAR(G7)&amp;"-"&amp;MONTH(G7),49:49)</f>
        <v>0</v>
      </c>
      <c r="I7" s="492"/>
      <c r="J7" s="489">
        <f>SUMIF(48:48,YEAR(I7)&amp;"-"&amp;MONTH(I7),49:49)</f>
        <v>0</v>
      </c>
      <c r="K7" s="493"/>
      <c r="L7" s="1857"/>
      <c r="M7" s="1858"/>
      <c r="N7" s="1858"/>
      <c r="O7" s="1858"/>
      <c r="P7" s="3855" t="s">
        <v>479</v>
      </c>
      <c r="Q7" s="3864"/>
      <c r="R7" s="1380" t="s">
        <v>5</v>
      </c>
      <c r="S7" s="1381">
        <f t="shared" ref="S7:S14" si="0">F7</f>
        <v>0</v>
      </c>
      <c r="T7" s="1380" t="s">
        <v>5</v>
      </c>
      <c r="U7" s="1381">
        <f t="shared" ref="U7:U14" si="1">H7</f>
        <v>0</v>
      </c>
      <c r="V7" s="1380" t="s">
        <v>5</v>
      </c>
      <c r="W7" s="1381">
        <f t="shared" ref="W7:W14"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494"/>
      <c r="F8" s="491">
        <f>SUMIF(51:51,E8,52:52)-SUMIF(51:51,C8,52:52)+100</f>
        <v>0</v>
      </c>
      <c r="G8" s="494"/>
      <c r="H8" s="489">
        <f>SUMIF(51:51,G8,52:52)-SUMIF(51:51,C8,52:52)+100</f>
        <v>0</v>
      </c>
      <c r="I8" s="494"/>
      <c r="J8" s="489">
        <f>SUMIF(51:51,I8,52:52)-SUMIF(51:51,C8,52:52)+100</f>
        <v>0</v>
      </c>
      <c r="K8" s="493"/>
      <c r="L8" s="1857"/>
      <c r="M8" s="1858"/>
      <c r="N8" s="1858"/>
      <c r="O8" s="1858"/>
      <c r="P8" s="3855" t="s">
        <v>482</v>
      </c>
      <c r="Q8" s="3856"/>
      <c r="R8" s="1380" t="s">
        <v>5</v>
      </c>
      <c r="S8" s="1381">
        <f t="shared" si="0"/>
        <v>0</v>
      </c>
      <c r="T8" s="1380" t="s">
        <v>5</v>
      </c>
      <c r="U8" s="1381">
        <f t="shared" si="1"/>
        <v>0</v>
      </c>
      <c r="V8" s="1380" t="s">
        <v>5</v>
      </c>
      <c r="W8" s="1381">
        <f t="shared" si="2"/>
        <v>0</v>
      </c>
      <c r="X8" s="1382"/>
      <c r="Y8" s="3855" t="s">
        <v>482</v>
      </c>
      <c r="Z8" s="3856"/>
      <c r="AA8" s="1383" t="e">
        <f t="shared" ref="AA8:AA36" si="3">D8/F8</f>
        <v>#DIV/0!</v>
      </c>
      <c r="AB8" s="1383" t="e">
        <f t="shared" ref="AB8:AB36" si="4">D8/H8</f>
        <v>#DIV/0!</v>
      </c>
      <c r="AC8" s="1383" t="e">
        <f t="shared" ref="AC8:AC36" si="5">D8/J8</f>
        <v>#DIV/0!</v>
      </c>
    </row>
    <row r="9" spans="1:29" s="1117" customFormat="1" ht="15">
      <c r="A9" s="2393"/>
      <c r="B9" s="2400" t="s">
        <v>2038</v>
      </c>
      <c r="C9" s="821"/>
      <c r="D9" s="244">
        <v>100</v>
      </c>
      <c r="E9" s="824"/>
      <c r="F9" s="244">
        <f>SUMIF(53:53,E9,54:54)-SUMIF(53:53,C9,54:54)+100</f>
        <v>100</v>
      </c>
      <c r="G9" s="822"/>
      <c r="H9" s="244">
        <f>SUMIF(53:53,G9,54:54)-SUMIF(53:53,C9,54:54)+100</f>
        <v>100</v>
      </c>
      <c r="I9" s="822"/>
      <c r="J9" s="244">
        <f>SUMIF(53:53,I9,54:54)-SUMIF(53:53,C9,54:54)+100</f>
        <v>100</v>
      </c>
      <c r="K9" s="493"/>
      <c r="L9" s="1857"/>
      <c r="M9" s="1858"/>
      <c r="N9" s="1858"/>
      <c r="O9" s="1859"/>
      <c r="P9" s="3863" t="s">
        <v>484</v>
      </c>
      <c r="Q9" s="1049" t="str">
        <f t="shared" ref="Q9:Q14" si="6">B9</f>
        <v>用途</v>
      </c>
      <c r="R9" s="1380" t="s">
        <v>5</v>
      </c>
      <c r="S9" s="1381">
        <f t="shared" si="0"/>
        <v>100</v>
      </c>
      <c r="T9" s="1380" t="s">
        <v>5</v>
      </c>
      <c r="U9" s="1381">
        <f t="shared" si="1"/>
        <v>100</v>
      </c>
      <c r="V9" s="1380" t="s">
        <v>5</v>
      </c>
      <c r="W9" s="1381">
        <f t="shared" si="2"/>
        <v>100</v>
      </c>
      <c r="X9" s="1382"/>
      <c r="Y9" s="3811" t="s">
        <v>485</v>
      </c>
      <c r="Z9" s="1048" t="str">
        <f t="shared" ref="Z9:Z14" si="7">Q9</f>
        <v>用途</v>
      </c>
      <c r="AA9" s="1383">
        <f t="shared" si="3"/>
        <v>1</v>
      </c>
      <c r="AB9" s="1383">
        <f t="shared" si="4"/>
        <v>1</v>
      </c>
      <c r="AC9" s="1383">
        <f t="shared" si="5"/>
        <v>1</v>
      </c>
    </row>
    <row r="10" spans="1:29" s="1198" customFormat="1" ht="27">
      <c r="A10" s="2394"/>
      <c r="B10" s="2399" t="s">
        <v>2039</v>
      </c>
      <c r="C10" s="3659"/>
      <c r="D10" s="245">
        <v>100</v>
      </c>
      <c r="E10" s="3659"/>
      <c r="F10" s="245">
        <f>SUMIF(55:55,E10,56:56)-SUMIF(55:55,C10,56:56)+100</f>
        <v>100</v>
      </c>
      <c r="G10" s="3660"/>
      <c r="H10" s="245">
        <f>SUMIF(55:55,G10,56:56)-SUMIF(55:55,C10,56:56)+100</f>
        <v>100</v>
      </c>
      <c r="I10" s="3659"/>
      <c r="J10" s="245">
        <f>SUMIF(55:55,I10,56:56)-SUMIF(55:55,C10,56:56)+100</f>
        <v>100</v>
      </c>
      <c r="K10" s="493"/>
      <c r="L10" s="1860"/>
      <c r="M10" s="1899"/>
      <c r="N10" s="1899"/>
      <c r="O10" s="1861"/>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6"/>
      <c r="B11" s="2402">
        <v>111</v>
      </c>
      <c r="C11" s="497"/>
      <c r="D11" s="245">
        <v>100</v>
      </c>
      <c r="E11" s="497"/>
      <c r="F11" s="245">
        <f>SUMIF(57:57,E11,58:58)-SUMIF(57:57,C11,58:58)+100</f>
        <v>100</v>
      </c>
      <c r="G11" s="497"/>
      <c r="H11" s="245">
        <f>SUMIF(57:57,G11,58:58)-SUMIF(57:57,C11,58:58)+100</f>
        <v>100</v>
      </c>
      <c r="I11" s="497"/>
      <c r="J11" s="245">
        <f>SUMIF(57:57,I11,58:58)-SUMIF(57:57,C11,58:58)+100</f>
        <v>100</v>
      </c>
      <c r="K11" s="550"/>
      <c r="L11" s="1862"/>
      <c r="M11" s="1856"/>
      <c r="N11" s="1856"/>
      <c r="O11" s="1863"/>
      <c r="P11" s="3863"/>
      <c r="Q11" s="1049">
        <f t="shared" si="6"/>
        <v>111</v>
      </c>
      <c r="R11" s="1380" t="s">
        <v>5</v>
      </c>
      <c r="S11" s="1381">
        <f t="shared" si="0"/>
        <v>100</v>
      </c>
      <c r="T11" s="1380" t="s">
        <v>5</v>
      </c>
      <c r="U11" s="1381">
        <f t="shared" si="1"/>
        <v>100</v>
      </c>
      <c r="V11" s="1380" t="s">
        <v>5</v>
      </c>
      <c r="W11" s="1381">
        <f t="shared" si="2"/>
        <v>100</v>
      </c>
      <c r="X11" s="1382"/>
      <c r="Y11" s="3811"/>
      <c r="Z11" s="1048">
        <f t="shared" si="7"/>
        <v>111</v>
      </c>
      <c r="AA11" s="1383">
        <f t="shared" si="3"/>
        <v>1</v>
      </c>
      <c r="AB11" s="1383">
        <f t="shared" si="4"/>
        <v>1</v>
      </c>
      <c r="AC11" s="1383">
        <f t="shared" si="5"/>
        <v>1</v>
      </c>
    </row>
    <row r="12" spans="1:29" s="1117" customFormat="1" ht="15">
      <c r="A12" s="2396"/>
      <c r="B12" s="2402">
        <v>111</v>
      </c>
      <c r="C12" s="497"/>
      <c r="D12" s="507">
        <v>100</v>
      </c>
      <c r="E12" s="497"/>
      <c r="F12" s="245">
        <f>SUMIF(59:59,E12,60:60)-SUMIF(59:59,C12,60:60)+100</f>
        <v>100</v>
      </c>
      <c r="G12" s="497"/>
      <c r="H12" s="245">
        <f>SUMIF(59:59,G12,60:60)-SUMIF(59:59,C12,60:60)+100</f>
        <v>100</v>
      </c>
      <c r="I12" s="497"/>
      <c r="J12" s="245">
        <f>SUMIF(59:59,I12,60:60)-SUMIF(59:59,C12,60:60)+100</f>
        <v>100</v>
      </c>
      <c r="K12" s="550"/>
      <c r="L12" s="1857"/>
      <c r="M12" s="1858"/>
      <c r="N12" s="1858"/>
      <c r="O12" s="1859"/>
      <c r="P12" s="3863"/>
      <c r="Q12" s="1049">
        <f t="shared" si="6"/>
        <v>111</v>
      </c>
      <c r="R12" s="1380" t="s">
        <v>5</v>
      </c>
      <c r="S12" s="1381">
        <f t="shared" si="0"/>
        <v>100</v>
      </c>
      <c r="T12" s="1380" t="s">
        <v>5</v>
      </c>
      <c r="U12" s="1381">
        <f t="shared" si="1"/>
        <v>100</v>
      </c>
      <c r="V12" s="1380" t="s">
        <v>5</v>
      </c>
      <c r="W12" s="1381">
        <f t="shared" si="2"/>
        <v>100</v>
      </c>
      <c r="X12" s="1382"/>
      <c r="Y12" s="3811"/>
      <c r="Z12" s="1048">
        <f t="shared" si="7"/>
        <v>111</v>
      </c>
      <c r="AA12" s="1383">
        <f>D12/F12</f>
        <v>1</v>
      </c>
      <c r="AB12" s="1383">
        <f>D12/H12</f>
        <v>1</v>
      </c>
      <c r="AC12" s="1383">
        <f>D12/J12</f>
        <v>1</v>
      </c>
    </row>
    <row r="13" spans="1:29" ht="15.75" thickBot="1">
      <c r="A13" s="2397"/>
      <c r="B13" s="2403">
        <v>111</v>
      </c>
      <c r="C13" s="508"/>
      <c r="D13" s="509">
        <v>100</v>
      </c>
      <c r="E13" s="497"/>
      <c r="F13" s="245">
        <f>SUMIF(61:61,E13,62:62)-SUMIF(61:61,C13,62:62)+100</f>
        <v>100</v>
      </c>
      <c r="G13" s="497"/>
      <c r="H13" s="509">
        <f>SUMIF(61:61,G13,62:62)-SUMIF(61:61,C13,62:62)+100</f>
        <v>100</v>
      </c>
      <c r="I13" s="497"/>
      <c r="J13" s="509">
        <f>SUMIF(61:61,I13,62:62)-SUMIF(61:61,C13,62:62)+100</f>
        <v>100</v>
      </c>
      <c r="K13" s="550"/>
      <c r="L13" s="1864"/>
      <c r="M13" s="1856"/>
      <c r="N13" s="1856"/>
      <c r="O13" s="1863"/>
      <c r="P13" s="3863"/>
      <c r="Q13" s="1049">
        <f t="shared" si="6"/>
        <v>111</v>
      </c>
      <c r="R13" s="1380" t="s">
        <v>5</v>
      </c>
      <c r="S13" s="1381">
        <f t="shared" si="0"/>
        <v>100</v>
      </c>
      <c r="T13" s="1380" t="s">
        <v>5</v>
      </c>
      <c r="U13" s="1381">
        <f t="shared" si="1"/>
        <v>100</v>
      </c>
      <c r="V13" s="1380" t="s">
        <v>5</v>
      </c>
      <c r="W13" s="1381">
        <f t="shared" si="2"/>
        <v>100</v>
      </c>
      <c r="X13" s="1382"/>
      <c r="Y13" s="3811"/>
      <c r="Z13" s="1048">
        <f t="shared" si="7"/>
        <v>111</v>
      </c>
      <c r="AA13" s="1383">
        <f t="shared" si="3"/>
        <v>1</v>
      </c>
      <c r="AB13" s="1383">
        <f t="shared" si="4"/>
        <v>1</v>
      </c>
      <c r="AC13" s="1383">
        <f t="shared" si="5"/>
        <v>1</v>
      </c>
    </row>
    <row r="14" spans="1:29" ht="85.5">
      <c r="A14" s="2389" t="s">
        <v>2036</v>
      </c>
      <c r="B14" s="516" t="s">
        <v>492</v>
      </c>
      <c r="C14" s="883" t="str">
        <f>IF(B1="工业",估价对象房地状况!G4,估价对象房地状况!C6)</f>
        <v>估价对象周边道路状况、公共交通通达情况、停车便捷程度，综合评价交通便捷度较好</v>
      </c>
      <c r="D14" s="518">
        <v>100</v>
      </c>
      <c r="E14" s="519"/>
      <c r="F14" s="520">
        <f>SUMIF(63:63,E15,64:64)-SUMIF(63:63,C15,64:64)+100</f>
        <v>100</v>
      </c>
      <c r="G14" s="521"/>
      <c r="H14" s="518">
        <f>SUMIF(63:63,G15,64:64)-SUMIF(63:63,C15,64:64)+100</f>
        <v>100</v>
      </c>
      <c r="I14" s="519"/>
      <c r="J14" s="518">
        <f>SUMIF(63:63,I15,64:64)-SUMIF(63:63,C15,64:64)+100</f>
        <v>100</v>
      </c>
      <c r="K14" s="860"/>
      <c r="L14" s="1864"/>
      <c r="M14" s="1856"/>
      <c r="N14" s="1856"/>
      <c r="O14" s="1863"/>
      <c r="P14" s="3865" t="s">
        <v>489</v>
      </c>
      <c r="Q14" s="1384" t="str">
        <f t="shared" si="6"/>
        <v>交通便捷度</v>
      </c>
      <c r="R14" s="1385" t="s">
        <v>5</v>
      </c>
      <c r="S14" s="1386">
        <f t="shared" si="0"/>
        <v>100</v>
      </c>
      <c r="T14" s="1385" t="s">
        <v>5</v>
      </c>
      <c r="U14" s="1386">
        <f t="shared" si="1"/>
        <v>100</v>
      </c>
      <c r="V14" s="1385" t="s">
        <v>5</v>
      </c>
      <c r="W14" s="1386">
        <f t="shared" si="2"/>
        <v>100</v>
      </c>
      <c r="X14" s="1379"/>
      <c r="Y14" s="3865" t="s">
        <v>489</v>
      </c>
      <c r="Z14" s="1387" t="str">
        <f t="shared" si="7"/>
        <v>交通便捷度</v>
      </c>
      <c r="AA14" s="1388">
        <f t="shared" si="3"/>
        <v>1</v>
      </c>
      <c r="AB14" s="1388">
        <f t="shared" si="4"/>
        <v>1</v>
      </c>
      <c r="AC14" s="1388">
        <f t="shared" si="5"/>
        <v>1</v>
      </c>
    </row>
    <row r="15" spans="1:29" ht="15">
      <c r="A15" s="484"/>
      <c r="B15" s="886"/>
      <c r="C15" s="545"/>
      <c r="D15" s="524"/>
      <c r="E15" s="545"/>
      <c r="F15" s="526"/>
      <c r="G15" s="545"/>
      <c r="H15" s="528"/>
      <c r="I15" s="545"/>
      <c r="J15" s="524"/>
      <c r="K15" s="861"/>
      <c r="L15" s="1864"/>
      <c r="M15" s="1856"/>
      <c r="N15" s="1856"/>
      <c r="O15" s="1863"/>
      <c r="P15" s="3866"/>
      <c r="Q15" s="1384"/>
      <c r="R15" s="1385"/>
      <c r="S15" s="1386"/>
      <c r="T15" s="1385"/>
      <c r="U15" s="1386"/>
      <c r="V15" s="1385"/>
      <c r="W15" s="1386"/>
      <c r="X15" s="1379"/>
      <c r="Y15" s="3866"/>
      <c r="Z15" s="1387"/>
      <c r="AA15" s="1388">
        <v>1</v>
      </c>
      <c r="AB15" s="1388">
        <v>1</v>
      </c>
      <c r="AC15" s="1388">
        <v>1</v>
      </c>
    </row>
    <row r="16" spans="1:29" ht="42.75">
      <c r="A16" s="484"/>
      <c r="B16" s="2210"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60"/>
      <c r="L16" s="1864"/>
      <c r="M16" s="1856"/>
      <c r="N16" s="1856"/>
      <c r="O16" s="1863"/>
      <c r="P16" s="3866"/>
      <c r="Q16" s="1384" t="str">
        <f>B16</f>
        <v>公共配套设施</v>
      </c>
      <c r="R16" s="1385" t="s">
        <v>5</v>
      </c>
      <c r="S16" s="1386">
        <f>F16</f>
        <v>100</v>
      </c>
      <c r="T16" s="1385" t="s">
        <v>5</v>
      </c>
      <c r="U16" s="1386">
        <f>H16</f>
        <v>100</v>
      </c>
      <c r="V16" s="1385" t="s">
        <v>5</v>
      </c>
      <c r="W16" s="1386">
        <f>J16</f>
        <v>100</v>
      </c>
      <c r="X16" s="1379"/>
      <c r="Y16" s="3866"/>
      <c r="Z16" s="1387" t="str">
        <f>Q16</f>
        <v>公共配套设施</v>
      </c>
      <c r="AA16" s="1388">
        <f t="shared" si="3"/>
        <v>1</v>
      </c>
      <c r="AB16" s="1388">
        <f t="shared" si="4"/>
        <v>1</v>
      </c>
      <c r="AC16" s="1388">
        <f t="shared" si="5"/>
        <v>1</v>
      </c>
    </row>
    <row r="17" spans="1:29" ht="15">
      <c r="A17" s="484"/>
      <c r="B17" s="535"/>
      <c r="C17" s="835"/>
      <c r="D17" s="524"/>
      <c r="E17" s="545"/>
      <c r="F17" s="526"/>
      <c r="G17" s="545"/>
      <c r="H17" s="524"/>
      <c r="I17" s="545"/>
      <c r="J17" s="524"/>
      <c r="K17" s="861"/>
      <c r="L17" s="1864"/>
      <c r="M17" s="1856"/>
      <c r="N17" s="1856"/>
      <c r="O17" s="1863"/>
      <c r="P17" s="3866"/>
      <c r="Q17" s="1384"/>
      <c r="R17" s="1385"/>
      <c r="S17" s="1386"/>
      <c r="T17" s="1385"/>
      <c r="U17" s="1386"/>
      <c r="V17" s="1385"/>
      <c r="W17" s="1386"/>
      <c r="X17" s="1379"/>
      <c r="Y17" s="3866"/>
      <c r="Z17" s="1387"/>
      <c r="AA17" s="1388">
        <v>1</v>
      </c>
      <c r="AB17" s="1388">
        <v>1</v>
      </c>
      <c r="AC17" s="1388">
        <v>1</v>
      </c>
    </row>
    <row r="18" spans="1:29" ht="28.5">
      <c r="A18" s="484"/>
      <c r="B18" s="2198"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60"/>
      <c r="L18" s="1864"/>
      <c r="M18" s="1856"/>
      <c r="N18" s="1856"/>
      <c r="O18" s="1863"/>
      <c r="P18" s="3866"/>
      <c r="Q18" s="2192" t="str">
        <f>B18</f>
        <v>基础设施水平</v>
      </c>
      <c r="R18" s="1385" t="s">
        <v>5</v>
      </c>
      <c r="S18" s="1386">
        <f>F18</f>
        <v>100</v>
      </c>
      <c r="T18" s="1385" t="s">
        <v>5</v>
      </c>
      <c r="U18" s="1386">
        <f>H18</f>
        <v>100</v>
      </c>
      <c r="V18" s="1385" t="s">
        <v>5</v>
      </c>
      <c r="W18" s="1386">
        <f>J18</f>
        <v>100</v>
      </c>
      <c r="X18" s="2194"/>
      <c r="Y18" s="3866"/>
      <c r="Z18" s="2193" t="str">
        <f>Q18</f>
        <v>基础设施水平</v>
      </c>
      <c r="AA18" s="1388">
        <f>D18/F18</f>
        <v>1</v>
      </c>
      <c r="AB18" s="1388">
        <f>D18/H18</f>
        <v>1</v>
      </c>
      <c r="AC18" s="1388">
        <f>D18/J18</f>
        <v>1</v>
      </c>
    </row>
    <row r="19" spans="1:29" ht="15">
      <c r="A19" s="484"/>
      <c r="B19" s="547"/>
      <c r="C19" s="835"/>
      <c r="D19" s="528"/>
      <c r="E19" s="545"/>
      <c r="F19" s="526"/>
      <c r="G19" s="545"/>
      <c r="H19" s="524"/>
      <c r="I19" s="545"/>
      <c r="J19" s="524"/>
      <c r="K19" s="2209"/>
      <c r="L19" s="1864"/>
      <c r="M19" s="1856"/>
      <c r="N19" s="1856"/>
      <c r="O19" s="1863"/>
      <c r="P19" s="3866"/>
      <c r="Q19" s="2192"/>
      <c r="R19" s="1385"/>
      <c r="S19" s="1386"/>
      <c r="T19" s="1385"/>
      <c r="U19" s="1386"/>
      <c r="V19" s="1385"/>
      <c r="W19" s="1386"/>
      <c r="X19" s="2194"/>
      <c r="Y19" s="3866"/>
      <c r="Z19" s="2193"/>
      <c r="AA19" s="1388">
        <v>1</v>
      </c>
      <c r="AB19" s="1388">
        <v>1</v>
      </c>
      <c r="AC19" s="1388">
        <v>1</v>
      </c>
    </row>
    <row r="20" spans="1:29" ht="57">
      <c r="A20" s="484"/>
      <c r="B20" s="529" t="s">
        <v>744</v>
      </c>
      <c r="C20" s="834" t="str">
        <f>IF(B1="工业",估价对象房地状况!G7,估价对象房地状况!C9)</f>
        <v>区域自然环境：；人文环境；综合评价环境状况一般</v>
      </c>
      <c r="D20" s="534">
        <v>100</v>
      </c>
      <c r="E20" s="531"/>
      <c r="F20" s="532">
        <f>SUMIF(69:69,E21,70:70)-SUMIF(69:69,C21,70:70)+100</f>
        <v>100</v>
      </c>
      <c r="G20" s="533"/>
      <c r="H20" s="528">
        <f>SUMIF(69:69,G21,70:70)-SUMIF(69:69,C21,70:70)+100</f>
        <v>100</v>
      </c>
      <c r="I20" s="531"/>
      <c r="J20" s="528">
        <f>SUMIF(69:69,I21,70:70)-SUMIF(69:69,C21,70:70)+100</f>
        <v>100</v>
      </c>
      <c r="K20" s="860"/>
      <c r="L20" s="1864"/>
      <c r="M20" s="1856"/>
      <c r="N20" s="1856"/>
      <c r="O20" s="1863"/>
      <c r="P20" s="3866"/>
      <c r="Q20" s="1384" t="str">
        <f>B20</f>
        <v>自然及人文环境</v>
      </c>
      <c r="R20" s="1385" t="s">
        <v>5</v>
      </c>
      <c r="S20" s="1386">
        <f>F20</f>
        <v>100</v>
      </c>
      <c r="T20" s="1385" t="s">
        <v>5</v>
      </c>
      <c r="U20" s="1386">
        <f>H20</f>
        <v>100</v>
      </c>
      <c r="V20" s="1385" t="s">
        <v>5</v>
      </c>
      <c r="W20" s="1386">
        <f>J20</f>
        <v>100</v>
      </c>
      <c r="X20" s="1379"/>
      <c r="Y20" s="3866"/>
      <c r="Z20" s="1387" t="str">
        <f>Q20</f>
        <v>自然及人文环境</v>
      </c>
      <c r="AA20" s="1388">
        <f t="shared" si="3"/>
        <v>1</v>
      </c>
      <c r="AB20" s="1388">
        <f t="shared" si="4"/>
        <v>1</v>
      </c>
      <c r="AC20" s="1388">
        <f t="shared" si="5"/>
        <v>1</v>
      </c>
    </row>
    <row r="21" spans="1:29" ht="15">
      <c r="A21" s="484"/>
      <c r="B21" s="535"/>
      <c r="C21" s="545"/>
      <c r="D21" s="524"/>
      <c r="E21" s="545"/>
      <c r="F21" s="526"/>
      <c r="G21" s="545"/>
      <c r="H21" s="524"/>
      <c r="I21" s="545"/>
      <c r="J21" s="524"/>
      <c r="K21" s="861"/>
      <c r="L21" s="1864"/>
      <c r="M21" s="1856"/>
      <c r="N21" s="1856"/>
      <c r="O21" s="1863"/>
      <c r="P21" s="3866"/>
      <c r="Q21" s="1384"/>
      <c r="R21" s="1385"/>
      <c r="S21" s="1386"/>
      <c r="T21" s="1385"/>
      <c r="U21" s="1386"/>
      <c r="V21" s="1385"/>
      <c r="W21" s="1386"/>
      <c r="X21" s="1379"/>
      <c r="Y21" s="3866"/>
      <c r="Z21" s="1387"/>
      <c r="AA21" s="1388">
        <v>1</v>
      </c>
      <c r="AB21" s="1388">
        <v>1</v>
      </c>
      <c r="AC21" s="1388">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4"/>
      <c r="M22" s="1856"/>
      <c r="N22" s="1856"/>
      <c r="O22" s="1863"/>
      <c r="P22" s="3866"/>
      <c r="Q22" s="1384" t="str">
        <f>B22</f>
        <v>楼层</v>
      </c>
      <c r="R22" s="1385" t="s">
        <v>5</v>
      </c>
      <c r="S22" s="1386">
        <f>F22</f>
        <v>100</v>
      </c>
      <c r="T22" s="1385" t="s">
        <v>5</v>
      </c>
      <c r="U22" s="1386">
        <f>H22</f>
        <v>100</v>
      </c>
      <c r="V22" s="1385" t="s">
        <v>5</v>
      </c>
      <c r="W22" s="1386">
        <f>J22</f>
        <v>100</v>
      </c>
      <c r="X22" s="1379"/>
      <c r="Y22" s="3866"/>
      <c r="Z22" s="1387" t="str">
        <f>Q22</f>
        <v>楼层</v>
      </c>
      <c r="AA22" s="1388">
        <f t="shared" si="3"/>
        <v>1</v>
      </c>
      <c r="AB22" s="1388">
        <f t="shared" si="4"/>
        <v>1</v>
      </c>
      <c r="AC22" s="1388">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4"/>
      <c r="M23" s="1856"/>
      <c r="N23" s="1856"/>
      <c r="O23" s="1863"/>
      <c r="P23" s="3866"/>
      <c r="Q23" s="1384">
        <f>B23</f>
        <v>111</v>
      </c>
      <c r="R23" s="1385" t="s">
        <v>5</v>
      </c>
      <c r="S23" s="1386">
        <f>F23</f>
        <v>100</v>
      </c>
      <c r="T23" s="1385" t="s">
        <v>5</v>
      </c>
      <c r="U23" s="1386">
        <f>H23</f>
        <v>100</v>
      </c>
      <c r="V23" s="1385" t="s">
        <v>5</v>
      </c>
      <c r="W23" s="1386">
        <f>J23</f>
        <v>100</v>
      </c>
      <c r="X23" s="1379"/>
      <c r="Y23" s="3866"/>
      <c r="Z23" s="1387">
        <f>Q23</f>
        <v>111</v>
      </c>
      <c r="AA23" s="1388">
        <f t="shared" si="3"/>
        <v>1</v>
      </c>
      <c r="AB23" s="1388">
        <f t="shared" si="4"/>
        <v>1</v>
      </c>
      <c r="AC23" s="1388">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4"/>
      <c r="M24" s="1856"/>
      <c r="N24" s="1856"/>
      <c r="O24" s="1863"/>
      <c r="P24" s="3866"/>
      <c r="Q24" s="1384">
        <f t="shared" ref="Q24:Q36" si="8">B24</f>
        <v>111</v>
      </c>
      <c r="R24" s="1385" t="s">
        <v>5</v>
      </c>
      <c r="S24" s="1386">
        <f>F24</f>
        <v>100</v>
      </c>
      <c r="T24" s="1385" t="s">
        <v>5</v>
      </c>
      <c r="U24" s="1386">
        <f>H24</f>
        <v>100</v>
      </c>
      <c r="V24" s="1385" t="s">
        <v>5</v>
      </c>
      <c r="W24" s="1386">
        <f>J24</f>
        <v>100</v>
      </c>
      <c r="X24" s="1379"/>
      <c r="Y24" s="3866"/>
      <c r="Z24" s="1387">
        <f>Q24</f>
        <v>111</v>
      </c>
      <c r="AA24" s="1388">
        <f t="shared" si="3"/>
        <v>1</v>
      </c>
      <c r="AB24" s="1388">
        <f t="shared" si="4"/>
        <v>1</v>
      </c>
      <c r="AC24" s="1388">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7"/>
      <c r="M25" s="1858"/>
      <c r="N25" s="1858"/>
      <c r="O25" s="1859"/>
      <c r="P25" s="3866"/>
      <c r="Q25" s="1049">
        <f t="shared" si="8"/>
        <v>111</v>
      </c>
      <c r="R25" s="1380" t="s">
        <v>5</v>
      </c>
      <c r="S25" s="1381">
        <f>F25</f>
        <v>100</v>
      </c>
      <c r="T25" s="1380" t="s">
        <v>5</v>
      </c>
      <c r="U25" s="1381">
        <f>H25</f>
        <v>100</v>
      </c>
      <c r="V25" s="1380" t="s">
        <v>5</v>
      </c>
      <c r="W25" s="1381">
        <f>J25</f>
        <v>100</v>
      </c>
      <c r="X25" s="1382"/>
      <c r="Y25" s="3866"/>
      <c r="Z25" s="1048">
        <f>Q25</f>
        <v>111</v>
      </c>
      <c r="AA25" s="1388">
        <f>D25/F25</f>
        <v>1</v>
      </c>
      <c r="AB25" s="1388">
        <f>D25/H25</f>
        <v>1</v>
      </c>
      <c r="AC25" s="1388">
        <f>D25/J25</f>
        <v>1</v>
      </c>
    </row>
    <row r="26" spans="1:29" ht="15">
      <c r="A26" s="2386" t="s">
        <v>2037</v>
      </c>
      <c r="B26" s="163" t="s">
        <v>746</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4"/>
      <c r="M26" s="1856"/>
      <c r="N26" s="1856"/>
      <c r="O26" s="1863"/>
      <c r="P26" s="386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68" t="s">
        <v>499</v>
      </c>
      <c r="Z26" s="1387" t="str">
        <f t="shared" ref="Z26:Z36" si="12">Q26</f>
        <v>配套类型</v>
      </c>
      <c r="AA26" s="1388">
        <f t="shared" si="3"/>
        <v>1</v>
      </c>
      <c r="AB26" s="1388">
        <f t="shared" si="4"/>
        <v>1</v>
      </c>
      <c r="AC26" s="1388">
        <f t="shared" si="5"/>
        <v>1</v>
      </c>
    </row>
    <row r="27" spans="1:29" s="1199" customFormat="1" ht="15">
      <c r="A27" s="891"/>
      <c r="B27" s="551" t="s">
        <v>747</v>
      </c>
      <c r="C27" s="892"/>
      <c r="D27" s="245">
        <v>100</v>
      </c>
      <c r="E27" s="892"/>
      <c r="F27" s="544">
        <f>SUMIF(81:81,E27,82:82)-SUMIF(81:81,C27,82:82)+100</f>
        <v>100</v>
      </c>
      <c r="G27" s="892"/>
      <c r="H27" s="509">
        <f>SUMIF(81:81,G27,82:82)-SUMIF(81:81,C27,82:82)+100</f>
        <v>100</v>
      </c>
      <c r="I27" s="892"/>
      <c r="J27" s="509">
        <f>SUMIF(81:81,I27,82:82)-SUMIF(81:81,C27,82:82)+100</f>
        <v>100</v>
      </c>
      <c r="K27" s="550"/>
      <c r="L27" s="1862"/>
      <c r="M27" s="1892"/>
      <c r="N27" s="1892"/>
      <c r="O27" s="1865"/>
      <c r="P27" s="3868"/>
      <c r="Q27" s="1413" t="str">
        <f t="shared" si="8"/>
        <v>项目停车位配比</v>
      </c>
      <c r="R27" s="1389" t="s">
        <v>5</v>
      </c>
      <c r="S27" s="1390">
        <f t="shared" si="9"/>
        <v>100</v>
      </c>
      <c r="T27" s="1389" t="s">
        <v>5</v>
      </c>
      <c r="U27" s="1390">
        <f t="shared" si="10"/>
        <v>100</v>
      </c>
      <c r="V27" s="1389" t="s">
        <v>5</v>
      </c>
      <c r="W27" s="1390">
        <f t="shared" si="11"/>
        <v>100</v>
      </c>
      <c r="X27" s="1391"/>
      <c r="Y27" s="3868"/>
      <c r="Z27" s="1392" t="str">
        <f t="shared" si="12"/>
        <v>项目停车位配比</v>
      </c>
      <c r="AA27" s="1388">
        <f t="shared" si="3"/>
        <v>1</v>
      </c>
      <c r="AB27" s="1388">
        <f t="shared" si="4"/>
        <v>1</v>
      </c>
      <c r="AC27" s="1388">
        <f t="shared" si="5"/>
        <v>1</v>
      </c>
    </row>
    <row r="28" spans="1:29" ht="15">
      <c r="A28" s="893"/>
      <c r="B28" s="551" t="s">
        <v>748</v>
      </c>
      <c r="C28" s="543"/>
      <c r="D28" s="509">
        <v>100</v>
      </c>
      <c r="E28" s="543"/>
      <c r="F28" s="544">
        <f>SUMIF(83:83,E28,84:84)-SUMIF(83:83,C28,84:84)+100</f>
        <v>100</v>
      </c>
      <c r="G28" s="543"/>
      <c r="H28" s="509">
        <f>SUMIF(83:83,G28,84:84)-SUMIF(83:83,C28,84:84)+100</f>
        <v>100</v>
      </c>
      <c r="I28" s="543"/>
      <c r="J28" s="509">
        <f>SUMIF(83:83,I28,84:84)-SUMIF(83:83,C28,84:84)+100</f>
        <v>100</v>
      </c>
      <c r="K28" s="553"/>
      <c r="L28" s="1864"/>
      <c r="M28" s="1856"/>
      <c r="N28" s="1856"/>
      <c r="O28" s="1863"/>
      <c r="P28" s="3868"/>
      <c r="Q28" s="1384" t="str">
        <f t="shared" si="8"/>
        <v>公共部分装修</v>
      </c>
      <c r="R28" s="1385" t="s">
        <v>5</v>
      </c>
      <c r="S28" s="1386">
        <f t="shared" si="9"/>
        <v>100</v>
      </c>
      <c r="T28" s="1385" t="s">
        <v>5</v>
      </c>
      <c r="U28" s="1386">
        <f t="shared" si="10"/>
        <v>100</v>
      </c>
      <c r="V28" s="1385" t="s">
        <v>5</v>
      </c>
      <c r="W28" s="1386">
        <f t="shared" si="11"/>
        <v>100</v>
      </c>
      <c r="X28" s="1379"/>
      <c r="Y28" s="3868"/>
      <c r="Z28" s="1387" t="str">
        <f t="shared" si="12"/>
        <v>公共部分装修</v>
      </c>
      <c r="AA28" s="1388">
        <f t="shared" si="3"/>
        <v>1</v>
      </c>
      <c r="AB28" s="1388">
        <f t="shared" si="4"/>
        <v>1</v>
      </c>
      <c r="AC28" s="1388">
        <f t="shared" si="5"/>
        <v>1</v>
      </c>
    </row>
    <row r="29" spans="1:29" ht="15">
      <c r="A29" s="893"/>
      <c r="B29" s="551" t="s">
        <v>749</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4"/>
      <c r="M29" s="1856"/>
      <c r="N29" s="1856"/>
      <c r="O29" s="1863"/>
      <c r="P29" s="3868"/>
      <c r="Q29" s="1384" t="str">
        <f t="shared" si="8"/>
        <v>成新率</v>
      </c>
      <c r="R29" s="1385" t="s">
        <v>5</v>
      </c>
      <c r="S29" s="1386" t="e">
        <f t="shared" si="9"/>
        <v>#N/A</v>
      </c>
      <c r="T29" s="1385" t="s">
        <v>5</v>
      </c>
      <c r="U29" s="1386" t="e">
        <f t="shared" si="10"/>
        <v>#N/A</v>
      </c>
      <c r="V29" s="1385" t="s">
        <v>5</v>
      </c>
      <c r="W29" s="1386" t="e">
        <f t="shared" si="11"/>
        <v>#N/A</v>
      </c>
      <c r="X29" s="1379"/>
      <c r="Y29" s="3868"/>
      <c r="Z29" s="1387" t="str">
        <f t="shared" si="12"/>
        <v>成新率</v>
      </c>
      <c r="AA29" s="1388" t="e">
        <f t="shared" si="3"/>
        <v>#N/A</v>
      </c>
      <c r="AB29" s="1388" t="e">
        <f t="shared" si="4"/>
        <v>#N/A</v>
      </c>
      <c r="AC29" s="1388" t="e">
        <f t="shared" si="5"/>
        <v>#N/A</v>
      </c>
    </row>
    <row r="30" spans="1:29" ht="15">
      <c r="A30" s="893"/>
      <c r="B30" s="551" t="s">
        <v>750</v>
      </c>
      <c r="C30" s="894"/>
      <c r="D30" s="509">
        <v>100</v>
      </c>
      <c r="E30" s="894"/>
      <c r="F30" s="544">
        <f>SUMIF(88:88,E30,89:89)-SUMIF(88:88,C30,89:89)+100</f>
        <v>100</v>
      </c>
      <c r="G30" s="894"/>
      <c r="H30" s="509">
        <f>SUMIF(88:88,E30,89:89)-SUMIF(88:88,C30,89:89)+100</f>
        <v>100</v>
      </c>
      <c r="I30" s="894"/>
      <c r="J30" s="509">
        <f>SUMIF(88:88,E30,89:89)-SUMIF(88:88,C30,89:89)+100</f>
        <v>100</v>
      </c>
      <c r="K30" s="553"/>
      <c r="L30" s="1864"/>
      <c r="M30" s="1856"/>
      <c r="N30" s="1856"/>
      <c r="O30" s="1863"/>
      <c r="P30" s="3868"/>
      <c r="Q30" s="1384" t="str">
        <f t="shared" si="8"/>
        <v>物业等级</v>
      </c>
      <c r="R30" s="1385" t="s">
        <v>5</v>
      </c>
      <c r="S30" s="1386">
        <f t="shared" si="9"/>
        <v>100</v>
      </c>
      <c r="T30" s="1385" t="s">
        <v>5</v>
      </c>
      <c r="U30" s="1386">
        <f t="shared" si="10"/>
        <v>100</v>
      </c>
      <c r="V30" s="1385" t="s">
        <v>5</v>
      </c>
      <c r="W30" s="1386">
        <f t="shared" si="11"/>
        <v>100</v>
      </c>
      <c r="X30" s="1379"/>
      <c r="Y30" s="3868"/>
      <c r="Z30" s="1387" t="str">
        <f t="shared" si="12"/>
        <v>物业等级</v>
      </c>
      <c r="AA30" s="1388">
        <f t="shared" si="3"/>
        <v>1</v>
      </c>
      <c r="AB30" s="1388">
        <f t="shared" si="4"/>
        <v>1</v>
      </c>
      <c r="AC30" s="1388">
        <f t="shared" si="5"/>
        <v>1</v>
      </c>
    </row>
    <row r="31" spans="1:29" s="1117" customFormat="1" ht="15">
      <c r="A31" s="895"/>
      <c r="B31" s="551" t="s">
        <v>751</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7"/>
      <c r="M31" s="1858"/>
      <c r="N31" s="1858"/>
      <c r="O31" s="1859"/>
      <c r="P31" s="3868"/>
      <c r="Q31" s="1049" t="str">
        <f t="shared" si="8"/>
        <v>停车位面积</v>
      </c>
      <c r="R31" s="1380" t="s">
        <v>5</v>
      </c>
      <c r="S31" s="1381" t="e">
        <f t="shared" si="9"/>
        <v>#N/A</v>
      </c>
      <c r="T31" s="1380" t="s">
        <v>5</v>
      </c>
      <c r="U31" s="1381" t="e">
        <f t="shared" si="10"/>
        <v>#N/A</v>
      </c>
      <c r="V31" s="1380" t="s">
        <v>5</v>
      </c>
      <c r="W31" s="1381" t="e">
        <f t="shared" si="11"/>
        <v>#N/A</v>
      </c>
      <c r="X31" s="1382"/>
      <c r="Y31" s="3868"/>
      <c r="Z31" s="1048" t="str">
        <f t="shared" si="12"/>
        <v>停车位面积</v>
      </c>
      <c r="AA31" s="1383" t="e">
        <f t="shared" si="3"/>
        <v>#N/A</v>
      </c>
      <c r="AB31" s="1383" t="e">
        <f t="shared" si="4"/>
        <v>#N/A</v>
      </c>
      <c r="AC31" s="1383" t="e">
        <f t="shared" si="5"/>
        <v>#N/A</v>
      </c>
    </row>
    <row r="32" spans="1:29" ht="15">
      <c r="A32" s="893"/>
      <c r="B32" s="551" t="s">
        <v>752</v>
      </c>
      <c r="C32" s="543"/>
      <c r="D32" s="509">
        <v>100</v>
      </c>
      <c r="E32" s="543"/>
      <c r="F32" s="544">
        <f>SUMIF(93:93,E32,94:94)-SUMIF(93:93,C32,94:94)+100</f>
        <v>100</v>
      </c>
      <c r="G32" s="543"/>
      <c r="H32" s="509">
        <f>SUMIF(93:93,G32,94:94)-SUMIF(93:93,C32,94:94)+100</f>
        <v>100</v>
      </c>
      <c r="I32" s="543"/>
      <c r="J32" s="509">
        <f>SUMIF(93:93,I32,94:94)-SUMIF(93:93,C32,94:94)+100</f>
        <v>100</v>
      </c>
      <c r="K32" s="553"/>
      <c r="L32" s="1864"/>
      <c r="M32" s="1856"/>
      <c r="N32" s="1856"/>
      <c r="O32" s="1863"/>
      <c r="P32" s="3868" t="s">
        <v>499</v>
      </c>
      <c r="Q32" s="1384" t="str">
        <f t="shared" si="8"/>
        <v>车位类型</v>
      </c>
      <c r="R32" s="1385" t="s">
        <v>5</v>
      </c>
      <c r="S32" s="1386">
        <f t="shared" si="9"/>
        <v>100</v>
      </c>
      <c r="T32" s="1385" t="s">
        <v>5</v>
      </c>
      <c r="U32" s="1386">
        <f t="shared" si="10"/>
        <v>100</v>
      </c>
      <c r="V32" s="1385" t="s">
        <v>5</v>
      </c>
      <c r="W32" s="1386">
        <f t="shared" si="11"/>
        <v>100</v>
      </c>
      <c r="X32" s="1379"/>
      <c r="Y32" s="3868" t="s">
        <v>499</v>
      </c>
      <c r="Z32" s="1387" t="str">
        <f t="shared" si="12"/>
        <v>车位类型</v>
      </c>
      <c r="AA32" s="1388">
        <f t="shared" si="3"/>
        <v>1</v>
      </c>
      <c r="AB32" s="1388">
        <f t="shared" si="4"/>
        <v>1</v>
      </c>
      <c r="AC32" s="1388">
        <f t="shared" si="5"/>
        <v>1</v>
      </c>
    </row>
    <row r="33" spans="1:29" ht="15">
      <c r="A33" s="893"/>
      <c r="B33" s="551" t="s">
        <v>753</v>
      </c>
      <c r="C33" s="543"/>
      <c r="D33" s="509">
        <v>100</v>
      </c>
      <c r="E33" s="543"/>
      <c r="F33" s="544">
        <f>SUMIF(95:95,E33,96:96)-SUMIF(95:95,C33,96:96)+100</f>
        <v>100</v>
      </c>
      <c r="G33" s="543"/>
      <c r="H33" s="509">
        <f>SUMIF(95:95,G33,96:96)-SUMIF(95:95,C33,96:96)+100</f>
        <v>100</v>
      </c>
      <c r="I33" s="543"/>
      <c r="J33" s="509">
        <f>SUMIF(95:95,I33,96:96)-SUMIF(95:95,C33,96:96)+100</f>
        <v>100</v>
      </c>
      <c r="K33" s="553"/>
      <c r="L33" s="1864"/>
      <c r="M33" s="1856"/>
      <c r="N33" s="1856"/>
      <c r="O33" s="1863"/>
      <c r="P33" s="3868"/>
      <c r="Q33" s="1384" t="str">
        <f t="shared" si="8"/>
        <v>是否直接入户</v>
      </c>
      <c r="R33" s="1385" t="s">
        <v>5</v>
      </c>
      <c r="S33" s="1386">
        <f t="shared" si="9"/>
        <v>100</v>
      </c>
      <c r="T33" s="1385" t="s">
        <v>5</v>
      </c>
      <c r="U33" s="1386">
        <f t="shared" si="10"/>
        <v>100</v>
      </c>
      <c r="V33" s="1385" t="s">
        <v>5</v>
      </c>
      <c r="W33" s="1386">
        <f t="shared" si="11"/>
        <v>100</v>
      </c>
      <c r="X33" s="1379"/>
      <c r="Y33" s="3868"/>
      <c r="Z33" s="1387" t="str">
        <f t="shared" si="12"/>
        <v>是否直接入户</v>
      </c>
      <c r="AA33" s="1388">
        <f t="shared" si="3"/>
        <v>1</v>
      </c>
      <c r="AB33" s="1388">
        <f t="shared" si="4"/>
        <v>1</v>
      </c>
      <c r="AC33" s="1388">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4"/>
      <c r="M34" s="1856"/>
      <c r="N34" s="1856"/>
      <c r="O34" s="1863"/>
      <c r="P34" s="3868"/>
      <c r="Q34" s="1384">
        <f t="shared" si="8"/>
        <v>111</v>
      </c>
      <c r="R34" s="1385" t="s">
        <v>5</v>
      </c>
      <c r="S34" s="1386">
        <f t="shared" si="9"/>
        <v>100</v>
      </c>
      <c r="T34" s="1385" t="s">
        <v>5</v>
      </c>
      <c r="U34" s="1386">
        <f t="shared" si="10"/>
        <v>100</v>
      </c>
      <c r="V34" s="1385" t="s">
        <v>5</v>
      </c>
      <c r="W34" s="1386">
        <f t="shared" si="11"/>
        <v>100</v>
      </c>
      <c r="X34" s="1379"/>
      <c r="Y34" s="3868"/>
      <c r="Z34" s="1387">
        <f t="shared" si="12"/>
        <v>111</v>
      </c>
      <c r="AA34" s="1388">
        <f t="shared" si="3"/>
        <v>1</v>
      </c>
      <c r="AB34" s="1388">
        <f t="shared" si="4"/>
        <v>1</v>
      </c>
      <c r="AC34" s="1388">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2"/>
      <c r="M35" s="1892"/>
      <c r="N35" s="1892"/>
      <c r="O35" s="1865"/>
      <c r="P35" s="3868"/>
      <c r="Q35" s="1413">
        <f t="shared" si="8"/>
        <v>111</v>
      </c>
      <c r="R35" s="1389" t="s">
        <v>5</v>
      </c>
      <c r="S35" s="1390">
        <f t="shared" si="9"/>
        <v>100</v>
      </c>
      <c r="T35" s="1389" t="s">
        <v>5</v>
      </c>
      <c r="U35" s="1390">
        <f t="shared" si="10"/>
        <v>100</v>
      </c>
      <c r="V35" s="1389" t="s">
        <v>5</v>
      </c>
      <c r="W35" s="1390">
        <f t="shared" si="11"/>
        <v>100</v>
      </c>
      <c r="X35" s="1391"/>
      <c r="Y35" s="3868"/>
      <c r="Z35" s="1392">
        <f t="shared" si="12"/>
        <v>111</v>
      </c>
      <c r="AA35" s="1388">
        <f t="shared" si="3"/>
        <v>1</v>
      </c>
      <c r="AB35" s="1388">
        <f t="shared" si="4"/>
        <v>1</v>
      </c>
      <c r="AC35" s="1388">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4"/>
      <c r="M36" s="1856"/>
      <c r="N36" s="1856"/>
      <c r="O36" s="1863"/>
      <c r="P36" s="3868"/>
      <c r="Q36" s="1384">
        <f t="shared" si="8"/>
        <v>111</v>
      </c>
      <c r="R36" s="1385" t="s">
        <v>5</v>
      </c>
      <c r="S36" s="1386">
        <f t="shared" si="9"/>
        <v>100</v>
      </c>
      <c r="T36" s="1385" t="s">
        <v>5</v>
      </c>
      <c r="U36" s="1386">
        <f t="shared" si="10"/>
        <v>100</v>
      </c>
      <c r="V36" s="1385" t="s">
        <v>5</v>
      </c>
      <c r="W36" s="1386">
        <f t="shared" si="11"/>
        <v>100</v>
      </c>
      <c r="X36" s="1379"/>
      <c r="Y36" s="3868"/>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63" t="str">
        <f>A37</f>
        <v>成交单价</v>
      </c>
      <c r="Q37" s="3863"/>
      <c r="R37" s="3975">
        <f>E37</f>
        <v>0</v>
      </c>
      <c r="S37" s="3975"/>
      <c r="T37" s="3975">
        <f>G37</f>
        <v>0</v>
      </c>
      <c r="U37" s="3975"/>
      <c r="V37" s="3975">
        <f>I37</f>
        <v>0</v>
      </c>
      <c r="W37" s="3975"/>
      <c r="X37" s="1374"/>
      <c r="Y37" s="1393"/>
      <c r="Z37" s="1374"/>
      <c r="AA37" s="1374"/>
      <c r="AB37" s="1374"/>
      <c r="AC37" s="1374"/>
    </row>
    <row r="38" spans="1:29" ht="15.75" thickBot="1">
      <c r="A38" s="584" t="s">
        <v>2042</v>
      </c>
      <c r="B38" s="850"/>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863" t="str">
        <f>A38</f>
        <v>比较价格（元/平方米）</v>
      </c>
      <c r="Q38" s="3863"/>
      <c r="R38" s="3975" t="e">
        <f>IF(F1="售价",ROUND(PRODUCT(R37,AA7:AA36),0),ROUND(PRODUCT(R37,AA7:AA36),1))</f>
        <v>#DIV/0!</v>
      </c>
      <c r="S38" s="3975"/>
      <c r="T38" s="3975" t="e">
        <f>IF(F1="售价",ROUND(PRODUCT(T37,AB7:AB36),0),ROUND(PRODUCT(T37,AB7:AB36),1))</f>
        <v>#DIV/0!</v>
      </c>
      <c r="U38" s="3975"/>
      <c r="V38" s="3975" t="e">
        <f>IF(F1="售价",ROUND(PRODUCT(V37,AC7:AC36),0),ROUND(PRODUCT(V37,AC7:AC36),1))</f>
        <v>#DIV/0!</v>
      </c>
      <c r="W38" s="3975"/>
      <c r="X38" s="1374"/>
      <c r="Y38" s="1374"/>
      <c r="Z38" s="1374"/>
      <c r="AA38" s="1374"/>
      <c r="AB38" s="1374"/>
      <c r="AC38" s="1374"/>
    </row>
    <row r="39" spans="1:29" ht="15.75" thickBot="1">
      <c r="A39" s="588" t="s">
        <v>2198</v>
      </c>
      <c r="B39" s="589"/>
      <c r="C39" s="2241" t="e">
        <f>R39</f>
        <v>#DIV/0!</v>
      </c>
      <c r="D39" s="2241"/>
      <c r="E39" s="2241"/>
      <c r="F39" s="2241"/>
      <c r="G39" s="2241"/>
      <c r="H39" s="2241"/>
      <c r="I39" s="2241"/>
      <c r="J39" s="2241"/>
      <c r="K39" s="1419"/>
      <c r="L39" s="1866"/>
      <c r="M39" s="1867"/>
      <c r="N39" s="1867"/>
      <c r="O39" s="1867"/>
      <c r="P39" s="3869" t="str">
        <f>A39</f>
        <v>估价对象XX用房的比较价格（楼面单价，元/平方米）</v>
      </c>
      <c r="Q39" s="3870"/>
      <c r="R39" s="3974" t="e">
        <f>IF(F1="售价",ROUND(IF(D38="简单平均",AVERAGE(R38:W38),R38*F38+T38*H38+V38*J38),0),ROUND(IF(D38="简单平均",AVERAGE(R38:V38),R38*F38+T38*H38+V38*J38),1))</f>
        <v>#DIV/0!</v>
      </c>
      <c r="S39" s="3974"/>
      <c r="T39" s="3974"/>
      <c r="U39" s="3974"/>
      <c r="V39" s="3974"/>
      <c r="W39" s="3974"/>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1" t="s">
        <v>506</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1" t="s">
        <v>507</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1" t="s">
        <v>508</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2" t="s">
        <v>478</v>
      </c>
      <c r="B48" s="613"/>
      <c r="C48" s="2281" t="str">
        <f>YEAR(C7)&amp;"-"&amp;MONTH(C7)</f>
        <v>2024-3</v>
      </c>
      <c r="D48" s="2283">
        <f>EDATE(C48,-1)</f>
        <v>45323</v>
      </c>
      <c r="E48" s="2283">
        <f t="shared" ref="E48:O48" si="13">EDATE(D48,-1)</f>
        <v>45292</v>
      </c>
      <c r="F48" s="2283">
        <f t="shared" si="13"/>
        <v>45261</v>
      </c>
      <c r="G48" s="2283">
        <f t="shared" si="13"/>
        <v>45231</v>
      </c>
      <c r="H48" s="2283">
        <f t="shared" si="13"/>
        <v>45200</v>
      </c>
      <c r="I48" s="2283">
        <f t="shared" si="13"/>
        <v>45170</v>
      </c>
      <c r="J48" s="2283">
        <f t="shared" si="13"/>
        <v>45139</v>
      </c>
      <c r="K48" s="2283">
        <f t="shared" si="13"/>
        <v>45108</v>
      </c>
      <c r="L48" s="2283">
        <f t="shared" si="13"/>
        <v>45078</v>
      </c>
      <c r="M48" s="2283">
        <f t="shared" si="13"/>
        <v>45047</v>
      </c>
      <c r="N48" s="2283">
        <f t="shared" si="13"/>
        <v>45017</v>
      </c>
      <c r="O48" s="2283">
        <f t="shared" si="13"/>
        <v>44986</v>
      </c>
      <c r="P48" s="1881"/>
      <c r="Q48" s="1882"/>
      <c r="R48" s="1882"/>
      <c r="S48" s="1882"/>
      <c r="T48" s="1882"/>
      <c r="U48" s="1882"/>
      <c r="V48" s="1882"/>
      <c r="W48" s="1882"/>
      <c r="X48" s="1882"/>
      <c r="Y48" s="1882"/>
      <c r="Z48" s="1882"/>
      <c r="AA48" s="1882"/>
      <c r="AB48" s="1882"/>
      <c r="AC48" s="1882"/>
    </row>
    <row r="49" spans="1:29" s="1117" customFormat="1" ht="15">
      <c r="A49" s="614"/>
      <c r="B49" s="615"/>
      <c r="C49" s="2282">
        <v>100</v>
      </c>
      <c r="D49" s="617"/>
      <c r="E49" s="617"/>
      <c r="F49" s="617"/>
      <c r="G49" s="617"/>
      <c r="H49" s="617"/>
      <c r="I49" s="617"/>
      <c r="J49" s="617"/>
      <c r="K49" s="617"/>
      <c r="L49" s="617"/>
      <c r="M49" s="618"/>
      <c r="N49" s="617"/>
      <c r="O49" s="619"/>
      <c r="P49" s="1879"/>
      <c r="Q49" s="1745"/>
      <c r="R49" s="1745"/>
      <c r="S49" s="1745"/>
      <c r="T49" s="1745"/>
      <c r="U49" s="1745"/>
      <c r="V49" s="1745"/>
      <c r="W49" s="1745"/>
      <c r="X49" s="1745"/>
      <c r="Y49" s="1745"/>
      <c r="Z49" s="1745"/>
      <c r="AA49" s="1745"/>
      <c r="AB49" s="1745"/>
      <c r="AC49" s="1745"/>
    </row>
    <row r="50" spans="1:29" s="1117" customFormat="1" ht="15.75" thickBot="1">
      <c r="A50" s="620" t="s">
        <v>523</v>
      </c>
      <c r="B50" s="621"/>
      <c r="C50" s="622"/>
      <c r="D50" s="623"/>
      <c r="E50" s="623"/>
      <c r="F50" s="623"/>
      <c r="G50" s="623"/>
      <c r="H50" s="623"/>
      <c r="I50" s="623"/>
      <c r="J50" s="623"/>
      <c r="K50" s="623"/>
      <c r="L50" s="623"/>
      <c r="M50" s="624"/>
      <c r="N50" s="623"/>
      <c r="O50" s="625"/>
      <c r="P50" s="1879"/>
      <c r="Q50" s="1879"/>
      <c r="R50" s="1745"/>
      <c r="S50" s="1745"/>
      <c r="T50" s="1745"/>
      <c r="U50" s="1745"/>
      <c r="V50" s="1745"/>
      <c r="W50" s="1745"/>
      <c r="X50" s="1745"/>
      <c r="Y50" s="1745"/>
      <c r="Z50" s="1745"/>
      <c r="AA50" s="1745"/>
      <c r="AB50" s="1745"/>
      <c r="AC50" s="1745"/>
    </row>
    <row r="51" spans="1:29" s="1117" customFormat="1" ht="15">
      <c r="A51" s="626" t="s">
        <v>480</v>
      </c>
      <c r="B51" s="615"/>
      <c r="C51" s="627" t="s">
        <v>524</v>
      </c>
      <c r="D51" s="628"/>
      <c r="E51" s="628"/>
      <c r="F51" s="628"/>
      <c r="G51" s="628"/>
      <c r="H51" s="628"/>
      <c r="I51" s="628"/>
      <c r="J51" s="628"/>
      <c r="K51" s="628"/>
      <c r="L51" s="629"/>
      <c r="M51" s="630"/>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6"/>
      <c r="B52" s="615"/>
      <c r="C52" s="616">
        <v>100</v>
      </c>
      <c r="D52" s="617"/>
      <c r="E52" s="617"/>
      <c r="F52" s="617"/>
      <c r="G52" s="617"/>
      <c r="H52" s="617"/>
      <c r="I52" s="617"/>
      <c r="J52" s="617"/>
      <c r="K52" s="617"/>
      <c r="L52" s="617"/>
      <c r="M52" s="619"/>
      <c r="N52" s="1883"/>
      <c r="O52" s="1883"/>
      <c r="P52" s="1879"/>
      <c r="Q52" s="1879"/>
      <c r="R52" s="1745"/>
      <c r="S52" s="1745"/>
      <c r="T52" s="1745"/>
      <c r="U52" s="1745"/>
      <c r="V52" s="1745"/>
      <c r="W52" s="1745"/>
      <c r="X52" s="1745"/>
      <c r="Y52" s="1745"/>
      <c r="Z52" s="1745"/>
      <c r="AA52" s="1745"/>
      <c r="AB52" s="1745"/>
      <c r="AC52" s="1745"/>
    </row>
    <row r="53" spans="1:29">
      <c r="A53" s="631" t="s">
        <v>525</v>
      </c>
      <c r="B53" s="632" t="s">
        <v>483</v>
      </c>
      <c r="C53" s="671">
        <f>C9</f>
        <v>0</v>
      </c>
      <c r="D53" s="567"/>
      <c r="E53" s="567"/>
      <c r="F53" s="567"/>
      <c r="G53" s="567"/>
      <c r="H53" s="567"/>
      <c r="I53" s="567"/>
      <c r="J53" s="567"/>
      <c r="K53" s="633"/>
      <c r="L53" s="634"/>
      <c r="M53" s="635"/>
      <c r="N53" s="1885"/>
      <c r="O53" s="1885"/>
      <c r="P53" s="1886"/>
      <c r="Q53" s="1879"/>
      <c r="R53" s="1867"/>
      <c r="S53" s="1867"/>
      <c r="T53" s="1867"/>
      <c r="U53" s="1867"/>
      <c r="V53" s="1867"/>
      <c r="W53" s="1867"/>
      <c r="X53" s="1867"/>
      <c r="Y53" s="1867"/>
      <c r="Z53" s="1867"/>
      <c r="AA53" s="1867"/>
      <c r="AB53" s="1867"/>
      <c r="AC53" s="1867"/>
    </row>
    <row r="54" spans="1:29" ht="15.75" thickBot="1">
      <c r="A54" s="636"/>
      <c r="B54" s="637"/>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27.75" thickTop="1">
      <c r="A55" s="636"/>
      <c r="B55" s="640" t="s">
        <v>486</v>
      </c>
      <c r="C55" s="685"/>
      <c r="D55" s="685"/>
      <c r="E55" s="685"/>
      <c r="F55" s="685"/>
      <c r="G55" s="685"/>
      <c r="H55" s="685"/>
      <c r="I55" s="685"/>
      <c r="J55" s="685"/>
      <c r="K55" s="686"/>
      <c r="L55" s="687"/>
      <c r="M55" s="688"/>
      <c r="N55" s="1885"/>
      <c r="O55" s="1885"/>
      <c r="P55" s="1886"/>
      <c r="Q55" s="1879"/>
      <c r="R55" s="1867"/>
      <c r="S55" s="1867"/>
      <c r="T55" s="1867"/>
      <c r="U55" s="1867"/>
      <c r="V55" s="1867"/>
      <c r="W55" s="1867"/>
      <c r="X55" s="1867"/>
      <c r="Y55" s="1867"/>
      <c r="Z55" s="1867"/>
      <c r="AA55" s="1867"/>
      <c r="AB55" s="1867"/>
      <c r="AC55" s="1867"/>
    </row>
    <row r="56" spans="1:29" ht="15.75" thickBot="1">
      <c r="A56" s="636"/>
      <c r="B56" s="645"/>
      <c r="C56" s="638"/>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ht="15.75" thickTop="1">
      <c r="A57" s="636"/>
      <c r="B57" s="897">
        <f>B11</f>
        <v>111</v>
      </c>
      <c r="C57" s="510"/>
      <c r="D57" s="510"/>
      <c r="E57" s="510"/>
      <c r="F57" s="510"/>
      <c r="G57" s="510"/>
      <c r="H57" s="510"/>
      <c r="I57" s="510"/>
      <c r="J57" s="510"/>
      <c r="K57" s="651"/>
      <c r="L57" s="652"/>
      <c r="M57" s="653"/>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59"/>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4"/>
      <c r="B59" s="640">
        <f>B12</f>
        <v>111</v>
      </c>
      <c r="C59" s="510"/>
      <c r="D59" s="510"/>
      <c r="E59" s="510"/>
      <c r="F59" s="510"/>
      <c r="G59" s="655"/>
      <c r="H59" s="656"/>
      <c r="I59" s="656"/>
      <c r="J59" s="656"/>
      <c r="K59" s="656"/>
      <c r="L59" s="657"/>
      <c r="M59" s="658"/>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4"/>
      <c r="B60" s="645"/>
      <c r="C60" s="659"/>
      <c r="D60" s="638"/>
      <c r="E60" s="638"/>
      <c r="F60" s="638"/>
      <c r="G60" s="638"/>
      <c r="H60" s="638"/>
      <c r="I60" s="638"/>
      <c r="J60" s="638"/>
      <c r="K60" s="638"/>
      <c r="L60" s="638"/>
      <c r="M60" s="639"/>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4"/>
      <c r="B61" s="640">
        <f>B13</f>
        <v>111</v>
      </c>
      <c r="C61" s="655"/>
      <c r="D61" s="655"/>
      <c r="E61" s="655"/>
      <c r="F61" s="655"/>
      <c r="G61" s="655"/>
      <c r="H61" s="656"/>
      <c r="I61" s="656"/>
      <c r="J61" s="656"/>
      <c r="K61" s="656"/>
      <c r="L61" s="657"/>
      <c r="M61" s="658"/>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4"/>
      <c r="B62" s="645"/>
      <c r="C62" s="659"/>
      <c r="D62" s="659"/>
      <c r="E62" s="659"/>
      <c r="F62" s="659"/>
      <c r="G62" s="659"/>
      <c r="H62" s="660"/>
      <c r="I62" s="660"/>
      <c r="J62" s="660"/>
      <c r="K62" s="660"/>
      <c r="L62" s="660"/>
      <c r="M62" s="661"/>
      <c r="N62" s="1888"/>
      <c r="O62" s="1888"/>
      <c r="P62" s="1889"/>
      <c r="Q62" s="1890"/>
      <c r="R62" s="1891"/>
      <c r="S62" s="1891"/>
      <c r="T62" s="1891"/>
      <c r="U62" s="1891"/>
      <c r="V62" s="1891"/>
      <c r="W62" s="1891"/>
      <c r="X62" s="1891"/>
      <c r="Y62" s="1891"/>
      <c r="Z62" s="1891"/>
      <c r="AA62" s="1891"/>
      <c r="AB62" s="1891"/>
      <c r="AC62" s="1891"/>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5"/>
      <c r="O63" s="1885"/>
      <c r="P63" s="1895"/>
      <c r="Q63" s="1879"/>
      <c r="R63" s="1867"/>
      <c r="S63" s="1867"/>
      <c r="T63" s="1867"/>
      <c r="U63" s="1867"/>
      <c r="V63" s="1867"/>
      <c r="W63" s="1867"/>
      <c r="X63" s="1867"/>
      <c r="Y63" s="1867"/>
      <c r="Z63" s="1867"/>
      <c r="AA63" s="1867"/>
      <c r="AB63" s="1867"/>
      <c r="AC63" s="1867"/>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1651" t="s">
        <v>1840</v>
      </c>
      <c r="C65" s="675" t="s">
        <v>527</v>
      </c>
      <c r="D65" s="675" t="s">
        <v>528</v>
      </c>
      <c r="E65" s="675" t="s">
        <v>529</v>
      </c>
      <c r="F65" s="675" t="s">
        <v>530</v>
      </c>
      <c r="G65" s="675" t="s">
        <v>531</v>
      </c>
      <c r="H65" s="641"/>
      <c r="I65" s="641"/>
      <c r="J65" s="641"/>
      <c r="K65" s="642"/>
      <c r="L65" s="643"/>
      <c r="M65" s="644"/>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887"/>
      <c r="O66" s="1887"/>
      <c r="P66" s="1886"/>
      <c r="Q66" s="1879"/>
      <c r="R66" s="1867"/>
      <c r="S66" s="1867"/>
      <c r="T66" s="1867"/>
      <c r="U66" s="1867"/>
      <c r="V66" s="1867"/>
      <c r="W66" s="1867"/>
      <c r="X66" s="1867"/>
      <c r="Y66" s="1867"/>
      <c r="Z66" s="1867"/>
      <c r="AA66" s="1867"/>
      <c r="AB66" s="1867"/>
      <c r="AC66" s="1867"/>
    </row>
    <row r="67" spans="1:29" ht="15.75" thickTop="1">
      <c r="A67" s="636"/>
      <c r="B67" s="2204" t="s">
        <v>1841</v>
      </c>
      <c r="C67" s="2205" t="s">
        <v>1842</v>
      </c>
      <c r="D67" s="2205" t="s">
        <v>1843</v>
      </c>
      <c r="E67" s="2205" t="s">
        <v>1844</v>
      </c>
      <c r="F67" s="2205" t="s">
        <v>1845</v>
      </c>
      <c r="G67" s="2205" t="s">
        <v>1846</v>
      </c>
      <c r="H67" s="641"/>
      <c r="I67" s="641"/>
      <c r="J67" s="641"/>
      <c r="K67" s="641"/>
      <c r="L67" s="641"/>
      <c r="M67" s="2208"/>
      <c r="N67" s="1887"/>
      <c r="O67" s="1887"/>
      <c r="P67" s="1886"/>
      <c r="Q67" s="1879"/>
      <c r="R67" s="1867"/>
      <c r="S67" s="1867"/>
      <c r="T67" s="1867"/>
      <c r="U67" s="1867"/>
      <c r="V67" s="1867"/>
      <c r="W67" s="1867"/>
      <c r="X67" s="1867"/>
      <c r="Y67" s="1867"/>
      <c r="Z67" s="1867"/>
      <c r="AA67" s="1867"/>
      <c r="AB67" s="1867"/>
      <c r="AC67" s="1867"/>
    </row>
    <row r="68" spans="1:29" ht="15.75" thickBot="1">
      <c r="A68" s="636"/>
      <c r="B68" s="648"/>
      <c r="C68" s="646">
        <v>100</v>
      </c>
      <c r="D68" s="646">
        <f>C68-$K18</f>
        <v>100</v>
      </c>
      <c r="E68" s="646">
        <f>D68-$K18</f>
        <v>100</v>
      </c>
      <c r="F68" s="646">
        <f>E68-$K18</f>
        <v>100</v>
      </c>
      <c r="G68" s="646">
        <f>F68-$K18</f>
        <v>100</v>
      </c>
      <c r="H68" s="897"/>
      <c r="I68" s="897"/>
      <c r="J68" s="897"/>
      <c r="K68" s="897"/>
      <c r="L68" s="897"/>
      <c r="M68" s="528"/>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684</v>
      </c>
      <c r="C69" s="675" t="s">
        <v>527</v>
      </c>
      <c r="D69" s="675" t="s">
        <v>528</v>
      </c>
      <c r="E69" s="675" t="s">
        <v>529</v>
      </c>
      <c r="F69" s="675" t="s">
        <v>530</v>
      </c>
      <c r="G69" s="675" t="s">
        <v>531</v>
      </c>
      <c r="H69" s="641"/>
      <c r="I69" s="641"/>
      <c r="J69" s="641"/>
      <c r="K69" s="642"/>
      <c r="L69" s="643"/>
      <c r="M69" s="644"/>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ht="15.75" thickTop="1">
      <c r="A71" s="636"/>
      <c r="B71" s="640" t="s">
        <v>685</v>
      </c>
      <c r="C71" s="655"/>
      <c r="D71" s="655"/>
      <c r="E71" s="655"/>
      <c r="F71" s="655"/>
      <c r="G71" s="655"/>
      <c r="H71" s="685"/>
      <c r="I71" s="685"/>
      <c r="J71" s="685"/>
      <c r="K71" s="686"/>
      <c r="L71" s="687"/>
      <c r="M71" s="688"/>
      <c r="N71" s="1885"/>
      <c r="O71" s="1885"/>
      <c r="P71" s="1886"/>
      <c r="Q71" s="1879"/>
      <c r="R71" s="1867"/>
      <c r="S71" s="1867"/>
      <c r="T71" s="1867"/>
      <c r="U71" s="1867"/>
      <c r="V71" s="1867"/>
      <c r="W71" s="1867"/>
      <c r="X71" s="1867"/>
      <c r="Y71" s="1867"/>
      <c r="Z71" s="1867"/>
      <c r="AA71" s="1867"/>
      <c r="AB71" s="1867"/>
      <c r="AC71" s="1867"/>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6"/>
      <c r="B73" s="640">
        <f>B23</f>
        <v>111</v>
      </c>
      <c r="C73" s="510"/>
      <c r="D73" s="510"/>
      <c r="E73" s="510"/>
      <c r="F73" s="510"/>
      <c r="G73" s="655"/>
      <c r="H73" s="655"/>
      <c r="I73" s="655"/>
      <c r="J73" s="655"/>
      <c r="K73" s="655"/>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6"/>
      <c r="B75" s="640">
        <f>B24</f>
        <v>111</v>
      </c>
      <c r="C75" s="510"/>
      <c r="D75" s="510"/>
      <c r="E75" s="510"/>
      <c r="F75" s="510"/>
      <c r="G75" s="655"/>
      <c r="H75" s="655"/>
      <c r="I75" s="655"/>
      <c r="J75" s="655"/>
      <c r="K75" s="655"/>
      <c r="L75" s="655"/>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6"/>
      <c r="B76" s="645"/>
      <c r="C76" s="659"/>
      <c r="D76" s="638"/>
      <c r="E76" s="638"/>
      <c r="F76" s="638"/>
      <c r="G76" s="638"/>
      <c r="H76" s="638"/>
      <c r="I76" s="638"/>
      <c r="J76" s="638"/>
      <c r="K76" s="638"/>
      <c r="L76" s="638"/>
      <c r="M76" s="639"/>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4"/>
      <c r="B77" s="640">
        <f>B25</f>
        <v>111</v>
      </c>
      <c r="C77" s="655"/>
      <c r="D77" s="655"/>
      <c r="E77" s="655"/>
      <c r="F77" s="655"/>
      <c r="G77" s="655"/>
      <c r="H77" s="656"/>
      <c r="I77" s="656"/>
      <c r="J77" s="656"/>
      <c r="K77" s="656"/>
      <c r="L77" s="657"/>
      <c r="M77" s="658"/>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4"/>
      <c r="B78" s="645"/>
      <c r="C78" s="659"/>
      <c r="D78" s="659"/>
      <c r="E78" s="659"/>
      <c r="F78" s="659"/>
      <c r="G78" s="638"/>
      <c r="H78" s="638"/>
      <c r="I78" s="638"/>
      <c r="J78" s="638"/>
      <c r="K78" s="638"/>
      <c r="L78" s="638"/>
      <c r="M78" s="639"/>
      <c r="N78" s="1888"/>
      <c r="O78" s="1888"/>
      <c r="P78" s="1889"/>
      <c r="Q78" s="1890"/>
      <c r="R78" s="1891"/>
      <c r="S78" s="1891"/>
      <c r="T78" s="1891"/>
      <c r="U78" s="1891"/>
      <c r="V78" s="1891"/>
      <c r="W78" s="1891"/>
      <c r="X78" s="1891"/>
      <c r="Y78" s="1891"/>
      <c r="Z78" s="1891"/>
      <c r="AA78" s="1891"/>
      <c r="AB78" s="1891"/>
      <c r="AC78" s="1891"/>
    </row>
    <row r="79" spans="1:29" ht="27.75" thickTop="1">
      <c r="A79" s="631" t="s">
        <v>500</v>
      </c>
      <c r="B79" s="632" t="s">
        <v>754</v>
      </c>
      <c r="C79" s="671">
        <f>C26</f>
        <v>0</v>
      </c>
      <c r="D79" s="567"/>
      <c r="E79" s="567"/>
      <c r="F79" s="567"/>
      <c r="G79" s="567"/>
      <c r="H79" s="567"/>
      <c r="I79" s="567"/>
      <c r="J79" s="567"/>
      <c r="K79" s="633"/>
      <c r="L79" s="634"/>
      <c r="M79" s="635"/>
      <c r="N79" s="1885"/>
      <c r="O79" s="1885"/>
      <c r="P79" s="1886"/>
      <c r="Q79" s="1879"/>
      <c r="R79" s="1867"/>
      <c r="S79" s="1867"/>
      <c r="T79" s="1867"/>
      <c r="U79" s="1867"/>
      <c r="V79" s="1867"/>
      <c r="W79" s="1867"/>
      <c r="X79" s="1867"/>
      <c r="Y79" s="1867"/>
      <c r="Z79" s="1867"/>
      <c r="AA79" s="1867"/>
      <c r="AB79" s="1867"/>
      <c r="AC79" s="1867"/>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6"/>
      <c r="B81" s="640"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4"/>
      <c r="B82" s="645"/>
      <c r="C82" s="659"/>
      <c r="D82" s="638"/>
      <c r="E82" s="638"/>
      <c r="F82" s="638"/>
      <c r="G82" s="638"/>
      <c r="H82" s="638"/>
      <c r="I82" s="638"/>
      <c r="J82" s="638"/>
      <c r="K82" s="638"/>
      <c r="L82" s="638"/>
      <c r="M82" s="639"/>
      <c r="N82" s="1887"/>
      <c r="O82" s="1887"/>
      <c r="P82" s="1889"/>
      <c r="Q82" s="1890"/>
      <c r="R82" s="1891"/>
      <c r="S82" s="1891"/>
      <c r="T82" s="1891"/>
      <c r="U82" s="1891"/>
      <c r="V82" s="1891"/>
      <c r="W82" s="1891"/>
      <c r="X82" s="1891"/>
      <c r="Y82" s="1891"/>
      <c r="Z82" s="1891"/>
      <c r="AA82" s="1891"/>
      <c r="AB82" s="1891"/>
      <c r="AC82" s="1891"/>
    </row>
    <row r="83" spans="1:29" ht="15" thickTop="1">
      <c r="A83" s="702"/>
      <c r="B83" s="640" t="s">
        <v>691</v>
      </c>
      <c r="C83" s="655"/>
      <c r="D83" s="655"/>
      <c r="E83" s="685"/>
      <c r="F83" s="685"/>
      <c r="G83" s="685"/>
      <c r="H83" s="685"/>
      <c r="I83" s="685"/>
      <c r="J83" s="685"/>
      <c r="K83" s="686"/>
      <c r="L83" s="687"/>
      <c r="M83" s="688"/>
      <c r="N83" s="1885"/>
      <c r="O83" s="1885"/>
      <c r="P83" s="1886"/>
      <c r="Q83" s="1879"/>
      <c r="R83" s="1867"/>
      <c r="S83" s="1867"/>
      <c r="T83" s="1867"/>
      <c r="U83" s="1867"/>
      <c r="V83" s="1867"/>
      <c r="W83" s="1867"/>
      <c r="X83" s="1867"/>
      <c r="Y83" s="1867"/>
      <c r="Z83" s="1867"/>
      <c r="AA83" s="1867"/>
      <c r="AB83" s="1867"/>
      <c r="AC83" s="1867"/>
    </row>
    <row r="84" spans="1:29" ht="15.75"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5"/>
      <c r="O85" s="1885"/>
      <c r="P85" s="1886"/>
      <c r="Q85" s="1879"/>
      <c r="R85" s="1867"/>
      <c r="S85" s="1867"/>
      <c r="T85" s="1867"/>
      <c r="U85" s="1867"/>
      <c r="V85" s="1867"/>
      <c r="W85" s="1867"/>
      <c r="X85" s="1867"/>
      <c r="Y85" s="1867"/>
      <c r="Z85" s="1867"/>
      <c r="AA85" s="1867"/>
      <c r="AB85" s="1867"/>
      <c r="AC85" s="1867"/>
    </row>
    <row r="86" spans="1:29">
      <c r="A86" s="702"/>
      <c r="B86" s="648"/>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2"/>
      <c r="B88" s="648" t="s">
        <v>757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5"/>
      <c r="B90" s="640" t="s">
        <v>758</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5"/>
      <c r="B91" s="648"/>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8"/>
      <c r="O92" s="1888"/>
      <c r="P92" s="1889"/>
      <c r="Q92" s="1890"/>
      <c r="R92" s="1891"/>
      <c r="S92" s="1891"/>
      <c r="T92" s="1891"/>
      <c r="U92" s="1891"/>
      <c r="V92" s="1891"/>
      <c r="W92" s="1891"/>
      <c r="X92" s="1891"/>
      <c r="Y92" s="1891"/>
      <c r="Z92" s="1891"/>
      <c r="AA92" s="1891"/>
      <c r="AB92" s="1891"/>
      <c r="AC92" s="1891"/>
    </row>
    <row r="93" spans="1:29" ht="15" thickTop="1">
      <c r="A93" s="702"/>
      <c r="B93" s="640" t="s">
        <v>759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760</v>
      </c>
      <c r="C95" s="567"/>
      <c r="D95" s="567"/>
      <c r="E95" s="567"/>
      <c r="F95" s="567"/>
      <c r="G95" s="567"/>
      <c r="H95" s="567"/>
      <c r="I95" s="567"/>
      <c r="J95" s="567"/>
      <c r="K95" s="633"/>
      <c r="L95" s="634"/>
      <c r="M95" s="635"/>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ht="15" thickTop="1">
      <c r="A97" s="702"/>
      <c r="B97" s="879">
        <f>B34</f>
        <v>111</v>
      </c>
      <c r="C97" s="510"/>
      <c r="D97" s="510"/>
      <c r="E97" s="510"/>
      <c r="F97" s="510"/>
      <c r="G97" s="655"/>
      <c r="H97" s="656"/>
      <c r="I97" s="656"/>
      <c r="J97" s="656"/>
      <c r="K97" s="656"/>
      <c r="L97" s="657"/>
      <c r="M97" s="658"/>
      <c r="N97" s="1887"/>
      <c r="O97" s="1887"/>
      <c r="P97" s="1924"/>
      <c r="Q97" s="1925"/>
      <c r="R97" s="1867"/>
      <c r="S97" s="1867"/>
      <c r="T97" s="1867"/>
      <c r="U97" s="1867"/>
      <c r="V97" s="1867"/>
      <c r="W97" s="1867"/>
      <c r="X97" s="1867"/>
      <c r="Y97" s="1867"/>
      <c r="Z97" s="1867"/>
      <c r="AA97" s="1867"/>
      <c r="AB97" s="1867"/>
      <c r="AC97" s="1867"/>
    </row>
    <row r="98" spans="1:29" ht="15.75" thickBot="1">
      <c r="A98" s="636"/>
      <c r="B98" s="645"/>
      <c r="C98" s="659"/>
      <c r="D98" s="638"/>
      <c r="E98" s="638"/>
      <c r="F98" s="638"/>
      <c r="G98" s="659"/>
      <c r="H98" s="660"/>
      <c r="I98" s="660"/>
      <c r="J98" s="660"/>
      <c r="K98" s="660"/>
      <c r="L98" s="660"/>
      <c r="M98" s="661"/>
      <c r="N98" s="1887"/>
      <c r="O98" s="1887"/>
      <c r="P98" s="1886"/>
      <c r="Q98" s="1879"/>
      <c r="R98" s="1867"/>
      <c r="S98" s="1867"/>
      <c r="T98" s="1867"/>
      <c r="U98" s="1867"/>
      <c r="V98" s="1867"/>
      <c r="W98" s="1867"/>
      <c r="X98" s="1867"/>
      <c r="Y98" s="1867"/>
      <c r="Z98" s="1867"/>
      <c r="AA98" s="1867"/>
      <c r="AB98" s="1867"/>
      <c r="AC98" s="1867"/>
    </row>
    <row r="99" spans="1:29" s="1199" customFormat="1" ht="15" thickTop="1">
      <c r="A99" s="695"/>
      <c r="B99" s="640">
        <f>B35</f>
        <v>111</v>
      </c>
      <c r="C99" s="510"/>
      <c r="D99" s="510"/>
      <c r="E99" s="510"/>
      <c r="F99" s="510"/>
      <c r="G99" s="655"/>
      <c r="H99" s="656"/>
      <c r="I99" s="656"/>
      <c r="J99" s="656"/>
      <c r="K99" s="656"/>
      <c r="L99" s="657"/>
      <c r="M99" s="658"/>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4"/>
      <c r="B100" s="637"/>
      <c r="C100" s="659"/>
      <c r="D100" s="638"/>
      <c r="E100" s="638"/>
      <c r="F100" s="638"/>
      <c r="G100" s="659"/>
      <c r="H100" s="660"/>
      <c r="I100" s="660"/>
      <c r="J100" s="660"/>
      <c r="K100" s="660"/>
      <c r="L100" s="660"/>
      <c r="M100" s="661"/>
      <c r="N100" s="1888"/>
      <c r="O100" s="1888"/>
      <c r="P100" s="1889"/>
      <c r="Q100" s="1890"/>
      <c r="R100" s="1891"/>
      <c r="S100" s="1891"/>
      <c r="T100" s="1891"/>
      <c r="U100" s="1891"/>
      <c r="V100" s="1891"/>
      <c r="W100" s="1891"/>
      <c r="X100" s="1891"/>
      <c r="Y100" s="1891"/>
      <c r="Z100" s="1891"/>
      <c r="AA100" s="1891"/>
      <c r="AB100" s="1891"/>
      <c r="AC100" s="1891"/>
    </row>
    <row r="101" spans="1:29" ht="15" thickTop="1">
      <c r="A101" s="702"/>
      <c r="B101" s="640">
        <f>B36</f>
        <v>111</v>
      </c>
      <c r="C101" s="655"/>
      <c r="D101" s="655"/>
      <c r="E101" s="655"/>
      <c r="F101" s="655"/>
      <c r="G101" s="655"/>
      <c r="H101" s="656"/>
      <c r="I101" s="656"/>
      <c r="J101" s="656"/>
      <c r="K101" s="656"/>
      <c r="L101" s="657"/>
      <c r="M101" s="658"/>
      <c r="N101" s="1885"/>
      <c r="O101" s="1885"/>
      <c r="P101" s="1886"/>
      <c r="Q101" s="1879"/>
      <c r="R101" s="1867"/>
      <c r="S101" s="1867"/>
      <c r="T101" s="1867"/>
      <c r="U101" s="1867"/>
      <c r="V101" s="1867"/>
      <c r="W101" s="1867"/>
      <c r="X101" s="1867"/>
      <c r="Y101" s="1867"/>
      <c r="Z101" s="1867"/>
      <c r="AA101" s="1867"/>
      <c r="AB101" s="1867"/>
      <c r="AC101" s="1867"/>
    </row>
    <row r="102" spans="1:29" ht="15.75" thickBot="1">
      <c r="A102" s="636"/>
      <c r="B102" s="645"/>
      <c r="C102" s="659"/>
      <c r="D102" s="659"/>
      <c r="E102" s="659"/>
      <c r="F102" s="659"/>
      <c r="G102" s="659"/>
      <c r="H102" s="660"/>
      <c r="I102" s="660"/>
      <c r="J102" s="660"/>
      <c r="K102" s="660"/>
      <c r="L102" s="660"/>
      <c r="M102" s="661"/>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2024年3月27日（评估专业人员勘察现场之日）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根据《国有土地使用证》[]，本次评估估价对象证载（地类）用途为工业。</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871" t="s">
        <v>738</v>
      </c>
      <c r="D4" s="3872"/>
      <c r="E4" s="3893" t="s">
        <v>739</v>
      </c>
      <c r="F4" s="3894"/>
      <c r="G4" s="3871" t="s">
        <v>740</v>
      </c>
      <c r="H4" s="3872"/>
      <c r="I4" s="3871" t="s">
        <v>741</v>
      </c>
      <c r="J4" s="3872"/>
      <c r="K4" s="483" t="s">
        <v>742</v>
      </c>
      <c r="L4" s="1855"/>
      <c r="M4" s="1856"/>
      <c r="N4" s="1856"/>
      <c r="O4" s="1856"/>
      <c r="P4" s="3873" t="s">
        <v>743</v>
      </c>
      <c r="Q4" s="3874"/>
      <c r="R4" s="3857" t="s">
        <v>739</v>
      </c>
      <c r="S4" s="3858"/>
      <c r="T4" s="3857" t="s">
        <v>740</v>
      </c>
      <c r="U4" s="3858"/>
      <c r="V4" s="3879" t="s">
        <v>741</v>
      </c>
      <c r="W4" s="3879"/>
      <c r="X4" s="1379"/>
      <c r="Y4" s="3857" t="s">
        <v>743</v>
      </c>
      <c r="Z4" s="3858"/>
      <c r="AA4" s="3852" t="s">
        <v>739</v>
      </c>
      <c r="AB4" s="3853" t="s">
        <v>740</v>
      </c>
      <c r="AC4" s="3852" t="s">
        <v>741</v>
      </c>
    </row>
    <row r="5" spans="1:29" ht="15">
      <c r="A5" s="484"/>
      <c r="B5" s="485"/>
      <c r="C5" s="3882" t="s">
        <v>2192</v>
      </c>
      <c r="D5" s="3883"/>
      <c r="E5" s="3895" t="s">
        <v>2193</v>
      </c>
      <c r="F5" s="3896"/>
      <c r="G5" s="3882" t="s">
        <v>2194</v>
      </c>
      <c r="H5" s="3883"/>
      <c r="I5" s="3882" t="s">
        <v>2195</v>
      </c>
      <c r="J5" s="3883"/>
      <c r="K5" s="483"/>
      <c r="L5" s="1855"/>
      <c r="M5" s="1856"/>
      <c r="N5" s="1856"/>
      <c r="O5" s="1856"/>
      <c r="P5" s="3875"/>
      <c r="Q5" s="3876"/>
      <c r="R5" s="3859"/>
      <c r="S5" s="3860"/>
      <c r="T5" s="3859"/>
      <c r="U5" s="3860"/>
      <c r="V5" s="3879"/>
      <c r="W5" s="3879"/>
      <c r="X5" s="1379"/>
      <c r="Y5" s="3859"/>
      <c r="Z5" s="3860"/>
      <c r="AA5" s="3853"/>
      <c r="AB5" s="3853"/>
      <c r="AC5" s="3853"/>
    </row>
    <row r="6" spans="1:29" ht="15.75" thickBot="1">
      <c r="A6" s="486"/>
      <c r="B6" s="487"/>
      <c r="C6" s="3880" t="s">
        <v>2196</v>
      </c>
      <c r="D6" s="3881"/>
      <c r="E6" s="3897" t="s">
        <v>2196</v>
      </c>
      <c r="F6" s="3898"/>
      <c r="G6" s="3880" t="s">
        <v>2196</v>
      </c>
      <c r="H6" s="3881"/>
      <c r="I6" s="3880" t="s">
        <v>2196</v>
      </c>
      <c r="J6" s="3881"/>
      <c r="K6" s="483" t="s">
        <v>477</v>
      </c>
      <c r="L6" s="1855"/>
      <c r="M6" s="1856"/>
      <c r="N6" s="1856"/>
      <c r="O6" s="1856"/>
      <c r="P6" s="3877"/>
      <c r="Q6" s="3878"/>
      <c r="R6" s="3859"/>
      <c r="S6" s="3860"/>
      <c r="T6" s="3861"/>
      <c r="U6" s="3862"/>
      <c r="V6" s="3879"/>
      <c r="W6" s="3879"/>
      <c r="X6" s="1379"/>
      <c r="Y6" s="3861"/>
      <c r="Z6" s="3862"/>
      <c r="AA6" s="3854"/>
      <c r="AB6" s="3854"/>
      <c r="AC6" s="3854"/>
    </row>
    <row r="7" spans="1:29" s="1117" customFormat="1" ht="15.75" thickBot="1">
      <c r="A7" s="2391"/>
      <c r="B7" s="2398" t="s">
        <v>478</v>
      </c>
      <c r="C7" s="488">
        <f>'数据-取费表'!B2</f>
        <v>45378</v>
      </c>
      <c r="D7" s="489">
        <v>100</v>
      </c>
      <c r="E7" s="490"/>
      <c r="F7" s="491">
        <f>SUMIF(46:46,YEAR(E7)&amp;"-"&amp;MONTH(E7),47:47)</f>
        <v>0</v>
      </c>
      <c r="G7" s="492"/>
      <c r="H7" s="489">
        <f>SUMIF(46:46,YEAR(G7)&amp;"-"&amp;MONTH(G7),47:47)</f>
        <v>0</v>
      </c>
      <c r="I7" s="492"/>
      <c r="J7" s="489">
        <f>SUMIF(46:46,YEAR(I7)&amp;"-"&amp;MONTH(I7),47:47)</f>
        <v>0</v>
      </c>
      <c r="K7" s="493"/>
      <c r="L7" s="1857"/>
      <c r="M7" s="1858"/>
      <c r="N7" s="1858"/>
      <c r="O7" s="1858"/>
      <c r="P7" s="3855" t="s">
        <v>479</v>
      </c>
      <c r="Q7" s="3864"/>
      <c r="R7" s="1380" t="s">
        <v>5</v>
      </c>
      <c r="S7" s="1381">
        <f t="shared" ref="S7:S14" si="0">F7</f>
        <v>0</v>
      </c>
      <c r="T7" s="1380" t="s">
        <v>5</v>
      </c>
      <c r="U7" s="1381">
        <f t="shared" ref="U7:U14" si="1">H7</f>
        <v>0</v>
      </c>
      <c r="V7" s="1380" t="s">
        <v>5</v>
      </c>
      <c r="W7" s="1381">
        <f t="shared" ref="W7:W14" si="2">J7</f>
        <v>0</v>
      </c>
      <c r="X7" s="1382"/>
      <c r="Y7" s="3855" t="s">
        <v>479</v>
      </c>
      <c r="Z7" s="3856"/>
      <c r="AA7" s="1383" t="e">
        <f>D7/F7</f>
        <v>#DIV/0!</v>
      </c>
      <c r="AB7" s="1383" t="e">
        <f>D7/H7</f>
        <v>#DIV/0!</v>
      </c>
      <c r="AC7" s="1383" t="e">
        <f>D7/J7</f>
        <v>#DIV/0!</v>
      </c>
    </row>
    <row r="8" spans="1:29" s="1117" customFormat="1" ht="15.75" thickBot="1">
      <c r="A8" s="2392"/>
      <c r="B8" s="2399" t="s">
        <v>480</v>
      </c>
      <c r="C8" s="494" t="s">
        <v>524</v>
      </c>
      <c r="D8" s="489">
        <v>100</v>
      </c>
      <c r="E8" s="494"/>
      <c r="F8" s="491">
        <f>SUMIF(49:49,E8,50:50)-SUMIF(49:49,C8,50:50)+100</f>
        <v>0</v>
      </c>
      <c r="G8" s="494"/>
      <c r="H8" s="489">
        <f>SUMIF(49:49,G8,50:50)-SUMIF(49:49,C8,50:50)+100</f>
        <v>0</v>
      </c>
      <c r="I8" s="494"/>
      <c r="J8" s="489">
        <f>SUMIF(49:49,I8,50:50)-SUMIF(49:49,C8,50:50)+100</f>
        <v>0</v>
      </c>
      <c r="K8" s="493"/>
      <c r="L8" s="1857"/>
      <c r="M8" s="1858"/>
      <c r="N8" s="1858"/>
      <c r="O8" s="1858"/>
      <c r="P8" s="3855" t="s">
        <v>482</v>
      </c>
      <c r="Q8" s="3856"/>
      <c r="R8" s="1380" t="s">
        <v>5</v>
      </c>
      <c r="S8" s="1381">
        <f t="shared" si="0"/>
        <v>0</v>
      </c>
      <c r="T8" s="1380" t="s">
        <v>5</v>
      </c>
      <c r="U8" s="1381">
        <f t="shared" si="1"/>
        <v>0</v>
      </c>
      <c r="V8" s="1380" t="s">
        <v>5</v>
      </c>
      <c r="W8" s="1381">
        <f t="shared" si="2"/>
        <v>0</v>
      </c>
      <c r="X8" s="1382"/>
      <c r="Y8" s="3855" t="s">
        <v>482</v>
      </c>
      <c r="Z8" s="3856"/>
      <c r="AA8" s="1383" t="e">
        <f t="shared" ref="AA8:AA34" si="3">D8/F8</f>
        <v>#DIV/0!</v>
      </c>
      <c r="AB8" s="1383" t="e">
        <f t="shared" ref="AB8:AB34" si="4">D8/H8</f>
        <v>#DIV/0!</v>
      </c>
      <c r="AC8" s="1383" t="e">
        <f t="shared" ref="AC8:AC34" si="5">D8/J8</f>
        <v>#DIV/0!</v>
      </c>
    </row>
    <row r="9" spans="1:29" s="1117" customFormat="1" ht="15">
      <c r="A9" s="2393"/>
      <c r="B9" s="2400" t="s">
        <v>2038</v>
      </c>
      <c r="C9" s="821"/>
      <c r="D9" s="244">
        <v>100</v>
      </c>
      <c r="E9" s="824"/>
      <c r="F9" s="244">
        <f>SUMIF(51:51,E9,52:52)-SUMIF(51:51,C9,52:52)+100</f>
        <v>100</v>
      </c>
      <c r="G9" s="824"/>
      <c r="H9" s="244">
        <f>SUMIF(51:51,G9,52:52)-SUMIF(51:51,C9,52:52)+100</f>
        <v>100</v>
      </c>
      <c r="I9" s="824"/>
      <c r="J9" s="244">
        <f>SUMIF(51:51,I9,52:52)-SUMIF(51:51,C9,52:52)+100</f>
        <v>100</v>
      </c>
      <c r="K9" s="493"/>
      <c r="L9" s="1857"/>
      <c r="M9" s="1858"/>
      <c r="N9" s="1858"/>
      <c r="O9" s="1859"/>
      <c r="P9" s="3863" t="s">
        <v>484</v>
      </c>
      <c r="Q9" s="1049" t="str">
        <f t="shared" ref="Q9:Q14" si="6">B9</f>
        <v>用途</v>
      </c>
      <c r="R9" s="1380" t="s">
        <v>5</v>
      </c>
      <c r="S9" s="1381">
        <f t="shared" si="0"/>
        <v>100</v>
      </c>
      <c r="T9" s="1380" t="s">
        <v>5</v>
      </c>
      <c r="U9" s="1381">
        <f t="shared" si="1"/>
        <v>100</v>
      </c>
      <c r="V9" s="1380" t="s">
        <v>5</v>
      </c>
      <c r="W9" s="1381">
        <f t="shared" si="2"/>
        <v>100</v>
      </c>
      <c r="X9" s="1382"/>
      <c r="Y9" s="3811" t="s">
        <v>485</v>
      </c>
      <c r="Z9" s="1048" t="str">
        <f t="shared" ref="Z9:Z14" si="7">Q9</f>
        <v>用途</v>
      </c>
      <c r="AA9" s="1383">
        <f t="shared" si="3"/>
        <v>1</v>
      </c>
      <c r="AB9" s="1383">
        <f t="shared" si="4"/>
        <v>1</v>
      </c>
      <c r="AC9" s="1383">
        <f t="shared" si="5"/>
        <v>1</v>
      </c>
    </row>
    <row r="10" spans="1:29" s="1198" customFormat="1" ht="27">
      <c r="A10" s="2394"/>
      <c r="B10" s="2399" t="s">
        <v>2039</v>
      </c>
      <c r="C10" s="3659"/>
      <c r="D10" s="245">
        <v>100</v>
      </c>
      <c r="E10" s="3659"/>
      <c r="F10" s="245">
        <f>SUMIF(53:53,E10,54:54)-SUMIF(53:53,C10,54:54)+100</f>
        <v>100</v>
      </c>
      <c r="G10" s="3660"/>
      <c r="H10" s="245">
        <f>SUMIF(53:53,G10,54:54)-SUMIF(53:53,C10,54:54)+100</f>
        <v>100</v>
      </c>
      <c r="I10" s="3659"/>
      <c r="J10" s="245">
        <f>SUMIF(53:53,I10,54:54)-SUMIF(53:53,C10,54:54)+100</f>
        <v>100</v>
      </c>
      <c r="K10" s="493"/>
      <c r="L10" s="1860"/>
      <c r="M10" s="1899"/>
      <c r="N10" s="1899"/>
      <c r="O10" s="1861"/>
      <c r="P10" s="3863"/>
      <c r="Q10" s="1049" t="str">
        <f t="shared" si="6"/>
        <v>土地使用年限（年）</v>
      </c>
      <c r="R10" s="1380" t="s">
        <v>5</v>
      </c>
      <c r="S10" s="1381">
        <f t="shared" si="0"/>
        <v>100</v>
      </c>
      <c r="T10" s="1380" t="s">
        <v>5</v>
      </c>
      <c r="U10" s="1381">
        <f t="shared" si="1"/>
        <v>100</v>
      </c>
      <c r="V10" s="1380" t="s">
        <v>5</v>
      </c>
      <c r="W10" s="1381">
        <f t="shared" si="2"/>
        <v>100</v>
      </c>
      <c r="X10" s="1382"/>
      <c r="Y10" s="3811"/>
      <c r="Z10" s="1048" t="str">
        <f t="shared" si="7"/>
        <v>土地使用年限（年）</v>
      </c>
      <c r="AA10" s="1383">
        <f t="shared" si="3"/>
        <v>1</v>
      </c>
      <c r="AB10" s="1383">
        <f t="shared" si="4"/>
        <v>1</v>
      </c>
      <c r="AC10" s="1383">
        <f t="shared" si="5"/>
        <v>1</v>
      </c>
    </row>
    <row r="11" spans="1:29" ht="15">
      <c r="A11" s="2396"/>
      <c r="B11" s="2402">
        <v>111</v>
      </c>
      <c r="C11" s="497"/>
      <c r="D11" s="245">
        <v>100</v>
      </c>
      <c r="E11" s="842"/>
      <c r="F11" s="245">
        <f>SUMIF(55:55,E11,56:56)-SUMIF(55:55,C11,56:56)+100</f>
        <v>100</v>
      </c>
      <c r="G11" s="842"/>
      <c r="H11" s="245">
        <f>SUMIF(55:55,G11,56:56)-SUMIF(55:55,C11,56:56)+100</f>
        <v>100</v>
      </c>
      <c r="I11" s="842"/>
      <c r="J11" s="245">
        <f>SUMIF(55:55,I11,56:56)-SUMIF(55:55,C11,56:56)+100</f>
        <v>100</v>
      </c>
      <c r="K11" s="550"/>
      <c r="L11" s="1862"/>
      <c r="M11" s="1856"/>
      <c r="N11" s="1856"/>
      <c r="O11" s="1863"/>
      <c r="P11" s="3863"/>
      <c r="Q11" s="1049">
        <f t="shared" si="6"/>
        <v>111</v>
      </c>
      <c r="R11" s="1380" t="s">
        <v>5</v>
      </c>
      <c r="S11" s="1381">
        <f t="shared" si="0"/>
        <v>100</v>
      </c>
      <c r="T11" s="1380" t="s">
        <v>5</v>
      </c>
      <c r="U11" s="1381">
        <f t="shared" si="1"/>
        <v>100</v>
      </c>
      <c r="V11" s="1380" t="s">
        <v>5</v>
      </c>
      <c r="W11" s="1381">
        <f t="shared" si="2"/>
        <v>100</v>
      </c>
      <c r="X11" s="1382"/>
      <c r="Y11" s="3811"/>
      <c r="Z11" s="1048">
        <f t="shared" si="7"/>
        <v>111</v>
      </c>
      <c r="AA11" s="1383">
        <f t="shared" si="3"/>
        <v>1</v>
      </c>
      <c r="AB11" s="1383">
        <f t="shared" si="4"/>
        <v>1</v>
      </c>
      <c r="AC11" s="1383">
        <f t="shared" si="5"/>
        <v>1</v>
      </c>
    </row>
    <row r="12" spans="1:29" s="1117" customFormat="1" ht="15">
      <c r="A12" s="2396"/>
      <c r="B12" s="2402">
        <v>111</v>
      </c>
      <c r="C12" s="497"/>
      <c r="D12" s="507">
        <v>100</v>
      </c>
      <c r="E12" s="842"/>
      <c r="F12" s="245">
        <f>SUMIF(57:57,E12,58:58)-SUMIF(57:57,C12,58:58)+100</f>
        <v>100</v>
      </c>
      <c r="G12" s="842"/>
      <c r="H12" s="245">
        <f>SUMIF(57:57,G12,58:58)-SUMIF(57:57,C12,58:58)+100</f>
        <v>100</v>
      </c>
      <c r="I12" s="842"/>
      <c r="J12" s="245">
        <f>SUMIF(57:57,I12,58:58)-SUMIF(57:57,C12,58:58)+100</f>
        <v>100</v>
      </c>
      <c r="K12" s="550"/>
      <c r="L12" s="1857"/>
      <c r="M12" s="1858"/>
      <c r="N12" s="1858"/>
      <c r="O12" s="1859"/>
      <c r="P12" s="3863"/>
      <c r="Q12" s="1049">
        <f t="shared" si="6"/>
        <v>111</v>
      </c>
      <c r="R12" s="1380" t="s">
        <v>5</v>
      </c>
      <c r="S12" s="1381">
        <f t="shared" si="0"/>
        <v>100</v>
      </c>
      <c r="T12" s="1380" t="s">
        <v>5</v>
      </c>
      <c r="U12" s="1381">
        <f t="shared" si="1"/>
        <v>100</v>
      </c>
      <c r="V12" s="1380" t="s">
        <v>5</v>
      </c>
      <c r="W12" s="1381">
        <f t="shared" si="2"/>
        <v>100</v>
      </c>
      <c r="X12" s="1382"/>
      <c r="Y12" s="3811"/>
      <c r="Z12" s="1048">
        <f t="shared" si="7"/>
        <v>111</v>
      </c>
      <c r="AA12" s="1383">
        <f>D12/F12</f>
        <v>1</v>
      </c>
      <c r="AB12" s="1383">
        <f>D12/H12</f>
        <v>1</v>
      </c>
      <c r="AC12" s="1383">
        <f>D12/J12</f>
        <v>1</v>
      </c>
    </row>
    <row r="13" spans="1:29" ht="15.75" thickBot="1">
      <c r="A13" s="2397"/>
      <c r="B13" s="2403">
        <v>111</v>
      </c>
      <c r="C13" s="508"/>
      <c r="D13" s="509">
        <v>100</v>
      </c>
      <c r="E13" s="842"/>
      <c r="F13" s="245">
        <f>SUMIF(59:59,E13,60:60)-SUMIF(59:59,C13,60:60)+100</f>
        <v>100</v>
      </c>
      <c r="G13" s="842"/>
      <c r="H13" s="509">
        <f>SUMIF(59:59,G13,60:60)-SUMIF(59:59,C13,60:60)+100</f>
        <v>100</v>
      </c>
      <c r="I13" s="842"/>
      <c r="J13" s="509">
        <f>SUMIF(59:59,I13,60:60)-SUMIF(59:59,C13,60:60)+100</f>
        <v>100</v>
      </c>
      <c r="K13" s="550"/>
      <c r="L13" s="1864"/>
      <c r="M13" s="1856"/>
      <c r="N13" s="1856"/>
      <c r="O13" s="1863"/>
      <c r="P13" s="3863"/>
      <c r="Q13" s="1049">
        <f t="shared" si="6"/>
        <v>111</v>
      </c>
      <c r="R13" s="1380" t="s">
        <v>5</v>
      </c>
      <c r="S13" s="1381">
        <f t="shared" si="0"/>
        <v>100</v>
      </c>
      <c r="T13" s="1380" t="s">
        <v>5</v>
      </c>
      <c r="U13" s="1381">
        <f t="shared" si="1"/>
        <v>100</v>
      </c>
      <c r="V13" s="1380" t="s">
        <v>5</v>
      </c>
      <c r="W13" s="1381">
        <f t="shared" si="2"/>
        <v>100</v>
      </c>
      <c r="X13" s="1382"/>
      <c r="Y13" s="3811"/>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8">
        <v>100</v>
      </c>
      <c r="E14" s="519"/>
      <c r="F14" s="520">
        <f>SUMIF(61:61,E15,62:62)-SUMIF(61:61,C15,62:62)+100</f>
        <v>100</v>
      </c>
      <c r="G14" s="521"/>
      <c r="H14" s="518">
        <f>SUMIF(61:61,G15,62:62)-SUMIF(61:61,C15,62:62)+100</f>
        <v>100</v>
      </c>
      <c r="I14" s="519"/>
      <c r="J14" s="518">
        <f>SUMIF(61:61,I15,62:62)-SUMIF(61:61,C15,62:62)+100</f>
        <v>100</v>
      </c>
      <c r="K14" s="860"/>
      <c r="L14" s="1864"/>
      <c r="M14" s="1856"/>
      <c r="N14" s="1856"/>
      <c r="O14" s="1863"/>
      <c r="P14" s="3865" t="s">
        <v>489</v>
      </c>
      <c r="Q14" s="1384" t="str">
        <f t="shared" si="6"/>
        <v>交通便捷度</v>
      </c>
      <c r="R14" s="1385" t="s">
        <v>5</v>
      </c>
      <c r="S14" s="1386">
        <f t="shared" si="0"/>
        <v>100</v>
      </c>
      <c r="T14" s="1385" t="s">
        <v>5</v>
      </c>
      <c r="U14" s="1386">
        <f t="shared" si="1"/>
        <v>100</v>
      </c>
      <c r="V14" s="1385" t="s">
        <v>5</v>
      </c>
      <c r="W14" s="1386">
        <f t="shared" si="2"/>
        <v>100</v>
      </c>
      <c r="X14" s="1379"/>
      <c r="Y14" s="3865" t="s">
        <v>489</v>
      </c>
      <c r="Z14" s="1387" t="str">
        <f t="shared" si="7"/>
        <v>交通便捷度</v>
      </c>
      <c r="AA14" s="1388">
        <f t="shared" si="3"/>
        <v>1</v>
      </c>
      <c r="AB14" s="1388">
        <f t="shared" si="4"/>
        <v>1</v>
      </c>
      <c r="AC14" s="1388">
        <f t="shared" si="5"/>
        <v>1</v>
      </c>
    </row>
    <row r="15" spans="1:29" ht="15">
      <c r="A15" s="501"/>
      <c r="B15" s="831"/>
      <c r="C15" s="545"/>
      <c r="D15" s="524"/>
      <c r="E15" s="545"/>
      <c r="F15" s="526"/>
      <c r="G15" s="545"/>
      <c r="H15" s="528"/>
      <c r="I15" s="545"/>
      <c r="J15" s="524"/>
      <c r="K15" s="861"/>
      <c r="L15" s="1864"/>
      <c r="M15" s="1856"/>
      <c r="N15" s="1856"/>
      <c r="O15" s="1863"/>
      <c r="P15" s="3866"/>
      <c r="Q15" s="1384"/>
      <c r="R15" s="1385"/>
      <c r="S15" s="1386"/>
      <c r="T15" s="1385"/>
      <c r="U15" s="1386"/>
      <c r="V15" s="1385"/>
      <c r="W15" s="1386"/>
      <c r="X15" s="1379"/>
      <c r="Y15" s="3866"/>
      <c r="Z15" s="1387"/>
      <c r="AA15" s="1388">
        <v>1</v>
      </c>
      <c r="AB15" s="1388">
        <v>1</v>
      </c>
      <c r="AC15" s="1388">
        <v>1</v>
      </c>
    </row>
    <row r="16" spans="1:29" ht="42.75">
      <c r="A16" s="501"/>
      <c r="B16" s="2210"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60"/>
      <c r="L16" s="1864"/>
      <c r="M16" s="1856"/>
      <c r="N16" s="1856"/>
      <c r="O16" s="1863"/>
      <c r="P16" s="3866"/>
      <c r="Q16" s="1384" t="str">
        <f>B16</f>
        <v>公共配套设施</v>
      </c>
      <c r="R16" s="1385" t="s">
        <v>5</v>
      </c>
      <c r="S16" s="1386">
        <f>F16</f>
        <v>100</v>
      </c>
      <c r="T16" s="1385" t="s">
        <v>5</v>
      </c>
      <c r="U16" s="1386">
        <f>H16</f>
        <v>100</v>
      </c>
      <c r="V16" s="1385" t="s">
        <v>5</v>
      </c>
      <c r="W16" s="1386">
        <f>J16</f>
        <v>100</v>
      </c>
      <c r="X16" s="1379"/>
      <c r="Y16" s="3866"/>
      <c r="Z16" s="1387" t="str">
        <f>Q16</f>
        <v>公共配套设施</v>
      </c>
      <c r="AA16" s="1388">
        <f t="shared" si="3"/>
        <v>1</v>
      </c>
      <c r="AB16" s="1388">
        <f t="shared" si="4"/>
        <v>1</v>
      </c>
      <c r="AC16" s="1388">
        <f t="shared" si="5"/>
        <v>1</v>
      </c>
    </row>
    <row r="17" spans="1:29" ht="15">
      <c r="A17" s="501"/>
      <c r="B17" s="535"/>
      <c r="C17" s="835"/>
      <c r="D17" s="524"/>
      <c r="E17" s="545"/>
      <c r="F17" s="526"/>
      <c r="G17" s="545"/>
      <c r="H17" s="524"/>
      <c r="I17" s="545"/>
      <c r="J17" s="524"/>
      <c r="K17" s="861"/>
      <c r="L17" s="1864"/>
      <c r="M17" s="1856"/>
      <c r="N17" s="1856"/>
      <c r="O17" s="1863"/>
      <c r="P17" s="3866"/>
      <c r="Q17" s="1384"/>
      <c r="R17" s="1385"/>
      <c r="S17" s="1386"/>
      <c r="T17" s="1385"/>
      <c r="U17" s="1386"/>
      <c r="V17" s="1385"/>
      <c r="W17" s="1386"/>
      <c r="X17" s="1379"/>
      <c r="Y17" s="3866"/>
      <c r="Z17" s="1387"/>
      <c r="AA17" s="1388">
        <v>1</v>
      </c>
      <c r="AB17" s="1388">
        <v>1</v>
      </c>
      <c r="AC17" s="1388">
        <v>1</v>
      </c>
    </row>
    <row r="18" spans="1:29" ht="28.5">
      <c r="A18" s="501"/>
      <c r="B18" s="2198"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60"/>
      <c r="L18" s="1864"/>
      <c r="M18" s="1856"/>
      <c r="N18" s="1856"/>
      <c r="O18" s="1863"/>
      <c r="P18" s="3866"/>
      <c r="Q18" s="2192" t="str">
        <f>B18</f>
        <v>基础设施水平</v>
      </c>
      <c r="R18" s="1385" t="s">
        <v>5</v>
      </c>
      <c r="S18" s="1386">
        <f>F18</f>
        <v>100</v>
      </c>
      <c r="T18" s="1385" t="s">
        <v>5</v>
      </c>
      <c r="U18" s="1386">
        <f>H18</f>
        <v>100</v>
      </c>
      <c r="V18" s="1385" t="s">
        <v>5</v>
      </c>
      <c r="W18" s="1386">
        <f>J18</f>
        <v>100</v>
      </c>
      <c r="X18" s="2194"/>
      <c r="Y18" s="3866"/>
      <c r="Z18" s="2193" t="str">
        <f>Q18</f>
        <v>基础设施水平</v>
      </c>
      <c r="AA18" s="1388">
        <f>D18/F18</f>
        <v>1</v>
      </c>
      <c r="AB18" s="1388">
        <f>D18/H18</f>
        <v>1</v>
      </c>
      <c r="AC18" s="1388">
        <f>D18/J18</f>
        <v>1</v>
      </c>
    </row>
    <row r="19" spans="1:29" ht="15">
      <c r="A19" s="501"/>
      <c r="B19" s="547"/>
      <c r="C19" s="835"/>
      <c r="D19" s="528"/>
      <c r="E19" s="835"/>
      <c r="F19" s="532"/>
      <c r="G19" s="835"/>
      <c r="H19" s="524"/>
      <c r="I19" s="545"/>
      <c r="J19" s="524"/>
      <c r="K19" s="2209"/>
      <c r="L19" s="1864"/>
      <c r="M19" s="1856"/>
      <c r="N19" s="1856"/>
      <c r="O19" s="1863"/>
      <c r="P19" s="3866"/>
      <c r="Q19" s="2192"/>
      <c r="R19" s="1385"/>
      <c r="S19" s="1386"/>
      <c r="T19" s="1385"/>
      <c r="U19" s="1386"/>
      <c r="V19" s="1385"/>
      <c r="W19" s="1386"/>
      <c r="X19" s="2194"/>
      <c r="Y19" s="3866"/>
      <c r="Z19" s="2193"/>
      <c r="AA19" s="1388">
        <v>1</v>
      </c>
      <c r="AB19" s="1388">
        <v>1</v>
      </c>
      <c r="AC19" s="1388">
        <v>1</v>
      </c>
    </row>
    <row r="20" spans="1:29" ht="57">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60"/>
      <c r="L20" s="1864"/>
      <c r="M20" s="1856"/>
      <c r="N20" s="1856"/>
      <c r="O20" s="1863"/>
      <c r="P20" s="3866"/>
      <c r="Q20" s="1384" t="str">
        <f>B20</f>
        <v>自然及人文环境</v>
      </c>
      <c r="R20" s="1385" t="s">
        <v>5</v>
      </c>
      <c r="S20" s="1386">
        <f>F20</f>
        <v>100</v>
      </c>
      <c r="T20" s="1385" t="s">
        <v>5</v>
      </c>
      <c r="U20" s="1386">
        <f>H20</f>
        <v>100</v>
      </c>
      <c r="V20" s="1385" t="s">
        <v>5</v>
      </c>
      <c r="W20" s="1386">
        <f>J20</f>
        <v>100</v>
      </c>
      <c r="X20" s="1379"/>
      <c r="Y20" s="3866"/>
      <c r="Z20" s="1387" t="str">
        <f>Q20</f>
        <v>自然及人文环境</v>
      </c>
      <c r="AA20" s="1388">
        <f t="shared" si="3"/>
        <v>1</v>
      </c>
      <c r="AB20" s="1388">
        <f t="shared" si="4"/>
        <v>1</v>
      </c>
      <c r="AC20" s="1388">
        <f t="shared" si="5"/>
        <v>1</v>
      </c>
    </row>
    <row r="21" spans="1:29" ht="15">
      <c r="A21" s="501"/>
      <c r="B21" s="564"/>
      <c r="C21" s="545"/>
      <c r="D21" s="524"/>
      <c r="E21" s="545"/>
      <c r="F21" s="526"/>
      <c r="G21" s="545"/>
      <c r="H21" s="524"/>
      <c r="I21" s="545"/>
      <c r="J21" s="524"/>
      <c r="K21" s="861"/>
      <c r="L21" s="1864"/>
      <c r="M21" s="1856"/>
      <c r="N21" s="1856"/>
      <c r="O21" s="1863"/>
      <c r="P21" s="3866"/>
      <c r="Q21" s="1384"/>
      <c r="R21" s="1385"/>
      <c r="S21" s="1386"/>
      <c r="T21" s="1385"/>
      <c r="U21" s="1386"/>
      <c r="V21" s="1385"/>
      <c r="W21" s="1386"/>
      <c r="X21" s="1379"/>
      <c r="Y21" s="3866"/>
      <c r="Z21" s="1387"/>
      <c r="AA21" s="1388">
        <v>1</v>
      </c>
      <c r="AB21" s="1388">
        <v>1</v>
      </c>
      <c r="AC21" s="1388">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4"/>
      <c r="M22" s="1856"/>
      <c r="N22" s="1856"/>
      <c r="O22" s="1863"/>
      <c r="P22" s="3866"/>
      <c r="Q22" s="1384" t="str">
        <f>B22</f>
        <v>楼层</v>
      </c>
      <c r="R22" s="1385" t="s">
        <v>5</v>
      </c>
      <c r="S22" s="1386">
        <f>F22</f>
        <v>100</v>
      </c>
      <c r="T22" s="1385" t="s">
        <v>5</v>
      </c>
      <c r="U22" s="1386">
        <f>H22</f>
        <v>100</v>
      </c>
      <c r="V22" s="1385" t="s">
        <v>5</v>
      </c>
      <c r="W22" s="1386">
        <f>J22</f>
        <v>100</v>
      </c>
      <c r="X22" s="1379"/>
      <c r="Y22" s="3866"/>
      <c r="Z22" s="1387" t="str">
        <f>Q22</f>
        <v>楼层</v>
      </c>
      <c r="AA22" s="1388">
        <f t="shared" si="3"/>
        <v>1</v>
      </c>
      <c r="AB22" s="1388">
        <f t="shared" si="4"/>
        <v>1</v>
      </c>
      <c r="AC22" s="1388">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4"/>
      <c r="M23" s="1856"/>
      <c r="N23" s="1856"/>
      <c r="O23" s="1863"/>
      <c r="P23" s="3866"/>
      <c r="Q23" s="1384">
        <f>B23</f>
        <v>111</v>
      </c>
      <c r="R23" s="1385" t="s">
        <v>5</v>
      </c>
      <c r="S23" s="1386">
        <f>F23</f>
        <v>100</v>
      </c>
      <c r="T23" s="1385" t="s">
        <v>5</v>
      </c>
      <c r="U23" s="1386">
        <f>H23</f>
        <v>100</v>
      </c>
      <c r="V23" s="1385" t="s">
        <v>5</v>
      </c>
      <c r="W23" s="1386">
        <f>J23</f>
        <v>100</v>
      </c>
      <c r="X23" s="1379"/>
      <c r="Y23" s="3866"/>
      <c r="Z23" s="1387">
        <f>Q23</f>
        <v>111</v>
      </c>
      <c r="AA23" s="1388">
        <f t="shared" si="3"/>
        <v>1</v>
      </c>
      <c r="AB23" s="1388">
        <f t="shared" si="4"/>
        <v>1</v>
      </c>
      <c r="AC23" s="1388">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4"/>
      <c r="M24" s="1856"/>
      <c r="N24" s="1856"/>
      <c r="O24" s="1863"/>
      <c r="P24" s="3866"/>
      <c r="Q24" s="1384">
        <f t="shared" ref="Q24:Q34" si="8">B24</f>
        <v>111</v>
      </c>
      <c r="R24" s="1385" t="s">
        <v>5</v>
      </c>
      <c r="S24" s="1386">
        <f>F24</f>
        <v>100</v>
      </c>
      <c r="T24" s="1385" t="s">
        <v>5</v>
      </c>
      <c r="U24" s="1386">
        <f>H24</f>
        <v>100</v>
      </c>
      <c r="V24" s="1385" t="s">
        <v>5</v>
      </c>
      <c r="W24" s="1386">
        <f>J24</f>
        <v>100</v>
      </c>
      <c r="X24" s="1379"/>
      <c r="Y24" s="3866"/>
      <c r="Z24" s="1387">
        <f>Q24</f>
        <v>111</v>
      </c>
      <c r="AA24" s="1388">
        <f t="shared" si="3"/>
        <v>1</v>
      </c>
      <c r="AB24" s="1388">
        <f t="shared" si="4"/>
        <v>1</v>
      </c>
      <c r="AC24" s="1388">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7"/>
      <c r="M25" s="1858"/>
      <c r="N25" s="1858"/>
      <c r="O25" s="1859"/>
      <c r="P25" s="3866"/>
      <c r="Q25" s="1049">
        <f t="shared" si="8"/>
        <v>111</v>
      </c>
      <c r="R25" s="1380" t="s">
        <v>5</v>
      </c>
      <c r="S25" s="1381">
        <f>F25</f>
        <v>100</v>
      </c>
      <c r="T25" s="1380" t="s">
        <v>5</v>
      </c>
      <c r="U25" s="1381">
        <f>H25</f>
        <v>100</v>
      </c>
      <c r="V25" s="1380" t="s">
        <v>5</v>
      </c>
      <c r="W25" s="1381">
        <f>J25</f>
        <v>100</v>
      </c>
      <c r="X25" s="1382"/>
      <c r="Y25" s="3866"/>
      <c r="Z25" s="1048">
        <f>Q25</f>
        <v>111</v>
      </c>
      <c r="AA25" s="1388">
        <f>D25/F25</f>
        <v>1</v>
      </c>
      <c r="AB25" s="1388">
        <f>D25/H25</f>
        <v>1</v>
      </c>
      <c r="AC25" s="1388">
        <f>D25/J25</f>
        <v>1</v>
      </c>
    </row>
    <row r="26" spans="1:29" ht="15">
      <c r="A26" s="2386" t="s">
        <v>2037</v>
      </c>
      <c r="B26" s="165" t="s">
        <v>748</v>
      </c>
      <c r="C26" s="878"/>
      <c r="D26" s="566">
        <v>100</v>
      </c>
      <c r="E26" s="878"/>
      <c r="F26" s="905">
        <f>SUMIF(77:77,E26,78:78)-SUMIF(77:77,C26,78:78)+100</f>
        <v>100</v>
      </c>
      <c r="G26" s="878"/>
      <c r="H26" s="566">
        <f>SUMIF(77:77,G26,78:78)-SUMIF(77:77,C26,78:78)+100</f>
        <v>100</v>
      </c>
      <c r="I26" s="878"/>
      <c r="J26" s="566">
        <f>SUMIF(77:77,I26,78:78)-SUMIF(77:77,C26,78:78)+100</f>
        <v>100</v>
      </c>
      <c r="K26" s="553"/>
      <c r="L26" s="1864"/>
      <c r="M26" s="1856"/>
      <c r="N26" s="1856"/>
      <c r="O26" s="1863"/>
      <c r="P26" s="386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68" t="s">
        <v>761</v>
      </c>
      <c r="Z26" s="1387" t="str">
        <f t="shared" ref="Z26:Z34" si="12">Q26</f>
        <v>公共部分装修</v>
      </c>
      <c r="AA26" s="1388">
        <f t="shared" si="3"/>
        <v>1</v>
      </c>
      <c r="AB26" s="1388">
        <f t="shared" si="4"/>
        <v>1</v>
      </c>
      <c r="AC26" s="1388">
        <f t="shared" si="5"/>
        <v>1</v>
      </c>
    </row>
    <row r="27" spans="1:29" s="1199" customFormat="1" ht="15">
      <c r="A27" s="572"/>
      <c r="B27" s="496" t="s">
        <v>749</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2"/>
      <c r="M27" s="1892"/>
      <c r="N27" s="1892"/>
      <c r="O27" s="1865"/>
      <c r="P27" s="3868"/>
      <c r="Q27" s="1413" t="str">
        <f t="shared" si="8"/>
        <v>成新率</v>
      </c>
      <c r="R27" s="1389" t="s">
        <v>5</v>
      </c>
      <c r="S27" s="1390" t="e">
        <f t="shared" si="9"/>
        <v>#N/A</v>
      </c>
      <c r="T27" s="1389" t="s">
        <v>5</v>
      </c>
      <c r="U27" s="1390" t="e">
        <f t="shared" si="10"/>
        <v>#N/A</v>
      </c>
      <c r="V27" s="1389" t="s">
        <v>5</v>
      </c>
      <c r="W27" s="1390" t="e">
        <f t="shared" si="11"/>
        <v>#N/A</v>
      </c>
      <c r="X27" s="1391"/>
      <c r="Y27" s="3868"/>
      <c r="Z27" s="1392" t="str">
        <f t="shared" si="12"/>
        <v>成新率</v>
      </c>
      <c r="AA27" s="1388" t="e">
        <f t="shared" si="3"/>
        <v>#N/A</v>
      </c>
      <c r="AB27" s="1388" t="e">
        <f t="shared" si="4"/>
        <v>#N/A</v>
      </c>
      <c r="AC27" s="1388"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4"/>
      <c r="M28" s="1856"/>
      <c r="N28" s="1856"/>
      <c r="O28" s="1863"/>
      <c r="P28" s="3868"/>
      <c r="Q28" s="1384" t="str">
        <f t="shared" si="8"/>
        <v>物业等级</v>
      </c>
      <c r="R28" s="1385" t="s">
        <v>5</v>
      </c>
      <c r="S28" s="1386">
        <f t="shared" si="9"/>
        <v>100</v>
      </c>
      <c r="T28" s="1385" t="s">
        <v>5</v>
      </c>
      <c r="U28" s="1386">
        <f t="shared" si="10"/>
        <v>100</v>
      </c>
      <c r="V28" s="1385" t="s">
        <v>5</v>
      </c>
      <c r="W28" s="1386">
        <f t="shared" si="11"/>
        <v>100</v>
      </c>
      <c r="X28" s="1379"/>
      <c r="Y28" s="3868"/>
      <c r="Z28" s="1387" t="str">
        <f t="shared" si="12"/>
        <v>物业等级</v>
      </c>
      <c r="AA28" s="1388">
        <f t="shared" si="3"/>
        <v>1</v>
      </c>
      <c r="AB28" s="1388">
        <f t="shared" si="4"/>
        <v>1</v>
      </c>
      <c r="AC28" s="1388">
        <f t="shared" si="5"/>
        <v>1</v>
      </c>
    </row>
    <row r="29" spans="1:29" ht="15">
      <c r="A29" s="563"/>
      <c r="B29" s="496" t="s">
        <v>762</v>
      </c>
      <c r="C29" s="894"/>
      <c r="D29" s="509">
        <v>100</v>
      </c>
      <c r="E29" s="894"/>
      <c r="F29" s="544">
        <f>SUMIF(84:84,E29,85:85)-SUMIF(84:84,C29,85:85)+100</f>
        <v>100</v>
      </c>
      <c r="G29" s="894"/>
      <c r="H29" s="509">
        <f>SUMIF(84:84,G29,85:85)-SUMIF(84:84,C29,85:85)+100</f>
        <v>100</v>
      </c>
      <c r="I29" s="894"/>
      <c r="J29" s="509">
        <f>SUMIF(84:84,I29,85:85)-SUMIF(84:84,C29,85:85)+100</f>
        <v>100</v>
      </c>
      <c r="K29" s="553"/>
      <c r="L29" s="1864"/>
      <c r="M29" s="1856"/>
      <c r="N29" s="1856"/>
      <c r="O29" s="1863"/>
      <c r="P29" s="3868"/>
      <c r="Q29" s="1384" t="str">
        <f t="shared" si="8"/>
        <v>有无电梯</v>
      </c>
      <c r="R29" s="1385" t="s">
        <v>5</v>
      </c>
      <c r="S29" s="1386">
        <f t="shared" si="9"/>
        <v>100</v>
      </c>
      <c r="T29" s="1385" t="s">
        <v>5</v>
      </c>
      <c r="U29" s="1386">
        <f t="shared" si="10"/>
        <v>100</v>
      </c>
      <c r="V29" s="1385" t="s">
        <v>5</v>
      </c>
      <c r="W29" s="1386">
        <f t="shared" si="11"/>
        <v>100</v>
      </c>
      <c r="X29" s="1379"/>
      <c r="Y29" s="3868"/>
      <c r="Z29" s="1387" t="str">
        <f t="shared" si="12"/>
        <v>有无电梯</v>
      </c>
      <c r="AA29" s="1388">
        <f t="shared" si="3"/>
        <v>1</v>
      </c>
      <c r="AB29" s="1388">
        <f t="shared" si="4"/>
        <v>1</v>
      </c>
      <c r="AC29" s="1388">
        <f t="shared" si="5"/>
        <v>1</v>
      </c>
    </row>
    <row r="30" spans="1:29" ht="15">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4"/>
      <c r="M30" s="1856"/>
      <c r="N30" s="1856"/>
      <c r="O30" s="1863"/>
      <c r="P30" s="3868"/>
      <c r="Q30" s="1384" t="str">
        <f t="shared" si="8"/>
        <v>建筑面积</v>
      </c>
      <c r="R30" s="1385" t="s">
        <v>5</v>
      </c>
      <c r="S30" s="1386" t="e">
        <f t="shared" si="9"/>
        <v>#N/A</v>
      </c>
      <c r="T30" s="1385" t="s">
        <v>5</v>
      </c>
      <c r="U30" s="1386" t="e">
        <f t="shared" si="10"/>
        <v>#N/A</v>
      </c>
      <c r="V30" s="1385" t="s">
        <v>5</v>
      </c>
      <c r="W30" s="1386" t="e">
        <f t="shared" si="11"/>
        <v>#N/A</v>
      </c>
      <c r="X30" s="1379"/>
      <c r="Y30" s="3868"/>
      <c r="Z30" s="1387" t="str">
        <f t="shared" si="12"/>
        <v>建筑面积</v>
      </c>
      <c r="AA30" s="1388" t="e">
        <f t="shared" si="3"/>
        <v>#N/A</v>
      </c>
      <c r="AB30" s="1388" t="e">
        <f t="shared" si="4"/>
        <v>#N/A</v>
      </c>
      <c r="AC30" s="1388" t="e">
        <f t="shared" si="5"/>
        <v>#N/A</v>
      </c>
    </row>
    <row r="31" spans="1:29" s="1117" customFormat="1" ht="15">
      <c r="A31" s="569"/>
      <c r="B31" s="496" t="s">
        <v>764</v>
      </c>
      <c r="C31" s="894"/>
      <c r="D31" s="245">
        <v>100</v>
      </c>
      <c r="E31" s="894"/>
      <c r="F31" s="544">
        <f>SUMIF(89:89,E31,90:90)-SUMIF(89:89,C31,90:90)+100</f>
        <v>100</v>
      </c>
      <c r="G31" s="894"/>
      <c r="H31" s="509">
        <f>SUMIF(89:89,G31,90:90)-SUMIF(89:89,C31,90:90)+100</f>
        <v>100</v>
      </c>
      <c r="I31" s="894"/>
      <c r="J31" s="509">
        <f>SUMIF(89:89,I31,90:90)-SUMIF(89:89,C31,90:90)+100</f>
        <v>100</v>
      </c>
      <c r="K31" s="553"/>
      <c r="L31" s="1857"/>
      <c r="M31" s="1858"/>
      <c r="N31" s="1858"/>
      <c r="O31" s="1859"/>
      <c r="P31" s="3868"/>
      <c r="Q31" s="1049" t="str">
        <f t="shared" si="8"/>
        <v>是否封闭</v>
      </c>
      <c r="R31" s="1380" t="s">
        <v>5</v>
      </c>
      <c r="S31" s="1381">
        <f t="shared" si="9"/>
        <v>100</v>
      </c>
      <c r="T31" s="1380" t="s">
        <v>5</v>
      </c>
      <c r="U31" s="1381">
        <f t="shared" si="10"/>
        <v>100</v>
      </c>
      <c r="V31" s="1380" t="s">
        <v>5</v>
      </c>
      <c r="W31" s="1381">
        <f t="shared" si="11"/>
        <v>100</v>
      </c>
      <c r="X31" s="1382"/>
      <c r="Y31" s="3868"/>
      <c r="Z31" s="1048" t="str">
        <f t="shared" si="12"/>
        <v>是否封闭</v>
      </c>
      <c r="AA31" s="1383">
        <f t="shared" si="3"/>
        <v>1</v>
      </c>
      <c r="AB31" s="1383">
        <f t="shared" si="4"/>
        <v>1</v>
      </c>
      <c r="AC31" s="1383">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4"/>
      <c r="M32" s="1856"/>
      <c r="N32" s="1856"/>
      <c r="O32" s="1863"/>
      <c r="P32" s="3868" t="s">
        <v>499</v>
      </c>
      <c r="Q32" s="1384">
        <f t="shared" si="8"/>
        <v>111</v>
      </c>
      <c r="R32" s="1385" t="s">
        <v>5</v>
      </c>
      <c r="S32" s="1386">
        <f t="shared" si="9"/>
        <v>100</v>
      </c>
      <c r="T32" s="1385" t="s">
        <v>5</v>
      </c>
      <c r="U32" s="1386">
        <f t="shared" si="10"/>
        <v>100</v>
      </c>
      <c r="V32" s="1385" t="s">
        <v>5</v>
      </c>
      <c r="W32" s="1386">
        <f t="shared" si="11"/>
        <v>100</v>
      </c>
      <c r="X32" s="1379"/>
      <c r="Y32" s="3868" t="s">
        <v>499</v>
      </c>
      <c r="Z32" s="1387">
        <f t="shared" si="12"/>
        <v>111</v>
      </c>
      <c r="AA32" s="1388">
        <f t="shared" si="3"/>
        <v>1</v>
      </c>
      <c r="AB32" s="1388">
        <f t="shared" si="4"/>
        <v>1</v>
      </c>
      <c r="AC32" s="1388">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4"/>
      <c r="M33" s="1856"/>
      <c r="N33" s="1856"/>
      <c r="O33" s="1863"/>
      <c r="P33" s="3868"/>
      <c r="Q33" s="1384">
        <f t="shared" si="8"/>
        <v>111</v>
      </c>
      <c r="R33" s="1385" t="s">
        <v>5</v>
      </c>
      <c r="S33" s="1386">
        <f t="shared" si="9"/>
        <v>100</v>
      </c>
      <c r="T33" s="1385" t="s">
        <v>5</v>
      </c>
      <c r="U33" s="1386">
        <f t="shared" si="10"/>
        <v>100</v>
      </c>
      <c r="V33" s="1385" t="s">
        <v>5</v>
      </c>
      <c r="W33" s="1386">
        <f t="shared" si="11"/>
        <v>100</v>
      </c>
      <c r="X33" s="1379"/>
      <c r="Y33" s="3868"/>
      <c r="Z33" s="1387">
        <f t="shared" si="12"/>
        <v>111</v>
      </c>
      <c r="AA33" s="1388">
        <f t="shared" si="3"/>
        <v>1</v>
      </c>
      <c r="AB33" s="1388">
        <f t="shared" si="4"/>
        <v>1</v>
      </c>
      <c r="AC33" s="1388">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4"/>
      <c r="M34" s="1856"/>
      <c r="N34" s="1856"/>
      <c r="O34" s="1863"/>
      <c r="P34" s="3868"/>
      <c r="Q34" s="1384">
        <f t="shared" si="8"/>
        <v>111</v>
      </c>
      <c r="R34" s="1385" t="s">
        <v>5</v>
      </c>
      <c r="S34" s="1386">
        <f t="shared" si="9"/>
        <v>100</v>
      </c>
      <c r="T34" s="1385" t="s">
        <v>5</v>
      </c>
      <c r="U34" s="1386">
        <f t="shared" si="10"/>
        <v>100</v>
      </c>
      <c r="V34" s="1385" t="s">
        <v>5</v>
      </c>
      <c r="W34" s="1386">
        <f t="shared" si="11"/>
        <v>100</v>
      </c>
      <c r="X34" s="1379"/>
      <c r="Y34" s="3868"/>
      <c r="Z34" s="1387">
        <f t="shared" si="12"/>
        <v>111</v>
      </c>
      <c r="AA34" s="1388">
        <f t="shared" si="3"/>
        <v>1</v>
      </c>
      <c r="AB34" s="1388">
        <f t="shared" si="4"/>
        <v>1</v>
      </c>
      <c r="AC34" s="1388">
        <f t="shared" si="5"/>
        <v>1</v>
      </c>
    </row>
    <row r="35" spans="1:29" ht="15">
      <c r="A35" s="576" t="s">
        <v>683</v>
      </c>
      <c r="B35" s="849"/>
      <c r="C35" s="2233" t="s">
        <v>0</v>
      </c>
      <c r="D35" s="2234"/>
      <c r="E35" s="2235"/>
      <c r="F35" s="2236"/>
      <c r="G35" s="2237"/>
      <c r="H35" s="2238"/>
      <c r="I35" s="2235"/>
      <c r="J35" s="2238"/>
      <c r="K35" s="1418"/>
      <c r="L35" s="1866"/>
      <c r="M35" s="1867"/>
      <c r="N35" s="1856"/>
      <c r="O35" s="1867"/>
      <c r="P35" s="3863" t="str">
        <f>A35</f>
        <v>成交单价（元/平方米）</v>
      </c>
      <c r="Q35" s="3863"/>
      <c r="R35" s="3975">
        <f>E35</f>
        <v>0</v>
      </c>
      <c r="S35" s="3975"/>
      <c r="T35" s="3975">
        <f>G35</f>
        <v>0</v>
      </c>
      <c r="U35" s="3975"/>
      <c r="V35" s="3975">
        <f>I35</f>
        <v>0</v>
      </c>
      <c r="W35" s="3975"/>
      <c r="X35" s="1374"/>
      <c r="Y35" s="1393"/>
      <c r="Z35" s="1374"/>
      <c r="AA35" s="1374"/>
      <c r="AB35" s="1374"/>
      <c r="AC35" s="1374"/>
    </row>
    <row r="36" spans="1:29" ht="15.75" thickBot="1">
      <c r="A36" s="584" t="s">
        <v>2042</v>
      </c>
      <c r="B36" s="850"/>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863" t="str">
        <f>A36</f>
        <v>比较价格（元/平方米）</v>
      </c>
      <c r="Q36" s="3863"/>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1374"/>
      <c r="Y36" s="1374"/>
      <c r="Z36" s="1374"/>
      <c r="AA36" s="1374"/>
      <c r="AB36" s="1374"/>
      <c r="AC36" s="1374"/>
    </row>
    <row r="37" spans="1:29" ht="15.75" thickBot="1">
      <c r="A37" s="588" t="s">
        <v>2198</v>
      </c>
      <c r="B37" s="589"/>
      <c r="C37" s="2241" t="e">
        <f>R37</f>
        <v>#DIV/0!</v>
      </c>
      <c r="D37" s="2241"/>
      <c r="E37" s="2241"/>
      <c r="F37" s="2241"/>
      <c r="G37" s="2241"/>
      <c r="H37" s="2241"/>
      <c r="I37" s="2241"/>
      <c r="J37" s="2241"/>
      <c r="K37" s="1419"/>
      <c r="L37" s="1866"/>
      <c r="M37" s="1867"/>
      <c r="N37" s="1867"/>
      <c r="O37" s="1867"/>
      <c r="P37" s="3869" t="str">
        <f>A37</f>
        <v>估价对象XX用房的比较价格（楼面单价，元/平方米）</v>
      </c>
      <c r="Q37" s="3870"/>
      <c r="R37" s="3974" t="e">
        <f>IF(F1="售价",ROUND(IF(D36="简单平均",AVERAGE(R36:W36),R36*F36+T36*H36+V36*J36),0),ROUND(IF(D36="简单平均",AVERAGE(R36:V36),R36*F36+T36*H36+V36*J36),1))</f>
        <v>#DIV/0!</v>
      </c>
      <c r="S37" s="3974"/>
      <c r="T37" s="3974"/>
      <c r="U37" s="3974"/>
      <c r="V37" s="3974"/>
      <c r="W37" s="3974"/>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2" t="s">
        <v>478</v>
      </c>
      <c r="B46" s="613"/>
      <c r="C46" s="2281" t="str">
        <f>YEAR(C7)&amp;"-"&amp;MONTH(C7)</f>
        <v>2024-3</v>
      </c>
      <c r="D46" s="2283">
        <f>EDATE(C46,-1)</f>
        <v>45323</v>
      </c>
      <c r="E46" s="2283">
        <f t="shared" ref="E46:O46" si="13">EDATE(D46,-1)</f>
        <v>45292</v>
      </c>
      <c r="F46" s="2283">
        <f t="shared" si="13"/>
        <v>45261</v>
      </c>
      <c r="G46" s="2283">
        <f t="shared" si="13"/>
        <v>45231</v>
      </c>
      <c r="H46" s="2283">
        <f t="shared" si="13"/>
        <v>45200</v>
      </c>
      <c r="I46" s="2283">
        <f t="shared" si="13"/>
        <v>45170</v>
      </c>
      <c r="J46" s="2283">
        <f t="shared" si="13"/>
        <v>45139</v>
      </c>
      <c r="K46" s="2283">
        <f t="shared" si="13"/>
        <v>45108</v>
      </c>
      <c r="L46" s="2283">
        <f t="shared" si="13"/>
        <v>45078</v>
      </c>
      <c r="M46" s="2283">
        <f t="shared" si="13"/>
        <v>45047</v>
      </c>
      <c r="N46" s="2283">
        <f t="shared" si="13"/>
        <v>45017</v>
      </c>
      <c r="O46" s="2283">
        <f t="shared" si="13"/>
        <v>44986</v>
      </c>
      <c r="P46" s="1881"/>
      <c r="Q46" s="1882"/>
      <c r="R46" s="1882"/>
      <c r="S46" s="1882"/>
      <c r="T46" s="1882"/>
      <c r="U46" s="1882"/>
      <c r="V46" s="1882"/>
      <c r="W46" s="1882"/>
      <c r="X46" s="1882"/>
      <c r="Y46" s="1882"/>
      <c r="Z46" s="1882"/>
      <c r="AA46" s="1882"/>
      <c r="AB46" s="1882"/>
      <c r="AC46" s="1882"/>
    </row>
    <row r="47" spans="1:29" s="1117" customFormat="1" ht="15">
      <c r="A47" s="614"/>
      <c r="B47" s="615"/>
      <c r="C47" s="616">
        <v>100</v>
      </c>
      <c r="D47" s="617"/>
      <c r="E47" s="617"/>
      <c r="F47" s="617"/>
      <c r="G47" s="617"/>
      <c r="H47" s="617"/>
      <c r="I47" s="617"/>
      <c r="J47" s="617"/>
      <c r="K47" s="617"/>
      <c r="L47" s="617"/>
      <c r="M47" s="618"/>
      <c r="N47" s="617"/>
      <c r="O47" s="619"/>
      <c r="P47" s="1879"/>
      <c r="Q47" s="1745"/>
      <c r="R47" s="1745"/>
      <c r="S47" s="1745"/>
      <c r="T47" s="1745"/>
      <c r="U47" s="1745"/>
      <c r="V47" s="1745"/>
      <c r="W47" s="1745"/>
      <c r="X47" s="1745"/>
      <c r="Y47" s="1745"/>
      <c r="Z47" s="1745"/>
      <c r="AA47" s="1745"/>
      <c r="AB47" s="1745"/>
      <c r="AC47" s="1745"/>
    </row>
    <row r="48" spans="1:29" s="1117" customFormat="1" ht="15.75" thickBot="1">
      <c r="A48" s="620" t="s">
        <v>523</v>
      </c>
      <c r="B48" s="621"/>
      <c r="C48" s="622"/>
      <c r="D48" s="623"/>
      <c r="E48" s="623"/>
      <c r="F48" s="623"/>
      <c r="G48" s="623"/>
      <c r="H48" s="623"/>
      <c r="I48" s="623"/>
      <c r="J48" s="623"/>
      <c r="K48" s="623"/>
      <c r="L48" s="623"/>
      <c r="M48" s="624"/>
      <c r="N48" s="623"/>
      <c r="O48" s="625"/>
      <c r="P48" s="1879"/>
      <c r="Q48" s="1879"/>
      <c r="R48" s="1745"/>
      <c r="S48" s="1745"/>
      <c r="T48" s="1745"/>
      <c r="U48" s="1745"/>
      <c r="V48" s="1745"/>
      <c r="W48" s="1745"/>
      <c r="X48" s="1745"/>
      <c r="Y48" s="1745"/>
      <c r="Z48" s="1745"/>
      <c r="AA48" s="1745"/>
      <c r="AB48" s="1745"/>
      <c r="AC48" s="1745"/>
    </row>
    <row r="49" spans="1:29" s="1117" customFormat="1" ht="15">
      <c r="A49" s="626" t="s">
        <v>480</v>
      </c>
      <c r="B49" s="615"/>
      <c r="C49" s="627" t="s">
        <v>524</v>
      </c>
      <c r="D49" s="628"/>
      <c r="E49" s="628"/>
      <c r="F49" s="628"/>
      <c r="G49" s="628"/>
      <c r="H49" s="628"/>
      <c r="I49" s="628"/>
      <c r="J49" s="628"/>
      <c r="K49" s="628"/>
      <c r="L49" s="629"/>
      <c r="M49" s="630"/>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6"/>
      <c r="B50" s="615"/>
      <c r="C50" s="616">
        <v>100</v>
      </c>
      <c r="D50" s="617"/>
      <c r="E50" s="617"/>
      <c r="F50" s="617"/>
      <c r="G50" s="617"/>
      <c r="H50" s="617"/>
      <c r="I50" s="617"/>
      <c r="J50" s="617"/>
      <c r="K50" s="617"/>
      <c r="L50" s="617"/>
      <c r="M50" s="619"/>
      <c r="N50" s="1883"/>
      <c r="O50" s="1883"/>
      <c r="P50" s="1879"/>
      <c r="Q50" s="1879"/>
      <c r="R50" s="1745"/>
      <c r="S50" s="1745"/>
      <c r="T50" s="1745"/>
      <c r="U50" s="1745"/>
      <c r="V50" s="1745"/>
      <c r="W50" s="1745"/>
      <c r="X50" s="1745"/>
      <c r="Y50" s="1745"/>
      <c r="Z50" s="1745"/>
      <c r="AA50" s="1745"/>
      <c r="AB50" s="1745"/>
      <c r="AC50" s="1745"/>
    </row>
    <row r="51" spans="1:29">
      <c r="A51" s="631" t="s">
        <v>525</v>
      </c>
      <c r="B51" s="632" t="s">
        <v>483</v>
      </c>
      <c r="C51" s="671">
        <f>C9</f>
        <v>0</v>
      </c>
      <c r="D51" s="567"/>
      <c r="E51" s="567"/>
      <c r="F51" s="567"/>
      <c r="G51" s="567"/>
      <c r="H51" s="567"/>
      <c r="I51" s="567"/>
      <c r="J51" s="567"/>
      <c r="K51" s="633"/>
      <c r="L51" s="634"/>
      <c r="M51" s="635"/>
      <c r="N51" s="1885"/>
      <c r="O51" s="1885"/>
      <c r="P51" s="1886"/>
      <c r="Q51" s="1879"/>
      <c r="R51" s="1867"/>
      <c r="S51" s="1867"/>
      <c r="T51" s="1867"/>
      <c r="U51" s="1867"/>
      <c r="V51" s="1867"/>
      <c r="W51" s="1867"/>
      <c r="X51" s="1867"/>
      <c r="Y51" s="1867"/>
      <c r="Z51" s="1867"/>
      <c r="AA51" s="1867"/>
      <c r="AB51" s="1867"/>
      <c r="AC51" s="1867"/>
    </row>
    <row r="52" spans="1:29" ht="15.75" thickBot="1">
      <c r="A52" s="636"/>
      <c r="B52" s="637"/>
      <c r="C52" s="638">
        <v>100</v>
      </c>
      <c r="D52" s="638"/>
      <c r="E52" s="638"/>
      <c r="F52" s="638"/>
      <c r="G52" s="638"/>
      <c r="H52" s="638"/>
      <c r="I52" s="638"/>
      <c r="J52" s="638"/>
      <c r="K52" s="638"/>
      <c r="L52" s="638"/>
      <c r="M52" s="639"/>
      <c r="N52" s="1887"/>
      <c r="O52" s="1887"/>
      <c r="P52" s="1886"/>
      <c r="Q52" s="1879"/>
      <c r="R52" s="1867"/>
      <c r="S52" s="1867"/>
      <c r="T52" s="1867"/>
      <c r="U52" s="1867"/>
      <c r="V52" s="1867"/>
      <c r="W52" s="1867"/>
      <c r="X52" s="1867"/>
      <c r="Y52" s="1867"/>
      <c r="Z52" s="1867"/>
      <c r="AA52" s="1867"/>
      <c r="AB52" s="1867"/>
      <c r="AC52" s="1867"/>
    </row>
    <row r="53" spans="1:29" ht="27.75" thickTop="1">
      <c r="A53" s="636"/>
      <c r="B53" s="640" t="s">
        <v>486</v>
      </c>
      <c r="C53" s="685"/>
      <c r="D53" s="685"/>
      <c r="E53" s="685"/>
      <c r="F53" s="685"/>
      <c r="G53" s="685"/>
      <c r="H53" s="685"/>
      <c r="I53" s="685"/>
      <c r="J53" s="685"/>
      <c r="K53" s="686"/>
      <c r="L53" s="687"/>
      <c r="M53" s="688"/>
      <c r="N53" s="1885"/>
      <c r="O53" s="1885"/>
      <c r="P53" s="1886"/>
      <c r="Q53" s="1879"/>
      <c r="R53" s="1867"/>
      <c r="S53" s="1867"/>
      <c r="T53" s="1867"/>
      <c r="U53" s="1867"/>
      <c r="V53" s="1867"/>
      <c r="W53" s="1867"/>
      <c r="X53" s="1867"/>
      <c r="Y53" s="1867"/>
      <c r="Z53" s="1867"/>
      <c r="AA53" s="1867"/>
      <c r="AB53" s="1867"/>
      <c r="AC53" s="1867"/>
    </row>
    <row r="54" spans="1:29" ht="15.75" thickBot="1">
      <c r="A54" s="636"/>
      <c r="B54" s="645"/>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15.75" thickTop="1">
      <c r="A55" s="636"/>
      <c r="B55" s="897">
        <f>B11</f>
        <v>111</v>
      </c>
      <c r="C55" s="510"/>
      <c r="D55" s="510"/>
      <c r="E55" s="510"/>
      <c r="F55" s="510"/>
      <c r="G55" s="510"/>
      <c r="H55" s="510"/>
      <c r="I55" s="510"/>
      <c r="J55" s="510"/>
      <c r="K55" s="651"/>
      <c r="L55" s="652"/>
      <c r="M55" s="653"/>
      <c r="N55" s="1885"/>
      <c r="O55" s="1885"/>
      <c r="P55" s="1886"/>
      <c r="Q55" s="1879"/>
      <c r="R55" s="1867"/>
      <c r="S55" s="1867"/>
      <c r="T55" s="1867"/>
      <c r="U55" s="1867"/>
      <c r="V55" s="1867"/>
      <c r="W55" s="1867"/>
      <c r="X55" s="1867"/>
      <c r="Y55" s="1867"/>
      <c r="Z55" s="1867"/>
      <c r="AA55" s="1867"/>
      <c r="AB55" s="1867"/>
      <c r="AC55" s="1867"/>
    </row>
    <row r="56" spans="1:29" ht="15.75" thickBot="1">
      <c r="A56" s="636"/>
      <c r="B56" s="637"/>
      <c r="C56" s="659"/>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4"/>
      <c r="B57" s="640">
        <f>B12</f>
        <v>111</v>
      </c>
      <c r="C57" s="510"/>
      <c r="D57" s="510"/>
      <c r="E57" s="510"/>
      <c r="F57" s="510"/>
      <c r="G57" s="655"/>
      <c r="H57" s="656"/>
      <c r="I57" s="656"/>
      <c r="J57" s="656"/>
      <c r="K57" s="656"/>
      <c r="L57" s="657"/>
      <c r="M57" s="658"/>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4"/>
      <c r="B58" s="645"/>
      <c r="C58" s="659"/>
      <c r="D58" s="638"/>
      <c r="E58" s="638"/>
      <c r="F58" s="638"/>
      <c r="G58" s="638"/>
      <c r="H58" s="638"/>
      <c r="I58" s="638"/>
      <c r="J58" s="638"/>
      <c r="K58" s="638"/>
      <c r="L58" s="638"/>
      <c r="M58" s="639"/>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4"/>
      <c r="B59" s="640">
        <f>B13</f>
        <v>111</v>
      </c>
      <c r="C59" s="510"/>
      <c r="D59" s="510"/>
      <c r="E59" s="510"/>
      <c r="F59" s="510"/>
      <c r="G59" s="655"/>
      <c r="H59" s="656"/>
      <c r="I59" s="656"/>
      <c r="J59" s="656"/>
      <c r="K59" s="656"/>
      <c r="L59" s="657"/>
      <c r="M59" s="658"/>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4"/>
      <c r="B60" s="645"/>
      <c r="C60" s="659"/>
      <c r="D60" s="659"/>
      <c r="E60" s="659"/>
      <c r="F60" s="659"/>
      <c r="G60" s="659"/>
      <c r="H60" s="660"/>
      <c r="I60" s="660"/>
      <c r="J60" s="660"/>
      <c r="K60" s="660"/>
      <c r="L60" s="660"/>
      <c r="M60" s="661"/>
      <c r="N60" s="1888"/>
      <c r="O60" s="1888"/>
      <c r="P60" s="1889"/>
      <c r="Q60" s="1890"/>
      <c r="R60" s="1891"/>
      <c r="S60" s="1891"/>
      <c r="T60" s="1891"/>
      <c r="U60" s="1891"/>
      <c r="V60" s="1891"/>
      <c r="W60" s="1891"/>
      <c r="X60" s="1891"/>
      <c r="Y60" s="1891"/>
      <c r="Z60" s="1891"/>
      <c r="AA60" s="1891"/>
      <c r="AB60" s="1891"/>
      <c r="AC60" s="1891"/>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5"/>
      <c r="O61" s="1885"/>
      <c r="P61" s="1895"/>
      <c r="Q61" s="1879"/>
      <c r="R61" s="1867"/>
      <c r="S61" s="1867"/>
      <c r="T61" s="1867"/>
      <c r="U61" s="1867"/>
      <c r="V61" s="1867"/>
      <c r="W61" s="1867"/>
      <c r="X61" s="1867"/>
      <c r="Y61" s="1867"/>
      <c r="Z61" s="1867"/>
      <c r="AA61" s="1867"/>
      <c r="AB61" s="1867"/>
      <c r="AC61" s="1867"/>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7"/>
      <c r="O62" s="1887"/>
      <c r="P62" s="1886"/>
      <c r="Q62" s="1879"/>
      <c r="R62" s="1867"/>
      <c r="S62" s="1867"/>
      <c r="T62" s="1867"/>
      <c r="U62" s="1867"/>
      <c r="V62" s="1867"/>
      <c r="W62" s="1867"/>
      <c r="X62" s="1867"/>
      <c r="Y62" s="1867"/>
      <c r="Z62" s="1867"/>
      <c r="AA62" s="1867"/>
      <c r="AB62" s="1867"/>
      <c r="AC62" s="1867"/>
    </row>
    <row r="63" spans="1:29" ht="15.75" thickTop="1">
      <c r="A63" s="636"/>
      <c r="B63" s="1651" t="s">
        <v>1840</v>
      </c>
      <c r="C63" s="675" t="s">
        <v>527</v>
      </c>
      <c r="D63" s="675" t="s">
        <v>528</v>
      </c>
      <c r="E63" s="675" t="s">
        <v>529</v>
      </c>
      <c r="F63" s="675" t="s">
        <v>530</v>
      </c>
      <c r="G63" s="675" t="s">
        <v>531</v>
      </c>
      <c r="H63" s="641"/>
      <c r="I63" s="641"/>
      <c r="J63" s="641"/>
      <c r="K63" s="642"/>
      <c r="L63" s="643"/>
      <c r="M63" s="644"/>
      <c r="N63" s="1885"/>
      <c r="O63" s="1885"/>
      <c r="P63" s="1886"/>
      <c r="Q63" s="1879"/>
      <c r="R63" s="1867"/>
      <c r="S63" s="1867"/>
      <c r="T63" s="1867"/>
      <c r="U63" s="1867"/>
      <c r="V63" s="1867"/>
      <c r="W63" s="1867"/>
      <c r="X63" s="1867"/>
      <c r="Y63" s="1867"/>
      <c r="Z63" s="1867"/>
      <c r="AA63" s="1867"/>
      <c r="AB63" s="1867"/>
      <c r="AC63" s="1867"/>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2204" t="s">
        <v>1841</v>
      </c>
      <c r="C65" s="2205" t="s">
        <v>1842</v>
      </c>
      <c r="D65" s="2205" t="s">
        <v>1843</v>
      </c>
      <c r="E65" s="2205" t="s">
        <v>1844</v>
      </c>
      <c r="F65" s="2205" t="s">
        <v>1845</v>
      </c>
      <c r="G65" s="2205" t="s">
        <v>1846</v>
      </c>
      <c r="H65" s="641"/>
      <c r="I65" s="641"/>
      <c r="J65" s="641"/>
      <c r="K65" s="641"/>
      <c r="L65" s="641"/>
      <c r="M65" s="2208"/>
      <c r="N65" s="1887"/>
      <c r="O65" s="1887"/>
      <c r="P65" s="1886"/>
      <c r="Q65" s="1879"/>
      <c r="R65" s="1867"/>
      <c r="S65" s="1867"/>
      <c r="T65" s="1867"/>
      <c r="U65" s="1867"/>
      <c r="V65" s="1867"/>
      <c r="W65" s="1867"/>
      <c r="X65" s="1867"/>
      <c r="Y65" s="1867"/>
      <c r="Z65" s="1867"/>
      <c r="AA65" s="1867"/>
      <c r="AB65" s="1867"/>
      <c r="AC65" s="1867"/>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7"/>
      <c r="O66" s="1887"/>
      <c r="P66" s="1886"/>
      <c r="Q66" s="1879"/>
      <c r="R66" s="1867"/>
      <c r="S66" s="1867"/>
      <c r="T66" s="1867"/>
      <c r="U66" s="1867"/>
      <c r="V66" s="1867"/>
      <c r="W66" s="1867"/>
      <c r="X66" s="1867"/>
      <c r="Y66" s="1867"/>
      <c r="Z66" s="1867"/>
      <c r="AA66" s="1867"/>
      <c r="AB66" s="1867"/>
      <c r="AC66" s="1867"/>
    </row>
    <row r="67" spans="1:29" ht="15.75" thickTop="1">
      <c r="A67" s="636"/>
      <c r="B67" s="640" t="s">
        <v>684</v>
      </c>
      <c r="C67" s="675" t="s">
        <v>527</v>
      </c>
      <c r="D67" s="675" t="s">
        <v>528</v>
      </c>
      <c r="E67" s="675" t="s">
        <v>529</v>
      </c>
      <c r="F67" s="675" t="s">
        <v>530</v>
      </c>
      <c r="G67" s="675" t="s">
        <v>531</v>
      </c>
      <c r="H67" s="641"/>
      <c r="I67" s="641"/>
      <c r="J67" s="641"/>
      <c r="K67" s="642"/>
      <c r="L67" s="643"/>
      <c r="M67" s="644"/>
      <c r="N67" s="1885"/>
      <c r="O67" s="1885"/>
      <c r="P67" s="1886"/>
      <c r="Q67" s="1879"/>
      <c r="R67" s="1867"/>
      <c r="S67" s="1867"/>
      <c r="T67" s="1867"/>
      <c r="U67" s="1867"/>
      <c r="V67" s="1867"/>
      <c r="W67" s="1867"/>
      <c r="X67" s="1867"/>
      <c r="Y67" s="1867"/>
      <c r="Z67" s="1867"/>
      <c r="AA67" s="1867"/>
      <c r="AB67" s="1867"/>
      <c r="AC67" s="1867"/>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685</v>
      </c>
      <c r="C69" s="655"/>
      <c r="D69" s="655"/>
      <c r="E69" s="655"/>
      <c r="F69" s="655"/>
      <c r="G69" s="655"/>
      <c r="H69" s="685"/>
      <c r="I69" s="685"/>
      <c r="J69" s="685"/>
      <c r="K69" s="686"/>
      <c r="L69" s="687"/>
      <c r="M69" s="688"/>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C70-$K22</f>
        <v>100</v>
      </c>
      <c r="E70" s="646"/>
      <c r="F70" s="646"/>
      <c r="G70" s="646"/>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6"/>
      <c r="B71" s="640">
        <f>B23</f>
        <v>111</v>
      </c>
      <c r="C71" s="510"/>
      <c r="D71" s="510"/>
      <c r="E71" s="510"/>
      <c r="F71" s="510"/>
      <c r="G71" s="655"/>
      <c r="H71" s="655"/>
      <c r="I71" s="655"/>
      <c r="J71" s="655"/>
      <c r="K71" s="655"/>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6"/>
      <c r="B72" s="645"/>
      <c r="C72" s="659"/>
      <c r="D72" s="638"/>
      <c r="E72" s="638"/>
      <c r="F72" s="638"/>
      <c r="G72" s="638"/>
      <c r="H72" s="638"/>
      <c r="I72" s="638"/>
      <c r="J72" s="638"/>
      <c r="K72" s="638"/>
      <c r="L72" s="638"/>
      <c r="M72" s="639"/>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6"/>
      <c r="B73" s="640">
        <f>B24</f>
        <v>111</v>
      </c>
      <c r="C73" s="510"/>
      <c r="D73" s="510"/>
      <c r="E73" s="510"/>
      <c r="F73" s="510"/>
      <c r="G73" s="655"/>
      <c r="H73" s="655"/>
      <c r="I73" s="655"/>
      <c r="J73" s="655"/>
      <c r="K73" s="655"/>
      <c r="L73" s="655"/>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4"/>
      <c r="B75" s="640">
        <f>B25</f>
        <v>111</v>
      </c>
      <c r="C75" s="510"/>
      <c r="D75" s="510"/>
      <c r="E75" s="510"/>
      <c r="F75" s="510"/>
      <c r="G75" s="655"/>
      <c r="H75" s="656"/>
      <c r="I75" s="656"/>
      <c r="J75" s="656"/>
      <c r="K75" s="656"/>
      <c r="L75" s="657"/>
      <c r="M75" s="658"/>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4"/>
      <c r="B76" s="645"/>
      <c r="C76" s="659"/>
      <c r="D76" s="659"/>
      <c r="E76" s="659"/>
      <c r="F76" s="659"/>
      <c r="G76" s="638"/>
      <c r="H76" s="638"/>
      <c r="I76" s="638"/>
      <c r="J76" s="638"/>
      <c r="K76" s="638"/>
      <c r="L76" s="638"/>
      <c r="M76" s="639"/>
      <c r="N76" s="1888"/>
      <c r="O76" s="1888"/>
      <c r="P76" s="1889"/>
      <c r="Q76" s="1890"/>
      <c r="R76" s="1891"/>
      <c r="S76" s="1891"/>
      <c r="T76" s="1891"/>
      <c r="U76" s="1891"/>
      <c r="V76" s="1891"/>
      <c r="W76" s="1891"/>
      <c r="X76" s="1891"/>
      <c r="Y76" s="1891"/>
      <c r="Z76" s="1891"/>
      <c r="AA76" s="1891"/>
      <c r="AB76" s="1891"/>
      <c r="AC76" s="1891"/>
    </row>
    <row r="77" spans="1:29" ht="15" thickTop="1">
      <c r="A77" s="631" t="s">
        <v>500</v>
      </c>
      <c r="B77" s="632" t="s">
        <v>691</v>
      </c>
      <c r="C77" s="655"/>
      <c r="D77" s="655"/>
      <c r="E77" s="567"/>
      <c r="F77" s="567"/>
      <c r="G77" s="567"/>
      <c r="H77" s="567"/>
      <c r="I77" s="567"/>
      <c r="J77" s="567"/>
      <c r="K77" s="633"/>
      <c r="L77" s="634"/>
      <c r="M77" s="635"/>
      <c r="N77" s="1885"/>
      <c r="O77" s="1885"/>
      <c r="P77" s="1886"/>
      <c r="Q77" s="1879"/>
      <c r="R77" s="1867"/>
      <c r="S77" s="1867"/>
      <c r="T77" s="1867"/>
      <c r="U77" s="1867"/>
      <c r="V77" s="1867"/>
      <c r="W77" s="1867"/>
      <c r="X77" s="1867"/>
      <c r="Y77" s="1867"/>
      <c r="Z77" s="1867"/>
      <c r="AA77" s="1867"/>
      <c r="AB77" s="1867"/>
      <c r="AC77" s="1867"/>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3"/>
      <c r="O79" s="1883"/>
      <c r="P79" s="1886"/>
      <c r="Q79" s="1879"/>
      <c r="R79" s="1867"/>
      <c r="S79" s="1867"/>
      <c r="T79" s="1867"/>
      <c r="U79" s="1867"/>
      <c r="V79" s="1867"/>
      <c r="W79" s="1867"/>
      <c r="X79" s="1867"/>
      <c r="Y79" s="1867"/>
      <c r="Z79" s="1867"/>
      <c r="AA79" s="1867"/>
      <c r="AB79" s="1867"/>
      <c r="AC79" s="1867"/>
    </row>
    <row r="80" spans="1:29" ht="15">
      <c r="A80" s="636"/>
      <c r="B80" s="648"/>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2"/>
      <c r="B82" s="648" t="s">
        <v>757</v>
      </c>
      <c r="C82" s="655"/>
      <c r="D82" s="655"/>
      <c r="E82" s="685"/>
      <c r="F82" s="685"/>
      <c r="G82" s="685"/>
      <c r="H82" s="685"/>
      <c r="I82" s="685"/>
      <c r="J82" s="685"/>
      <c r="K82" s="686"/>
      <c r="L82" s="687"/>
      <c r="M82" s="688"/>
      <c r="N82" s="1885"/>
      <c r="O82" s="1885"/>
      <c r="P82" s="1886"/>
      <c r="Q82" s="1879"/>
      <c r="R82" s="1867"/>
      <c r="S82" s="1867"/>
      <c r="T82" s="1867"/>
      <c r="U82" s="1867"/>
      <c r="V82" s="1867"/>
      <c r="W82" s="1867"/>
      <c r="X82" s="1867"/>
      <c r="Y82" s="1867"/>
      <c r="Z82" s="1867"/>
      <c r="AA82" s="1867"/>
      <c r="AB82" s="1867"/>
      <c r="AC82" s="1867"/>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2"/>
      <c r="B84" s="640" t="s">
        <v>765</v>
      </c>
      <c r="C84" s="655"/>
      <c r="D84" s="655"/>
      <c r="E84" s="655"/>
      <c r="F84" s="655"/>
      <c r="G84" s="655"/>
      <c r="H84" s="655"/>
      <c r="I84" s="685"/>
      <c r="J84" s="685"/>
      <c r="K84" s="686"/>
      <c r="L84" s="687"/>
      <c r="M84" s="688"/>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5"/>
      <c r="O86" s="1885"/>
      <c r="P86" s="1886"/>
      <c r="Q86" s="1879"/>
      <c r="R86" s="1867"/>
      <c r="S86" s="1867"/>
      <c r="T86" s="1867"/>
      <c r="U86" s="1867"/>
      <c r="V86" s="1867"/>
      <c r="W86" s="1867"/>
      <c r="X86" s="1867"/>
      <c r="Y86" s="1867"/>
      <c r="Z86" s="1867"/>
      <c r="AA86" s="1867"/>
      <c r="AB86" s="1867"/>
      <c r="AC86" s="1867"/>
    </row>
    <row r="87" spans="1:29">
      <c r="A87" s="702"/>
      <c r="B87" s="648"/>
      <c r="C87" s="697"/>
      <c r="D87" s="697"/>
      <c r="E87" s="697"/>
      <c r="F87" s="697"/>
      <c r="G87" s="697"/>
      <c r="H87" s="697"/>
      <c r="I87" s="697"/>
      <c r="J87" s="698"/>
      <c r="K87" s="698"/>
      <c r="L87" s="699"/>
      <c r="M87" s="700"/>
      <c r="N87" s="1885"/>
      <c r="O87" s="1885"/>
      <c r="P87" s="1886"/>
      <c r="Q87" s="1879"/>
      <c r="R87" s="1867"/>
      <c r="S87" s="1867"/>
      <c r="T87" s="1867"/>
      <c r="U87" s="1867"/>
      <c r="V87" s="1867"/>
      <c r="W87" s="1867"/>
      <c r="X87" s="1867"/>
      <c r="Y87" s="1867"/>
      <c r="Z87" s="1867"/>
      <c r="AA87" s="1867"/>
      <c r="AB87" s="1867"/>
      <c r="AC87" s="1867"/>
    </row>
    <row r="88" spans="1:29" ht="15.75" thickBot="1">
      <c r="A88" s="636"/>
      <c r="B88" s="645"/>
      <c r="C88" s="659"/>
      <c r="D88" s="638"/>
      <c r="E88" s="638"/>
      <c r="F88" s="638"/>
      <c r="G88" s="638"/>
      <c r="H88" s="638"/>
      <c r="I88" s="638"/>
      <c r="J88" s="638"/>
      <c r="K88" s="638"/>
      <c r="L88" s="638"/>
      <c r="M88" s="638"/>
      <c r="N88" s="1887"/>
      <c r="O88" s="1887"/>
      <c r="P88" s="1886"/>
      <c r="Q88" s="1879"/>
      <c r="R88" s="1867"/>
      <c r="S88" s="1867"/>
      <c r="T88" s="1867"/>
      <c r="U88" s="1867"/>
      <c r="V88" s="1867"/>
      <c r="W88" s="1867"/>
      <c r="X88" s="1867"/>
      <c r="Y88" s="1867"/>
      <c r="Z88" s="1867"/>
      <c r="AA88" s="1867"/>
      <c r="AB88" s="1867"/>
      <c r="AC88" s="1867"/>
    </row>
    <row r="89" spans="1:29" s="1199" customFormat="1" ht="15" thickTop="1">
      <c r="A89" s="695"/>
      <c r="B89" s="640" t="s">
        <v>767</v>
      </c>
      <c r="C89" s="655"/>
      <c r="D89" s="655"/>
      <c r="E89" s="655"/>
      <c r="F89" s="655"/>
      <c r="G89" s="655"/>
      <c r="H89" s="655"/>
      <c r="I89" s="655"/>
      <c r="J89" s="655"/>
      <c r="K89" s="655"/>
      <c r="L89" s="655"/>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4"/>
      <c r="B90" s="645"/>
      <c r="C90" s="659"/>
      <c r="D90" s="638"/>
      <c r="E90" s="638"/>
      <c r="F90" s="638"/>
      <c r="G90" s="638"/>
      <c r="H90" s="638"/>
      <c r="I90" s="638"/>
      <c r="J90" s="638"/>
      <c r="K90" s="638"/>
      <c r="L90" s="638"/>
      <c r="M90" s="639"/>
      <c r="N90" s="1888"/>
      <c r="O90" s="1888"/>
      <c r="P90" s="1889"/>
      <c r="Q90" s="1890"/>
      <c r="R90" s="1891"/>
      <c r="S90" s="1891"/>
      <c r="T90" s="1891"/>
      <c r="U90" s="1891"/>
      <c r="V90" s="1891"/>
      <c r="W90" s="1891"/>
      <c r="X90" s="1891"/>
      <c r="Y90" s="1891"/>
      <c r="Z90" s="1891"/>
      <c r="AA90" s="1891"/>
      <c r="AB90" s="1891"/>
      <c r="AC90" s="1891"/>
    </row>
    <row r="91" spans="1:29" ht="15" thickTop="1">
      <c r="A91" s="702"/>
      <c r="B91" s="640">
        <f>B32</f>
        <v>111</v>
      </c>
      <c r="C91" s="510"/>
      <c r="D91" s="510"/>
      <c r="E91" s="510"/>
      <c r="F91" s="510"/>
      <c r="G91" s="655"/>
      <c r="H91" s="656"/>
      <c r="I91" s="656"/>
      <c r="J91" s="656"/>
      <c r="K91" s="656"/>
      <c r="L91" s="657"/>
      <c r="M91" s="658"/>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59"/>
      <c r="D92" s="638"/>
      <c r="E92" s="638"/>
      <c r="F92" s="638"/>
      <c r="G92" s="659"/>
      <c r="H92" s="660"/>
      <c r="I92" s="660"/>
      <c r="J92" s="660"/>
      <c r="K92" s="660"/>
      <c r="L92" s="660"/>
      <c r="M92" s="661"/>
      <c r="N92" s="1887"/>
      <c r="O92" s="1887"/>
      <c r="P92" s="1886"/>
      <c r="Q92" s="1879"/>
      <c r="R92" s="1867"/>
      <c r="S92" s="1867"/>
      <c r="T92" s="1867"/>
      <c r="U92" s="1867"/>
      <c r="V92" s="1867"/>
      <c r="W92" s="1867"/>
      <c r="X92" s="1867"/>
      <c r="Y92" s="1867"/>
      <c r="Z92" s="1867"/>
      <c r="AA92" s="1867"/>
      <c r="AB92" s="1867"/>
      <c r="AC92" s="1867"/>
    </row>
    <row r="93" spans="1:29" ht="15" thickTop="1">
      <c r="A93" s="702"/>
      <c r="B93" s="640">
        <f>B33</f>
        <v>111</v>
      </c>
      <c r="C93" s="510"/>
      <c r="D93" s="510"/>
      <c r="E93" s="510"/>
      <c r="F93" s="510"/>
      <c r="G93" s="655"/>
      <c r="H93" s="656"/>
      <c r="I93" s="656"/>
      <c r="J93" s="656"/>
      <c r="K93" s="656"/>
      <c r="L93" s="657"/>
      <c r="M93" s="65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59"/>
      <c r="H94" s="660"/>
      <c r="I94" s="660"/>
      <c r="J94" s="660"/>
      <c r="K94" s="660"/>
      <c r="L94" s="660"/>
      <c r="M94" s="661"/>
      <c r="N94" s="1887"/>
      <c r="O94" s="1887"/>
      <c r="P94" s="1886"/>
      <c r="Q94" s="1879"/>
      <c r="R94" s="1867"/>
      <c r="S94" s="1867"/>
      <c r="T94" s="1867"/>
      <c r="U94" s="1867"/>
      <c r="V94" s="1867"/>
      <c r="W94" s="1867"/>
      <c r="X94" s="1867"/>
      <c r="Y94" s="1867"/>
      <c r="Z94" s="1867"/>
      <c r="AA94" s="1867"/>
      <c r="AB94" s="1867"/>
      <c r="AC94" s="1867"/>
    </row>
    <row r="95" spans="1:29" ht="15" thickTop="1">
      <c r="A95" s="702"/>
      <c r="B95" s="879">
        <f>B34</f>
        <v>111</v>
      </c>
      <c r="C95" s="510"/>
      <c r="D95" s="510"/>
      <c r="E95" s="510"/>
      <c r="F95" s="510"/>
      <c r="G95" s="655"/>
      <c r="H95" s="656"/>
      <c r="I95" s="656"/>
      <c r="J95" s="656"/>
      <c r="K95" s="656"/>
      <c r="L95" s="657"/>
      <c r="M95" s="658"/>
      <c r="N95" s="1887"/>
      <c r="O95" s="1887"/>
      <c r="P95" s="1924"/>
      <c r="Q95" s="1925"/>
      <c r="R95" s="1867"/>
      <c r="S95" s="1867"/>
      <c r="T95" s="1867"/>
      <c r="U95" s="1867"/>
      <c r="V95" s="1867"/>
      <c r="W95" s="1867"/>
      <c r="X95" s="1867"/>
      <c r="Y95" s="1867"/>
      <c r="Z95" s="1867"/>
      <c r="AA95" s="1867"/>
      <c r="AB95" s="1867"/>
      <c r="AC95" s="1867"/>
    </row>
    <row r="96" spans="1:29" ht="15.75" thickBot="1">
      <c r="A96" s="636"/>
      <c r="B96" s="645"/>
      <c r="C96" s="659"/>
      <c r="D96" s="659"/>
      <c r="E96" s="659"/>
      <c r="F96" s="659"/>
      <c r="G96" s="659"/>
      <c r="H96" s="660"/>
      <c r="I96" s="660"/>
      <c r="J96" s="660"/>
      <c r="K96" s="660"/>
      <c r="L96" s="660"/>
      <c r="M96" s="661"/>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10" sqref="C10"/>
      <selection pane="bottomLeft" activeCell="C10" sqref="C1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7"/>
    <col min="36" max="16384" width="9" style="1118"/>
  </cols>
  <sheetData>
    <row r="1" spans="1:45" s="247" customFormat="1" ht="14.25" customHeight="1" thickBot="1">
      <c r="A1" s="355"/>
      <c r="B1" s="1952" t="s">
        <v>1660</v>
      </c>
      <c r="C1" s="3984" t="s">
        <v>1661</v>
      </c>
      <c r="D1" s="3985"/>
      <c r="E1" s="3985"/>
      <c r="F1" s="3985"/>
      <c r="G1" s="3985"/>
      <c r="H1" s="3985"/>
      <c r="I1" s="3985"/>
      <c r="J1" s="3985"/>
      <c r="K1" s="3985"/>
      <c r="L1" s="3985"/>
      <c r="M1" s="3985"/>
      <c r="N1" s="3985"/>
      <c r="O1" s="3985"/>
      <c r="P1" s="3985"/>
      <c r="Q1" s="3985"/>
      <c r="R1" s="3985"/>
      <c r="S1" s="3986"/>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1"/>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1">
        <f>SUM(B24:B10000)</f>
        <v>0</v>
      </c>
      <c r="C22" s="3981" t="s">
        <v>14</v>
      </c>
      <c r="D22" s="3982"/>
      <c r="E22" s="3982"/>
      <c r="F22" s="3982"/>
      <c r="G22" s="3982"/>
      <c r="H22" s="3982"/>
      <c r="I22" s="3982"/>
      <c r="J22" s="3982"/>
      <c r="K22" s="3982"/>
      <c r="L22" s="3982"/>
      <c r="M22" s="3982"/>
      <c r="N22" s="3982"/>
      <c r="O22" s="3982"/>
      <c r="P22" s="3982"/>
      <c r="Q22" s="3983"/>
      <c r="R22" s="466"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4"/>
      <c r="S525" s="247"/>
    </row>
    <row r="526" spans="1:19">
      <c r="A526" s="247"/>
      <c r="B526" s="55"/>
      <c r="C526" s="55"/>
      <c r="D526" s="55"/>
      <c r="E526" s="55"/>
      <c r="F526" s="55"/>
      <c r="G526" s="55"/>
      <c r="H526" s="55"/>
      <c r="I526" s="55"/>
      <c r="J526" s="55"/>
      <c r="K526" s="55"/>
      <c r="L526" s="55"/>
      <c r="M526" s="55"/>
      <c r="N526" s="55"/>
      <c r="O526" s="55"/>
      <c r="P526" s="55"/>
      <c r="Q526" s="55"/>
      <c r="R526" s="1944"/>
      <c r="S526" s="247"/>
    </row>
    <row r="527" spans="1:19">
      <c r="A527" s="247"/>
      <c r="B527" s="55"/>
      <c r="C527" s="55"/>
      <c r="D527" s="55"/>
      <c r="E527" s="55"/>
      <c r="F527" s="55"/>
      <c r="G527" s="55"/>
      <c r="H527" s="55"/>
      <c r="I527" s="55"/>
      <c r="J527" s="55"/>
      <c r="K527" s="55"/>
      <c r="L527" s="55"/>
      <c r="M527" s="55"/>
      <c r="N527" s="55"/>
      <c r="O527" s="55"/>
      <c r="P527" s="55"/>
      <c r="Q527" s="55"/>
      <c r="R527" s="1944"/>
      <c r="S527" s="247"/>
    </row>
    <row r="528" spans="1:19">
      <c r="A528" s="247"/>
      <c r="B528" s="55"/>
      <c r="C528" s="55"/>
      <c r="D528" s="55"/>
      <c r="E528" s="55"/>
      <c r="F528" s="55"/>
      <c r="G528" s="55"/>
      <c r="H528" s="55"/>
      <c r="I528" s="55"/>
      <c r="J528" s="55"/>
      <c r="K528" s="55"/>
      <c r="L528" s="55"/>
      <c r="M528" s="55"/>
      <c r="N528" s="55"/>
      <c r="O528" s="55"/>
      <c r="P528" s="55"/>
      <c r="Q528" s="55"/>
      <c r="R528" s="1944"/>
      <c r="S528" s="247"/>
    </row>
    <row r="529" spans="1:19">
      <c r="A529" s="247"/>
      <c r="B529" s="55"/>
      <c r="C529" s="55"/>
      <c r="D529" s="55"/>
      <c r="E529" s="55"/>
      <c r="F529" s="55"/>
      <c r="G529" s="55"/>
      <c r="H529" s="55"/>
      <c r="I529" s="55"/>
      <c r="J529" s="55"/>
      <c r="K529" s="55"/>
      <c r="L529" s="55"/>
      <c r="M529" s="55"/>
      <c r="N529" s="55"/>
      <c r="O529" s="55"/>
      <c r="P529" s="55"/>
      <c r="Q529" s="55"/>
      <c r="R529" s="1944"/>
      <c r="S529" s="247"/>
    </row>
    <row r="530" spans="1:19">
      <c r="A530" s="247"/>
      <c r="B530" s="55"/>
      <c r="C530" s="55"/>
      <c r="D530" s="55"/>
      <c r="E530" s="55"/>
      <c r="F530" s="55"/>
      <c r="G530" s="55"/>
      <c r="H530" s="55"/>
      <c r="I530" s="55"/>
      <c r="J530" s="55"/>
      <c r="K530" s="55"/>
      <c r="L530" s="55"/>
      <c r="M530" s="55"/>
      <c r="N530" s="55"/>
      <c r="O530" s="55"/>
      <c r="P530" s="55"/>
      <c r="Q530" s="55"/>
      <c r="R530" s="1944"/>
      <c r="S530" s="247"/>
    </row>
    <row r="531" spans="1:19">
      <c r="A531" s="247"/>
      <c r="B531" s="55"/>
      <c r="C531" s="55"/>
      <c r="D531" s="55"/>
      <c r="E531" s="55"/>
      <c r="F531" s="55"/>
      <c r="G531" s="55"/>
      <c r="H531" s="55"/>
      <c r="I531" s="55"/>
      <c r="J531" s="55"/>
      <c r="K531" s="55"/>
      <c r="L531" s="55"/>
      <c r="M531" s="55"/>
      <c r="N531" s="55"/>
      <c r="O531" s="55"/>
      <c r="P531" s="55"/>
      <c r="Q531" s="55"/>
      <c r="R531" s="1944"/>
      <c r="S531" s="247"/>
    </row>
    <row r="532" spans="1:19">
      <c r="A532" s="247"/>
      <c r="B532" s="55"/>
      <c r="C532" s="55"/>
      <c r="D532" s="55"/>
      <c r="E532" s="55"/>
      <c r="F532" s="55"/>
      <c r="G532" s="55"/>
      <c r="H532" s="55"/>
      <c r="I532" s="55"/>
      <c r="J532" s="55"/>
      <c r="K532" s="55"/>
      <c r="L532" s="55"/>
      <c r="M532" s="55"/>
      <c r="N532" s="55"/>
      <c r="O532" s="55"/>
      <c r="P532" s="55"/>
      <c r="Q532" s="55"/>
      <c r="R532" s="1944"/>
      <c r="S532" s="247"/>
    </row>
    <row r="533" spans="1:19">
      <c r="A533" s="247"/>
      <c r="B533" s="55"/>
      <c r="C533" s="55"/>
      <c r="D533" s="55"/>
      <c r="E533" s="55"/>
      <c r="F533" s="55"/>
      <c r="G533" s="55"/>
      <c r="H533" s="55"/>
      <c r="I533" s="55"/>
      <c r="J533" s="55"/>
      <c r="K533" s="55"/>
      <c r="L533" s="55"/>
      <c r="M533" s="55"/>
      <c r="N533" s="55"/>
      <c r="O533" s="55"/>
      <c r="P533" s="55"/>
      <c r="Q533" s="55"/>
      <c r="R533" s="1944"/>
      <c r="S533" s="247"/>
    </row>
    <row r="534" spans="1:19">
      <c r="A534" s="247"/>
      <c r="B534" s="55"/>
      <c r="C534" s="55"/>
      <c r="D534" s="55"/>
      <c r="E534" s="55"/>
      <c r="F534" s="55"/>
      <c r="G534" s="55"/>
      <c r="H534" s="55"/>
      <c r="I534" s="55"/>
      <c r="J534" s="55"/>
      <c r="K534" s="55"/>
      <c r="L534" s="55"/>
      <c r="M534" s="55"/>
      <c r="N534" s="55"/>
      <c r="O534" s="55"/>
      <c r="P534" s="55"/>
      <c r="Q534" s="55"/>
      <c r="R534" s="1944"/>
      <c r="S534" s="247"/>
    </row>
    <row r="535" spans="1:19">
      <c r="A535" s="247"/>
      <c r="B535" s="55"/>
      <c r="C535" s="55"/>
      <c r="D535" s="55"/>
      <c r="E535" s="55"/>
      <c r="F535" s="55"/>
      <c r="G535" s="55"/>
      <c r="H535" s="55"/>
      <c r="I535" s="55"/>
      <c r="J535" s="55"/>
      <c r="K535" s="55"/>
      <c r="L535" s="55"/>
      <c r="M535" s="55"/>
      <c r="N535" s="55"/>
      <c r="O535" s="55"/>
      <c r="P535" s="55"/>
      <c r="Q535" s="55"/>
      <c r="R535" s="1944"/>
      <c r="S535" s="247"/>
    </row>
    <row r="536" spans="1:19">
      <c r="A536" s="247"/>
      <c r="B536" s="55"/>
      <c r="C536" s="55"/>
      <c r="D536" s="55"/>
      <c r="E536" s="55"/>
      <c r="F536" s="55"/>
      <c r="G536" s="55"/>
      <c r="H536" s="55"/>
      <c r="I536" s="55"/>
      <c r="J536" s="55"/>
      <c r="K536" s="55"/>
      <c r="L536" s="55"/>
      <c r="M536" s="55"/>
      <c r="N536" s="55"/>
      <c r="O536" s="55"/>
      <c r="P536" s="55"/>
      <c r="Q536" s="55"/>
      <c r="R536" s="1944"/>
      <c r="S536" s="247"/>
    </row>
    <row r="537" spans="1:19">
      <c r="A537" s="247"/>
      <c r="B537" s="55"/>
      <c r="C537" s="55"/>
      <c r="D537" s="55"/>
      <c r="E537" s="55"/>
      <c r="F537" s="55"/>
      <c r="G537" s="55"/>
      <c r="H537" s="55"/>
      <c r="I537" s="55"/>
      <c r="J537" s="55"/>
      <c r="K537" s="55"/>
      <c r="L537" s="55"/>
      <c r="M537" s="55"/>
      <c r="N537" s="55"/>
      <c r="O537" s="55"/>
      <c r="P537" s="55"/>
      <c r="Q537" s="55"/>
      <c r="R537" s="1944"/>
      <c r="S537" s="247"/>
    </row>
    <row r="538" spans="1:19">
      <c r="A538" s="247"/>
      <c r="B538" s="55"/>
      <c r="C538" s="55"/>
      <c r="D538" s="55"/>
      <c r="E538" s="55"/>
      <c r="F538" s="55"/>
      <c r="G538" s="55"/>
      <c r="H538" s="55"/>
      <c r="I538" s="55"/>
      <c r="J538" s="55"/>
      <c r="K538" s="55"/>
      <c r="L538" s="55"/>
      <c r="M538" s="55"/>
      <c r="N538" s="55"/>
      <c r="O538" s="55"/>
      <c r="P538" s="55"/>
      <c r="Q538" s="55"/>
      <c r="R538" s="1944"/>
      <c r="S538" s="247"/>
    </row>
    <row r="539" spans="1:19">
      <c r="A539" s="247"/>
      <c r="B539" s="55"/>
      <c r="C539" s="55"/>
      <c r="D539" s="55"/>
      <c r="E539" s="55"/>
      <c r="F539" s="55"/>
      <c r="G539" s="55"/>
      <c r="H539" s="55"/>
      <c r="I539" s="55"/>
      <c r="J539" s="55"/>
      <c r="K539" s="55"/>
      <c r="L539" s="55"/>
      <c r="M539" s="55"/>
      <c r="N539" s="55"/>
      <c r="O539" s="55"/>
      <c r="P539" s="55"/>
      <c r="Q539" s="55"/>
      <c r="R539" s="1944"/>
      <c r="S539" s="247"/>
    </row>
    <row r="540" spans="1:19">
      <c r="A540" s="247"/>
      <c r="B540" s="55"/>
      <c r="C540" s="55"/>
      <c r="D540" s="55"/>
      <c r="E540" s="55"/>
      <c r="F540" s="55"/>
      <c r="G540" s="55"/>
      <c r="H540" s="55"/>
      <c r="I540" s="55"/>
      <c r="J540" s="55"/>
      <c r="K540" s="55"/>
      <c r="L540" s="55"/>
      <c r="M540" s="55"/>
      <c r="N540" s="55"/>
      <c r="O540" s="55"/>
      <c r="P540" s="55"/>
      <c r="Q540" s="55"/>
      <c r="R540" s="1944"/>
      <c r="S540" s="247"/>
    </row>
    <row r="541" spans="1:19">
      <c r="A541" s="247"/>
      <c r="B541" s="55"/>
      <c r="C541" s="55"/>
      <c r="D541" s="55"/>
      <c r="E541" s="55"/>
      <c r="F541" s="55"/>
      <c r="G541" s="55"/>
      <c r="H541" s="55"/>
      <c r="I541" s="55"/>
      <c r="J541" s="55"/>
      <c r="K541" s="55"/>
      <c r="L541" s="55"/>
      <c r="M541" s="55"/>
      <c r="N541" s="55"/>
      <c r="O541" s="55"/>
      <c r="P541" s="55"/>
      <c r="Q541" s="55"/>
      <c r="R541" s="1944"/>
      <c r="S541" s="247"/>
    </row>
    <row r="542" spans="1:19">
      <c r="A542" s="247"/>
      <c r="B542" s="55"/>
      <c r="C542" s="55"/>
      <c r="D542" s="55"/>
      <c r="E542" s="55"/>
      <c r="F542" s="55"/>
      <c r="G542" s="55"/>
      <c r="H542" s="55"/>
      <c r="I542" s="55"/>
      <c r="J542" s="55"/>
      <c r="K542" s="55"/>
      <c r="L542" s="55"/>
      <c r="M542" s="55"/>
      <c r="N542" s="55"/>
      <c r="O542" s="55"/>
      <c r="P542" s="55"/>
      <c r="Q542" s="55"/>
      <c r="R542" s="1944"/>
      <c r="S542" s="247"/>
    </row>
    <row r="543" spans="1:19">
      <c r="A543" s="247"/>
      <c r="B543" s="55"/>
      <c r="C543" s="55"/>
      <c r="D543" s="55"/>
      <c r="E543" s="55"/>
      <c r="F543" s="55"/>
      <c r="G543" s="55"/>
      <c r="H543" s="55"/>
      <c r="I543" s="55"/>
      <c r="J543" s="55"/>
      <c r="K543" s="55"/>
      <c r="L543" s="55"/>
      <c r="M543" s="55"/>
      <c r="N543" s="55"/>
      <c r="O543" s="55"/>
      <c r="P543" s="55"/>
      <c r="Q543" s="55"/>
      <c r="R543" s="1944"/>
      <c r="S543" s="247"/>
    </row>
    <row r="544" spans="1:19">
      <c r="A544" s="247"/>
      <c r="B544" s="55"/>
      <c r="C544" s="55"/>
      <c r="D544" s="55"/>
      <c r="E544" s="55"/>
      <c r="F544" s="55"/>
      <c r="G544" s="55"/>
      <c r="H544" s="55"/>
      <c r="I544" s="55"/>
      <c r="J544" s="55"/>
      <c r="K544" s="55"/>
      <c r="L544" s="55"/>
      <c r="M544" s="55"/>
      <c r="N544" s="55"/>
      <c r="O544" s="55"/>
      <c r="P544" s="55"/>
      <c r="Q544" s="55"/>
      <c r="R544" s="1944"/>
      <c r="S544" s="247"/>
    </row>
    <row r="545" spans="1:19">
      <c r="A545" s="247"/>
      <c r="B545" s="55"/>
      <c r="C545" s="55"/>
      <c r="D545" s="55"/>
      <c r="E545" s="55"/>
      <c r="F545" s="55"/>
      <c r="G545" s="55"/>
      <c r="H545" s="55"/>
      <c r="I545" s="55"/>
      <c r="J545" s="55"/>
      <c r="K545" s="55"/>
      <c r="L545" s="55"/>
      <c r="M545" s="55"/>
      <c r="N545" s="55"/>
      <c r="O545" s="55"/>
      <c r="P545" s="55"/>
      <c r="Q545" s="55"/>
      <c r="R545" s="1944"/>
      <c r="S545" s="247"/>
    </row>
    <row r="546" spans="1:19">
      <c r="A546" s="247"/>
      <c r="B546" s="55"/>
      <c r="C546" s="55"/>
      <c r="D546" s="55"/>
      <c r="E546" s="55"/>
      <c r="F546" s="55"/>
      <c r="G546" s="55"/>
      <c r="H546" s="55"/>
      <c r="I546" s="55"/>
      <c r="J546" s="55"/>
      <c r="K546" s="55"/>
      <c r="L546" s="55"/>
      <c r="M546" s="55"/>
      <c r="N546" s="55"/>
      <c r="O546" s="55"/>
      <c r="P546" s="55"/>
      <c r="Q546" s="55"/>
      <c r="R546" s="1944"/>
      <c r="S546" s="247"/>
    </row>
    <row r="547" spans="1:19">
      <c r="A547" s="247"/>
      <c r="B547" s="55"/>
      <c r="C547" s="55"/>
      <c r="D547" s="55"/>
      <c r="E547" s="55"/>
      <c r="F547" s="55"/>
      <c r="G547" s="55"/>
      <c r="H547" s="55"/>
      <c r="I547" s="55"/>
      <c r="J547" s="55"/>
      <c r="K547" s="55"/>
      <c r="L547" s="55"/>
      <c r="M547" s="55"/>
      <c r="N547" s="55"/>
      <c r="O547" s="55"/>
      <c r="P547" s="55"/>
      <c r="Q547" s="55"/>
      <c r="R547" s="1944"/>
      <c r="S547" s="247"/>
    </row>
    <row r="548" spans="1:19">
      <c r="A548" s="247"/>
      <c r="B548" s="55"/>
      <c r="C548" s="55"/>
      <c r="D548" s="55"/>
      <c r="E548" s="55"/>
      <c r="F548" s="55"/>
      <c r="G548" s="55"/>
      <c r="H548" s="55"/>
      <c r="I548" s="55"/>
      <c r="J548" s="55"/>
      <c r="K548" s="55"/>
      <c r="L548" s="55"/>
      <c r="M548" s="55"/>
      <c r="N548" s="55"/>
      <c r="O548" s="55"/>
      <c r="P548" s="55"/>
      <c r="Q548" s="55"/>
      <c r="R548" s="1944"/>
      <c r="S548" s="247"/>
    </row>
    <row r="549" spans="1:19">
      <c r="A549" s="247"/>
      <c r="B549" s="55"/>
      <c r="C549" s="55"/>
      <c r="D549" s="55"/>
      <c r="E549" s="55"/>
      <c r="F549" s="55"/>
      <c r="G549" s="55"/>
      <c r="H549" s="55"/>
      <c r="I549" s="55"/>
      <c r="J549" s="55"/>
      <c r="K549" s="55"/>
      <c r="L549" s="55"/>
      <c r="M549" s="55"/>
      <c r="N549" s="55"/>
      <c r="O549" s="55"/>
      <c r="P549" s="55"/>
      <c r="Q549" s="55"/>
      <c r="R549" s="1944"/>
      <c r="S549" s="247"/>
    </row>
    <row r="550" spans="1:19">
      <c r="A550" s="247"/>
      <c r="B550" s="55"/>
      <c r="C550" s="55"/>
      <c r="D550" s="55"/>
      <c r="E550" s="55"/>
      <c r="F550" s="55"/>
      <c r="G550" s="55"/>
      <c r="H550" s="55"/>
      <c r="I550" s="55"/>
      <c r="J550" s="55"/>
      <c r="K550" s="55"/>
      <c r="L550" s="55"/>
      <c r="M550" s="55"/>
      <c r="N550" s="55"/>
      <c r="O550" s="55"/>
      <c r="P550" s="55"/>
      <c r="Q550" s="55"/>
      <c r="R550" s="1944"/>
      <c r="S550" s="247"/>
    </row>
    <row r="551" spans="1:19">
      <c r="A551" s="247"/>
      <c r="B551" s="55"/>
      <c r="C551" s="55"/>
      <c r="D551" s="55"/>
      <c r="E551" s="55"/>
      <c r="F551" s="55"/>
      <c r="G551" s="55"/>
      <c r="H551" s="55"/>
      <c r="I551" s="55"/>
      <c r="J551" s="55"/>
      <c r="K551" s="55"/>
      <c r="L551" s="55"/>
      <c r="M551" s="55"/>
      <c r="N551" s="55"/>
      <c r="O551" s="55"/>
      <c r="P551" s="55"/>
      <c r="Q551" s="55"/>
      <c r="R551" s="1944"/>
      <c r="S551" s="247"/>
    </row>
    <row r="552" spans="1:19">
      <c r="A552" s="247"/>
      <c r="B552" s="55"/>
      <c r="C552" s="55"/>
      <c r="D552" s="55"/>
      <c r="E552" s="55"/>
      <c r="F552" s="55"/>
      <c r="G552" s="55"/>
      <c r="H552" s="55"/>
      <c r="I552" s="55"/>
      <c r="J552" s="55"/>
      <c r="K552" s="55"/>
      <c r="L552" s="55"/>
      <c r="M552" s="55"/>
      <c r="N552" s="55"/>
      <c r="O552" s="55"/>
      <c r="P552" s="55"/>
      <c r="Q552" s="55"/>
      <c r="R552" s="1944"/>
      <c r="S552" s="247"/>
    </row>
    <row r="553" spans="1:19">
      <c r="A553" s="247"/>
      <c r="B553" s="55"/>
      <c r="C553" s="55"/>
      <c r="D553" s="55"/>
      <c r="E553" s="55"/>
      <c r="F553" s="55"/>
      <c r="G553" s="55"/>
      <c r="H553" s="55"/>
      <c r="I553" s="55"/>
      <c r="J553" s="55"/>
      <c r="K553" s="55"/>
      <c r="L553" s="55"/>
      <c r="M553" s="55"/>
      <c r="N553" s="55"/>
      <c r="O553" s="55"/>
      <c r="P553" s="55"/>
      <c r="Q553" s="55"/>
      <c r="R553" s="1944"/>
      <c r="S553" s="247"/>
    </row>
    <row r="554" spans="1:19">
      <c r="A554" s="247"/>
      <c r="B554" s="55"/>
      <c r="C554" s="55"/>
      <c r="D554" s="55"/>
      <c r="E554" s="55"/>
      <c r="F554" s="55"/>
      <c r="G554" s="55"/>
      <c r="H554" s="55"/>
      <c r="I554" s="55"/>
      <c r="J554" s="55"/>
      <c r="K554" s="55"/>
      <c r="L554" s="55"/>
      <c r="M554" s="55"/>
      <c r="N554" s="55"/>
      <c r="O554" s="55"/>
      <c r="P554" s="55"/>
      <c r="Q554" s="55"/>
      <c r="R554" s="1944"/>
      <c r="S554" s="247"/>
    </row>
    <row r="555" spans="1:19">
      <c r="A555" s="247"/>
      <c r="B555" s="55"/>
      <c r="C555" s="55"/>
      <c r="D555" s="55"/>
      <c r="E555" s="55"/>
      <c r="F555" s="55"/>
      <c r="G555" s="55"/>
      <c r="H555" s="55"/>
      <c r="I555" s="55"/>
      <c r="J555" s="55"/>
      <c r="K555" s="55"/>
      <c r="L555" s="55"/>
      <c r="M555" s="55"/>
      <c r="N555" s="55"/>
      <c r="O555" s="55"/>
      <c r="P555" s="55"/>
      <c r="Q555" s="55"/>
      <c r="R555" s="1944"/>
      <c r="S555" s="247"/>
    </row>
    <row r="556" spans="1:19">
      <c r="A556" s="247"/>
      <c r="B556" s="55"/>
      <c r="C556" s="55"/>
      <c r="D556" s="55"/>
      <c r="E556" s="55"/>
      <c r="F556" s="55"/>
      <c r="G556" s="55"/>
      <c r="H556" s="55"/>
      <c r="I556" s="55"/>
      <c r="J556" s="55"/>
      <c r="K556" s="55"/>
      <c r="L556" s="55"/>
      <c r="M556" s="55"/>
      <c r="N556" s="55"/>
      <c r="O556" s="55"/>
      <c r="P556" s="55"/>
      <c r="Q556" s="55"/>
      <c r="R556" s="1944"/>
      <c r="S556" s="247"/>
    </row>
    <row r="557" spans="1:19">
      <c r="A557" s="247"/>
      <c r="B557" s="55"/>
      <c r="C557" s="55"/>
      <c r="D557" s="55"/>
      <c r="E557" s="55"/>
      <c r="F557" s="55"/>
      <c r="G557" s="55"/>
      <c r="H557" s="55"/>
      <c r="I557" s="55"/>
      <c r="J557" s="55"/>
      <c r="K557" s="55"/>
      <c r="L557" s="55"/>
      <c r="M557" s="55"/>
      <c r="N557" s="55"/>
      <c r="O557" s="55"/>
      <c r="P557" s="55"/>
      <c r="Q557" s="55"/>
      <c r="R557" s="1944"/>
      <c r="S557" s="247"/>
    </row>
    <row r="558" spans="1:19">
      <c r="A558" s="247"/>
      <c r="B558" s="55"/>
      <c r="C558" s="55"/>
      <c r="D558" s="55"/>
      <c r="E558" s="55"/>
      <c r="F558" s="55"/>
      <c r="G558" s="55"/>
      <c r="H558" s="55"/>
      <c r="I558" s="55"/>
      <c r="J558" s="55"/>
      <c r="K558" s="55"/>
      <c r="L558" s="55"/>
      <c r="M558" s="55"/>
      <c r="N558" s="55"/>
      <c r="O558" s="55"/>
      <c r="P558" s="55"/>
      <c r="Q558" s="55"/>
      <c r="R558" s="1944"/>
      <c r="S558" s="247"/>
    </row>
    <row r="559" spans="1:19">
      <c r="A559" s="247"/>
      <c r="B559" s="55"/>
      <c r="C559" s="55"/>
      <c r="D559" s="55"/>
      <c r="E559" s="55"/>
      <c r="F559" s="55"/>
      <c r="G559" s="55"/>
      <c r="H559" s="55"/>
      <c r="I559" s="55"/>
      <c r="J559" s="55"/>
      <c r="K559" s="55"/>
      <c r="L559" s="55"/>
      <c r="M559" s="55"/>
      <c r="N559" s="55"/>
      <c r="O559" s="55"/>
      <c r="P559" s="55"/>
      <c r="Q559" s="55"/>
      <c r="R559" s="1944"/>
      <c r="S559" s="247"/>
    </row>
    <row r="560" spans="1:19">
      <c r="A560" s="247"/>
      <c r="B560" s="55"/>
      <c r="C560" s="55"/>
      <c r="D560" s="55"/>
      <c r="E560" s="55"/>
      <c r="F560" s="55"/>
      <c r="G560" s="55"/>
      <c r="H560" s="55"/>
      <c r="I560" s="55"/>
      <c r="J560" s="55"/>
      <c r="K560" s="55"/>
      <c r="L560" s="55"/>
      <c r="M560" s="55"/>
      <c r="N560" s="55"/>
      <c r="O560" s="55"/>
      <c r="P560" s="55"/>
      <c r="Q560" s="55"/>
      <c r="R560" s="1944"/>
      <c r="S560" s="247"/>
    </row>
    <row r="561" spans="1:19">
      <c r="A561" s="247"/>
      <c r="B561" s="55"/>
      <c r="C561" s="55"/>
      <c r="D561" s="55"/>
      <c r="E561" s="55"/>
      <c r="F561" s="55"/>
      <c r="G561" s="55"/>
      <c r="H561" s="55"/>
      <c r="I561" s="55"/>
      <c r="J561" s="55"/>
      <c r="K561" s="55"/>
      <c r="L561" s="55"/>
      <c r="M561" s="55"/>
      <c r="N561" s="55"/>
      <c r="O561" s="55"/>
      <c r="P561" s="55"/>
      <c r="Q561" s="55"/>
      <c r="R561" s="1944"/>
      <c r="S561" s="247"/>
    </row>
    <row r="562" spans="1:19">
      <c r="A562" s="247"/>
      <c r="B562" s="55"/>
      <c r="C562" s="55"/>
      <c r="D562" s="55"/>
      <c r="E562" s="55"/>
      <c r="F562" s="55"/>
      <c r="G562" s="55"/>
      <c r="H562" s="55"/>
      <c r="I562" s="55"/>
      <c r="J562" s="55"/>
      <c r="K562" s="55"/>
      <c r="L562" s="55"/>
      <c r="M562" s="55"/>
      <c r="N562" s="55"/>
      <c r="O562" s="55"/>
      <c r="P562" s="55"/>
      <c r="Q562" s="55"/>
      <c r="R562" s="1944"/>
      <c r="S562" s="247"/>
    </row>
    <row r="563" spans="1:19">
      <c r="A563" s="247"/>
      <c r="B563" s="55"/>
      <c r="C563" s="55"/>
      <c r="D563" s="55"/>
      <c r="E563" s="55"/>
      <c r="F563" s="55"/>
      <c r="G563" s="55"/>
      <c r="H563" s="55"/>
      <c r="I563" s="55"/>
      <c r="J563" s="55"/>
      <c r="K563" s="55"/>
      <c r="L563" s="55"/>
      <c r="M563" s="55"/>
      <c r="N563" s="55"/>
      <c r="O563" s="55"/>
      <c r="P563" s="55"/>
      <c r="Q563" s="55"/>
      <c r="R563" s="1944"/>
      <c r="S563" s="247"/>
    </row>
    <row r="564" spans="1:19">
      <c r="A564" s="247"/>
      <c r="B564" s="55"/>
      <c r="C564" s="55"/>
      <c r="D564" s="55"/>
      <c r="E564" s="55"/>
      <c r="F564" s="55"/>
      <c r="G564" s="55"/>
      <c r="H564" s="55"/>
      <c r="I564" s="55"/>
      <c r="J564" s="55"/>
      <c r="K564" s="55"/>
      <c r="L564" s="55"/>
      <c r="M564" s="55"/>
      <c r="N564" s="55"/>
      <c r="O564" s="55"/>
      <c r="P564" s="55"/>
      <c r="Q564" s="55"/>
      <c r="R564" s="1944"/>
      <c r="S564" s="247"/>
    </row>
    <row r="565" spans="1:19">
      <c r="A565" s="247"/>
      <c r="B565" s="55"/>
      <c r="C565" s="55"/>
      <c r="D565" s="55"/>
      <c r="E565" s="55"/>
      <c r="F565" s="55"/>
      <c r="G565" s="55"/>
      <c r="H565" s="55"/>
      <c r="I565" s="55"/>
      <c r="J565" s="55"/>
      <c r="K565" s="55"/>
      <c r="L565" s="55"/>
      <c r="M565" s="55"/>
      <c r="N565" s="55"/>
      <c r="O565" s="55"/>
      <c r="P565" s="55"/>
      <c r="Q565" s="55"/>
      <c r="R565" s="1944"/>
      <c r="S565" s="247"/>
    </row>
    <row r="566" spans="1:19">
      <c r="A566" s="247"/>
      <c r="B566" s="55"/>
      <c r="C566" s="55"/>
      <c r="D566" s="55"/>
      <c r="E566" s="55"/>
      <c r="F566" s="55"/>
      <c r="G566" s="55"/>
      <c r="H566" s="55"/>
      <c r="I566" s="55"/>
      <c r="J566" s="55"/>
      <c r="K566" s="55"/>
      <c r="L566" s="55"/>
      <c r="M566" s="55"/>
      <c r="N566" s="55"/>
      <c r="O566" s="55"/>
      <c r="P566" s="55"/>
      <c r="Q566" s="55"/>
      <c r="R566" s="1944"/>
      <c r="S566" s="247"/>
    </row>
    <row r="567" spans="1:19">
      <c r="A567" s="247"/>
      <c r="B567" s="55"/>
      <c r="C567" s="55"/>
      <c r="D567" s="55"/>
      <c r="E567" s="55"/>
      <c r="F567" s="55"/>
      <c r="G567" s="55"/>
      <c r="H567" s="55"/>
      <c r="I567" s="55"/>
      <c r="J567" s="55"/>
      <c r="K567" s="55"/>
      <c r="L567" s="55"/>
      <c r="M567" s="55"/>
      <c r="N567" s="55"/>
      <c r="O567" s="55"/>
      <c r="P567" s="55"/>
      <c r="Q567" s="55"/>
      <c r="R567" s="1944"/>
      <c r="S567" s="247"/>
    </row>
    <row r="568" spans="1:19">
      <c r="A568" s="247"/>
      <c r="B568" s="55"/>
      <c r="C568" s="55"/>
      <c r="D568" s="55"/>
      <c r="E568" s="55"/>
      <c r="F568" s="55"/>
      <c r="G568" s="55"/>
      <c r="H568" s="55"/>
      <c r="I568" s="55"/>
      <c r="J568" s="55"/>
      <c r="K568" s="55"/>
      <c r="L568" s="55"/>
      <c r="M568" s="55"/>
      <c r="N568" s="55"/>
      <c r="O568" s="55"/>
      <c r="P568" s="55"/>
      <c r="Q568" s="55"/>
      <c r="R568" s="1944"/>
      <c r="S568" s="247"/>
    </row>
    <row r="569" spans="1:19">
      <c r="A569" s="247"/>
      <c r="B569" s="55"/>
      <c r="C569" s="55"/>
      <c r="D569" s="55"/>
      <c r="E569" s="55"/>
      <c r="F569" s="55"/>
      <c r="G569" s="55"/>
      <c r="H569" s="55"/>
      <c r="I569" s="55"/>
      <c r="J569" s="55"/>
      <c r="K569" s="55"/>
      <c r="L569" s="55"/>
      <c r="M569" s="55"/>
      <c r="N569" s="55"/>
      <c r="O569" s="55"/>
      <c r="P569" s="55"/>
      <c r="Q569" s="55"/>
      <c r="R569" s="1944"/>
      <c r="S569" s="247"/>
    </row>
    <row r="570" spans="1:19">
      <c r="A570" s="247"/>
      <c r="B570" s="55"/>
      <c r="C570" s="55"/>
      <c r="D570" s="55"/>
      <c r="E570" s="55"/>
      <c r="F570" s="55"/>
      <c r="G570" s="55"/>
      <c r="H570" s="55"/>
      <c r="I570" s="55"/>
      <c r="J570" s="55"/>
      <c r="K570" s="55"/>
      <c r="L570" s="55"/>
      <c r="M570" s="55"/>
      <c r="N570" s="55"/>
      <c r="O570" s="55"/>
      <c r="P570" s="55"/>
      <c r="Q570" s="55"/>
      <c r="R570" s="1944"/>
      <c r="S570" s="247"/>
    </row>
    <row r="571" spans="1:19">
      <c r="A571" s="247"/>
      <c r="B571" s="55"/>
      <c r="C571" s="55"/>
      <c r="D571" s="55"/>
      <c r="E571" s="55"/>
      <c r="F571" s="55"/>
      <c r="G571" s="55"/>
      <c r="H571" s="55"/>
      <c r="I571" s="55"/>
      <c r="J571" s="55"/>
      <c r="K571" s="55"/>
      <c r="L571" s="55"/>
      <c r="M571" s="55"/>
      <c r="N571" s="55"/>
      <c r="O571" s="55"/>
      <c r="P571" s="55"/>
      <c r="Q571" s="55"/>
      <c r="R571" s="1944"/>
      <c r="S571" s="247"/>
    </row>
    <row r="572" spans="1:19">
      <c r="A572" s="247"/>
      <c r="B572" s="55"/>
      <c r="C572" s="55"/>
      <c r="D572" s="55"/>
      <c r="E572" s="55"/>
      <c r="F572" s="55"/>
      <c r="G572" s="55"/>
      <c r="H572" s="55"/>
      <c r="I572" s="55"/>
      <c r="J572" s="55"/>
      <c r="K572" s="55"/>
      <c r="L572" s="55"/>
      <c r="M572" s="55"/>
      <c r="N572" s="55"/>
      <c r="O572" s="55"/>
      <c r="P572" s="55"/>
      <c r="Q572" s="55"/>
      <c r="R572" s="1944"/>
      <c r="S572" s="247"/>
    </row>
    <row r="573" spans="1:19">
      <c r="A573" s="247"/>
      <c r="B573" s="55"/>
      <c r="C573" s="55"/>
      <c r="D573" s="55"/>
      <c r="E573" s="55"/>
      <c r="F573" s="55"/>
      <c r="G573" s="55"/>
      <c r="H573" s="55"/>
      <c r="I573" s="55"/>
      <c r="J573" s="55"/>
      <c r="K573" s="55"/>
      <c r="L573" s="55"/>
      <c r="M573" s="55"/>
      <c r="N573" s="55"/>
      <c r="O573" s="55"/>
      <c r="P573" s="55"/>
      <c r="Q573" s="55"/>
      <c r="R573" s="1944"/>
      <c r="S573" s="247"/>
    </row>
    <row r="574" spans="1:19">
      <c r="A574" s="247"/>
      <c r="B574" s="55"/>
      <c r="C574" s="55"/>
      <c r="D574" s="55"/>
      <c r="E574" s="55"/>
      <c r="F574" s="55"/>
      <c r="G574" s="55"/>
      <c r="H574" s="55"/>
      <c r="I574" s="55"/>
      <c r="J574" s="55"/>
      <c r="K574" s="55"/>
      <c r="L574" s="55"/>
      <c r="M574" s="55"/>
      <c r="N574" s="55"/>
      <c r="O574" s="55"/>
      <c r="P574" s="55"/>
      <c r="Q574" s="55"/>
      <c r="R574" s="1944"/>
      <c r="S574" s="247"/>
    </row>
    <row r="575" spans="1:19">
      <c r="A575" s="247"/>
      <c r="B575" s="55"/>
      <c r="C575" s="55"/>
      <c r="D575" s="55"/>
      <c r="E575" s="55"/>
      <c r="F575" s="55"/>
      <c r="G575" s="55"/>
      <c r="H575" s="55"/>
      <c r="I575" s="55"/>
      <c r="J575" s="55"/>
      <c r="K575" s="55"/>
      <c r="L575" s="55"/>
      <c r="M575" s="55"/>
      <c r="N575" s="55"/>
      <c r="O575" s="55"/>
      <c r="P575" s="55"/>
      <c r="Q575" s="55"/>
      <c r="R575" s="1944"/>
      <c r="S575" s="247"/>
    </row>
    <row r="576" spans="1:19">
      <c r="A576" s="247"/>
      <c r="B576" s="55"/>
      <c r="C576" s="55"/>
      <c r="D576" s="55"/>
      <c r="E576" s="55"/>
      <c r="F576" s="55"/>
      <c r="G576" s="55"/>
      <c r="H576" s="55"/>
      <c r="I576" s="55"/>
      <c r="J576" s="55"/>
      <c r="K576" s="55"/>
      <c r="L576" s="55"/>
      <c r="M576" s="55"/>
      <c r="N576" s="55"/>
      <c r="O576" s="55"/>
      <c r="P576" s="55"/>
      <c r="Q576" s="55"/>
      <c r="R576" s="1944"/>
      <c r="S576" s="247"/>
    </row>
    <row r="577" spans="1:19">
      <c r="A577" s="247"/>
      <c r="B577" s="55"/>
      <c r="C577" s="55"/>
      <c r="D577" s="55"/>
      <c r="E577" s="55"/>
      <c r="F577" s="55"/>
      <c r="G577" s="55"/>
      <c r="H577" s="55"/>
      <c r="I577" s="55"/>
      <c r="J577" s="55"/>
      <c r="K577" s="55"/>
      <c r="L577" s="55"/>
      <c r="M577" s="55"/>
      <c r="N577" s="55"/>
      <c r="O577" s="55"/>
      <c r="P577" s="55"/>
      <c r="Q577" s="55"/>
      <c r="R577" s="1944"/>
      <c r="S577" s="247"/>
    </row>
    <row r="578" spans="1:19">
      <c r="A578" s="247"/>
      <c r="B578" s="55"/>
      <c r="C578" s="55"/>
      <c r="D578" s="55"/>
      <c r="E578" s="55"/>
      <c r="F578" s="55"/>
      <c r="G578" s="55"/>
      <c r="H578" s="55"/>
      <c r="I578" s="55"/>
      <c r="J578" s="55"/>
      <c r="K578" s="55"/>
      <c r="L578" s="55"/>
      <c r="M578" s="55"/>
      <c r="N578" s="55"/>
      <c r="O578" s="55"/>
      <c r="P578" s="55"/>
      <c r="Q578" s="55"/>
      <c r="R578" s="1944"/>
      <c r="S578" s="247"/>
    </row>
    <row r="579" spans="1:19">
      <c r="A579" s="247"/>
      <c r="B579" s="55"/>
      <c r="C579" s="55"/>
      <c r="D579" s="55"/>
      <c r="E579" s="55"/>
      <c r="F579" s="55"/>
      <c r="G579" s="55"/>
      <c r="H579" s="55"/>
      <c r="I579" s="55"/>
      <c r="J579" s="55"/>
      <c r="K579" s="55"/>
      <c r="L579" s="55"/>
      <c r="M579" s="55"/>
      <c r="N579" s="55"/>
      <c r="O579" s="55"/>
      <c r="P579" s="55"/>
      <c r="Q579" s="55"/>
      <c r="R579" s="1944"/>
      <c r="S579" s="247"/>
    </row>
    <row r="580" spans="1:19">
      <c r="A580" s="247"/>
      <c r="B580" s="55"/>
      <c r="C580" s="55"/>
      <c r="D580" s="55"/>
      <c r="E580" s="55"/>
      <c r="F580" s="55"/>
      <c r="G580" s="55"/>
      <c r="H580" s="55"/>
      <c r="I580" s="55"/>
      <c r="J580" s="55"/>
      <c r="K580" s="55"/>
      <c r="L580" s="55"/>
      <c r="M580" s="55"/>
      <c r="N580" s="55"/>
      <c r="O580" s="55"/>
      <c r="P580" s="55"/>
      <c r="Q580" s="55"/>
      <c r="R580" s="1944"/>
      <c r="S580" s="247"/>
    </row>
    <row r="581" spans="1:19">
      <c r="A581" s="247"/>
      <c r="B581" s="55"/>
      <c r="C581" s="55"/>
      <c r="D581" s="55"/>
      <c r="E581" s="55"/>
      <c r="F581" s="55"/>
      <c r="G581" s="55"/>
      <c r="H581" s="55"/>
      <c r="I581" s="55"/>
      <c r="J581" s="55"/>
      <c r="K581" s="55"/>
      <c r="L581" s="55"/>
      <c r="M581" s="55"/>
      <c r="N581" s="55"/>
      <c r="O581" s="55"/>
      <c r="P581" s="55"/>
      <c r="Q581" s="55"/>
      <c r="R581" s="1944"/>
      <c r="S581" s="247"/>
    </row>
    <row r="582" spans="1:19">
      <c r="A582" s="247"/>
      <c r="B582" s="55"/>
      <c r="C582" s="55"/>
      <c r="D582" s="55"/>
      <c r="E582" s="55"/>
      <c r="F582" s="55"/>
      <c r="G582" s="55"/>
      <c r="H582" s="55"/>
      <c r="I582" s="55"/>
      <c r="J582" s="55"/>
      <c r="K582" s="55"/>
      <c r="L582" s="55"/>
      <c r="M582" s="55"/>
      <c r="N582" s="55"/>
      <c r="O582" s="55"/>
      <c r="P582" s="55"/>
      <c r="Q582" s="55"/>
      <c r="R582" s="1944"/>
      <c r="S582" s="247"/>
    </row>
    <row r="583" spans="1:19">
      <c r="A583" s="247"/>
      <c r="B583" s="55"/>
      <c r="C583" s="55"/>
      <c r="D583" s="55"/>
      <c r="E583" s="55"/>
      <c r="F583" s="55"/>
      <c r="G583" s="55"/>
      <c r="H583" s="55"/>
      <c r="I583" s="55"/>
      <c r="J583" s="55"/>
      <c r="K583" s="55"/>
      <c r="L583" s="55"/>
      <c r="M583" s="55"/>
      <c r="N583" s="55"/>
      <c r="O583" s="55"/>
      <c r="P583" s="55"/>
      <c r="Q583" s="55"/>
      <c r="R583" s="1944"/>
      <c r="S583" s="247"/>
    </row>
    <row r="584" spans="1:19">
      <c r="A584" s="247"/>
      <c r="B584" s="55"/>
      <c r="C584" s="55"/>
      <c r="D584" s="55"/>
      <c r="E584" s="55"/>
      <c r="F584" s="55"/>
      <c r="G584" s="55"/>
      <c r="H584" s="55"/>
      <c r="I584" s="55"/>
      <c r="J584" s="55"/>
      <c r="K584" s="55"/>
      <c r="L584" s="55"/>
      <c r="M584" s="55"/>
      <c r="N584" s="55"/>
      <c r="O584" s="55"/>
      <c r="P584" s="55"/>
      <c r="Q584" s="55"/>
      <c r="R584" s="1944"/>
      <c r="S584" s="247"/>
    </row>
    <row r="585" spans="1:19">
      <c r="A585" s="247"/>
      <c r="B585" s="55"/>
      <c r="C585" s="55"/>
      <c r="D585" s="55"/>
      <c r="E585" s="55"/>
      <c r="F585" s="55"/>
      <c r="G585" s="55"/>
      <c r="H585" s="55"/>
      <c r="I585" s="55"/>
      <c r="J585" s="55"/>
      <c r="K585" s="55"/>
      <c r="L585" s="55"/>
      <c r="M585" s="55"/>
      <c r="N585" s="55"/>
      <c r="O585" s="55"/>
      <c r="P585" s="55"/>
      <c r="Q585" s="55"/>
      <c r="R585" s="1944"/>
      <c r="S585" s="247"/>
    </row>
    <row r="586" spans="1:19">
      <c r="A586" s="247"/>
      <c r="B586" s="55"/>
      <c r="C586" s="55"/>
      <c r="D586" s="55"/>
      <c r="E586" s="55"/>
      <c r="F586" s="55"/>
      <c r="G586" s="55"/>
      <c r="H586" s="55"/>
      <c r="I586" s="55"/>
      <c r="J586" s="55"/>
      <c r="K586" s="55"/>
      <c r="L586" s="55"/>
      <c r="M586" s="55"/>
      <c r="N586" s="55"/>
      <c r="O586" s="55"/>
      <c r="P586" s="55"/>
      <c r="Q586" s="55"/>
      <c r="R586" s="1944"/>
      <c r="S586" s="247"/>
    </row>
    <row r="587" spans="1:19">
      <c r="A587" s="247"/>
      <c r="B587" s="55"/>
      <c r="C587" s="55"/>
      <c r="D587" s="55"/>
      <c r="E587" s="55"/>
      <c r="F587" s="55"/>
      <c r="G587" s="55"/>
      <c r="H587" s="55"/>
      <c r="I587" s="55"/>
      <c r="J587" s="55"/>
      <c r="K587" s="55"/>
      <c r="L587" s="55"/>
      <c r="M587" s="55"/>
      <c r="N587" s="55"/>
      <c r="O587" s="55"/>
      <c r="P587" s="55"/>
      <c r="Q587" s="55"/>
      <c r="R587" s="1944"/>
      <c r="S587" s="247"/>
    </row>
    <row r="588" spans="1:19">
      <c r="A588" s="247"/>
      <c r="B588" s="55"/>
      <c r="C588" s="55"/>
      <c r="D588" s="55"/>
      <c r="E588" s="55"/>
      <c r="F588" s="55"/>
      <c r="G588" s="55"/>
      <c r="H588" s="55"/>
      <c r="I588" s="55"/>
      <c r="J588" s="55"/>
      <c r="K588" s="55"/>
      <c r="L588" s="55"/>
      <c r="M588" s="55"/>
      <c r="N588" s="55"/>
      <c r="O588" s="55"/>
      <c r="P588" s="55"/>
      <c r="Q588" s="55"/>
      <c r="R588" s="1944"/>
      <c r="S588" s="247"/>
    </row>
    <row r="589" spans="1:19">
      <c r="A589" s="247"/>
      <c r="B589" s="55"/>
      <c r="C589" s="55"/>
      <c r="D589" s="55"/>
      <c r="E589" s="55"/>
      <c r="F589" s="55"/>
      <c r="G589" s="55"/>
      <c r="H589" s="55"/>
      <c r="I589" s="55"/>
      <c r="J589" s="55"/>
      <c r="K589" s="55"/>
      <c r="L589" s="55"/>
      <c r="M589" s="55"/>
      <c r="N589" s="55"/>
      <c r="O589" s="55"/>
      <c r="P589" s="55"/>
      <c r="Q589" s="55"/>
      <c r="R589" s="1944"/>
      <c r="S589" s="247"/>
    </row>
    <row r="590" spans="1:19">
      <c r="A590" s="247"/>
      <c r="B590" s="55"/>
      <c r="C590" s="55"/>
      <c r="D590" s="55"/>
      <c r="E590" s="55"/>
      <c r="F590" s="55"/>
      <c r="G590" s="55"/>
      <c r="H590" s="55"/>
      <c r="I590" s="55"/>
      <c r="J590" s="55"/>
      <c r="K590" s="55"/>
      <c r="L590" s="55"/>
      <c r="M590" s="55"/>
      <c r="N590" s="55"/>
      <c r="O590" s="55"/>
      <c r="P590" s="55"/>
      <c r="Q590" s="55"/>
      <c r="R590" s="1944"/>
      <c r="S590" s="247"/>
    </row>
    <row r="591" spans="1:19">
      <c r="A591" s="247"/>
      <c r="B591" s="55"/>
      <c r="C591" s="55"/>
      <c r="D591" s="55"/>
      <c r="E591" s="55"/>
      <c r="F591" s="55"/>
      <c r="G591" s="55"/>
      <c r="H591" s="55"/>
      <c r="I591" s="55"/>
      <c r="J591" s="55"/>
      <c r="K591" s="55"/>
      <c r="L591" s="55"/>
      <c r="M591" s="55"/>
      <c r="N591" s="55"/>
      <c r="O591" s="55"/>
      <c r="P591" s="55"/>
      <c r="Q591" s="55"/>
      <c r="R591" s="1944"/>
      <c r="S591" s="247"/>
    </row>
    <row r="592" spans="1:19">
      <c r="A592" s="247"/>
      <c r="B592" s="55"/>
      <c r="C592" s="55"/>
      <c r="D592" s="55"/>
      <c r="E592" s="55"/>
      <c r="F592" s="55"/>
      <c r="G592" s="55"/>
      <c r="H592" s="55"/>
      <c r="I592" s="55"/>
      <c r="J592" s="55"/>
      <c r="K592" s="55"/>
      <c r="L592" s="55"/>
      <c r="M592" s="55"/>
      <c r="N592" s="55"/>
      <c r="O592" s="55"/>
      <c r="P592" s="55"/>
      <c r="Q592" s="55"/>
      <c r="R592" s="1944"/>
      <c r="S592" s="247"/>
    </row>
    <row r="593" spans="1:19">
      <c r="A593" s="247"/>
      <c r="B593" s="55"/>
      <c r="C593" s="55"/>
      <c r="D593" s="55"/>
      <c r="E593" s="55"/>
      <c r="F593" s="55"/>
      <c r="G593" s="55"/>
      <c r="H593" s="55"/>
      <c r="I593" s="55"/>
      <c r="J593" s="55"/>
      <c r="K593" s="55"/>
      <c r="L593" s="55"/>
      <c r="M593" s="55"/>
      <c r="N593" s="55"/>
      <c r="O593" s="55"/>
      <c r="P593" s="55"/>
      <c r="Q593" s="55"/>
      <c r="R593" s="1944"/>
      <c r="S593" s="247"/>
    </row>
    <row r="594" spans="1:19">
      <c r="A594" s="247"/>
      <c r="B594" s="55"/>
      <c r="C594" s="55"/>
      <c r="D594" s="55"/>
      <c r="E594" s="55"/>
      <c r="F594" s="55"/>
      <c r="G594" s="55"/>
      <c r="H594" s="55"/>
      <c r="I594" s="55"/>
      <c r="J594" s="55"/>
      <c r="K594" s="55"/>
      <c r="L594" s="55"/>
      <c r="M594" s="55"/>
      <c r="N594" s="55"/>
      <c r="O594" s="55"/>
      <c r="P594" s="55"/>
      <c r="Q594" s="55"/>
      <c r="R594" s="1944"/>
      <c r="S594" s="247"/>
    </row>
    <row r="595" spans="1:19">
      <c r="A595" s="247"/>
      <c r="B595" s="55"/>
      <c r="C595" s="55"/>
      <c r="D595" s="55"/>
      <c r="E595" s="55"/>
      <c r="F595" s="55"/>
      <c r="G595" s="55"/>
      <c r="H595" s="55"/>
      <c r="I595" s="55"/>
      <c r="J595" s="55"/>
      <c r="K595" s="55"/>
      <c r="L595" s="55"/>
      <c r="M595" s="55"/>
      <c r="N595" s="55"/>
      <c r="O595" s="55"/>
      <c r="P595" s="55"/>
      <c r="Q595" s="55"/>
      <c r="R595" s="1944"/>
      <c r="S595" s="247"/>
    </row>
    <row r="596" spans="1:19">
      <c r="A596" s="247"/>
      <c r="B596" s="55"/>
      <c r="C596" s="55"/>
      <c r="D596" s="55"/>
      <c r="E596" s="55"/>
      <c r="F596" s="55"/>
      <c r="G596" s="55"/>
      <c r="H596" s="55"/>
      <c r="I596" s="55"/>
      <c r="J596" s="55"/>
      <c r="K596" s="55"/>
      <c r="L596" s="55"/>
      <c r="M596" s="55"/>
      <c r="N596" s="55"/>
      <c r="O596" s="55"/>
      <c r="P596" s="55"/>
      <c r="Q596" s="55"/>
      <c r="R596" s="1944"/>
      <c r="S596" s="247"/>
    </row>
    <row r="597" spans="1:19">
      <c r="A597" s="247"/>
      <c r="B597" s="55"/>
      <c r="C597" s="55"/>
      <c r="D597" s="55"/>
      <c r="E597" s="55"/>
      <c r="F597" s="55"/>
      <c r="G597" s="55"/>
      <c r="H597" s="55"/>
      <c r="I597" s="55"/>
      <c r="J597" s="55"/>
      <c r="K597" s="55"/>
      <c r="L597" s="55"/>
      <c r="M597" s="55"/>
      <c r="N597" s="55"/>
      <c r="O597" s="55"/>
      <c r="P597" s="55"/>
      <c r="Q597" s="55"/>
      <c r="R597" s="1944"/>
      <c r="S597" s="247"/>
    </row>
    <row r="598" spans="1:19">
      <c r="A598" s="247"/>
      <c r="B598" s="55"/>
      <c r="C598" s="55"/>
      <c r="D598" s="55"/>
      <c r="E598" s="55"/>
      <c r="F598" s="55"/>
      <c r="G598" s="55"/>
      <c r="H598" s="55"/>
      <c r="I598" s="55"/>
      <c r="J598" s="55"/>
      <c r="K598" s="55"/>
      <c r="L598" s="55"/>
      <c r="M598" s="55"/>
      <c r="N598" s="55"/>
      <c r="O598" s="55"/>
      <c r="P598" s="55"/>
      <c r="Q598" s="55"/>
      <c r="R598" s="1944"/>
      <c r="S598" s="247"/>
    </row>
    <row r="599" spans="1:19">
      <c r="A599" s="247"/>
      <c r="B599" s="55"/>
      <c r="C599" s="55"/>
      <c r="D599" s="55"/>
      <c r="E599" s="55"/>
      <c r="F599" s="55"/>
      <c r="G599" s="55"/>
      <c r="H599" s="55"/>
      <c r="I599" s="55"/>
      <c r="J599" s="55"/>
      <c r="K599" s="55"/>
      <c r="L599" s="55"/>
      <c r="M599" s="55"/>
      <c r="N599" s="55"/>
      <c r="O599" s="55"/>
      <c r="P599" s="55"/>
      <c r="Q599" s="55"/>
      <c r="R599" s="1944"/>
      <c r="S599" s="247"/>
    </row>
    <row r="600" spans="1:19">
      <c r="A600" s="247"/>
      <c r="B600" s="55"/>
      <c r="C600" s="55"/>
      <c r="D600" s="55"/>
      <c r="E600" s="55"/>
      <c r="F600" s="55"/>
      <c r="G600" s="55"/>
      <c r="H600" s="55"/>
      <c r="I600" s="55"/>
      <c r="J600" s="55"/>
      <c r="K600" s="55"/>
      <c r="L600" s="55"/>
      <c r="M600" s="55"/>
      <c r="N600" s="55"/>
      <c r="O600" s="55"/>
      <c r="P600" s="55"/>
      <c r="Q600" s="55"/>
      <c r="R600" s="1944"/>
      <c r="S600" s="247"/>
    </row>
    <row r="601" spans="1:19">
      <c r="A601" s="247"/>
      <c r="B601" s="55"/>
      <c r="C601" s="55"/>
      <c r="D601" s="55"/>
      <c r="E601" s="55"/>
      <c r="F601" s="55"/>
      <c r="G601" s="55"/>
      <c r="H601" s="55"/>
      <c r="I601" s="55"/>
      <c r="J601" s="55"/>
      <c r="K601" s="55"/>
      <c r="L601" s="55"/>
      <c r="M601" s="55"/>
      <c r="N601" s="55"/>
      <c r="O601" s="55"/>
      <c r="P601" s="55"/>
      <c r="Q601" s="55"/>
      <c r="R601" s="1944"/>
      <c r="S601" s="247"/>
    </row>
    <row r="602" spans="1:19">
      <c r="A602" s="247"/>
      <c r="B602" s="55"/>
      <c r="C602" s="55"/>
      <c r="D602" s="55"/>
      <c r="E602" s="55"/>
      <c r="F602" s="55"/>
      <c r="G602" s="55"/>
      <c r="H602" s="55"/>
      <c r="I602" s="55"/>
      <c r="J602" s="55"/>
      <c r="K602" s="55"/>
      <c r="L602" s="55"/>
      <c r="M602" s="55"/>
      <c r="N602" s="55"/>
      <c r="O602" s="55"/>
      <c r="P602" s="55"/>
      <c r="Q602" s="55"/>
      <c r="R602" s="1944"/>
      <c r="S602" s="247"/>
    </row>
    <row r="603" spans="1:19">
      <c r="A603" s="247"/>
      <c r="B603" s="55"/>
      <c r="C603" s="55"/>
      <c r="D603" s="55"/>
      <c r="E603" s="55"/>
      <c r="F603" s="55"/>
      <c r="G603" s="55"/>
      <c r="H603" s="55"/>
      <c r="I603" s="55"/>
      <c r="J603" s="55"/>
      <c r="K603" s="55"/>
      <c r="L603" s="55"/>
      <c r="M603" s="55"/>
      <c r="N603" s="55"/>
      <c r="O603" s="55"/>
      <c r="P603" s="55"/>
      <c r="Q603" s="55"/>
      <c r="R603" s="1944"/>
      <c r="S603" s="247"/>
    </row>
    <row r="604" spans="1:19">
      <c r="A604" s="247"/>
      <c r="B604" s="55"/>
      <c r="C604" s="55"/>
      <c r="D604" s="55"/>
      <c r="E604" s="55"/>
      <c r="F604" s="55"/>
      <c r="G604" s="55"/>
      <c r="H604" s="55"/>
      <c r="I604" s="55"/>
      <c r="J604" s="55"/>
      <c r="K604" s="55"/>
      <c r="L604" s="55"/>
      <c r="M604" s="55"/>
      <c r="N604" s="55"/>
      <c r="O604" s="55"/>
      <c r="P604" s="55"/>
      <c r="Q604" s="55"/>
      <c r="R604" s="1944"/>
      <c r="S604" s="247"/>
    </row>
    <row r="605" spans="1:19">
      <c r="A605" s="247"/>
      <c r="B605" s="55"/>
      <c r="C605" s="55"/>
      <c r="D605" s="55"/>
      <c r="E605" s="55"/>
      <c r="F605" s="55"/>
      <c r="G605" s="55"/>
      <c r="H605" s="55"/>
      <c r="I605" s="55"/>
      <c r="J605" s="55"/>
      <c r="K605" s="55"/>
      <c r="L605" s="55"/>
      <c r="M605" s="55"/>
      <c r="N605" s="55"/>
      <c r="O605" s="55"/>
      <c r="P605" s="55"/>
      <c r="Q605" s="55"/>
      <c r="R605" s="1944"/>
      <c r="S605" s="247"/>
    </row>
    <row r="606" spans="1:19">
      <c r="A606" s="247"/>
      <c r="B606" s="55"/>
      <c r="C606" s="55"/>
      <c r="D606" s="55"/>
      <c r="E606" s="55"/>
      <c r="F606" s="55"/>
      <c r="G606" s="55"/>
      <c r="H606" s="55"/>
      <c r="I606" s="55"/>
      <c r="J606" s="55"/>
      <c r="K606" s="55"/>
      <c r="L606" s="55"/>
      <c r="M606" s="55"/>
      <c r="N606" s="55"/>
      <c r="O606" s="55"/>
      <c r="P606" s="55"/>
      <c r="Q606" s="55"/>
      <c r="R606" s="1944"/>
      <c r="S606" s="247"/>
    </row>
    <row r="607" spans="1:19">
      <c r="A607" s="247"/>
      <c r="B607" s="55"/>
      <c r="C607" s="55"/>
      <c r="D607" s="55"/>
      <c r="E607" s="55"/>
      <c r="F607" s="55"/>
      <c r="G607" s="55"/>
      <c r="H607" s="55"/>
      <c r="I607" s="55"/>
      <c r="J607" s="55"/>
      <c r="K607" s="55"/>
      <c r="L607" s="55"/>
      <c r="M607" s="55"/>
      <c r="N607" s="55"/>
      <c r="O607" s="55"/>
      <c r="P607" s="55"/>
      <c r="Q607" s="55"/>
      <c r="R607" s="1944"/>
      <c r="S607" s="247"/>
    </row>
    <row r="608" spans="1:19">
      <c r="A608" s="247"/>
      <c r="B608" s="55"/>
      <c r="C608" s="55"/>
      <c r="D608" s="55"/>
      <c r="E608" s="55"/>
      <c r="F608" s="55"/>
      <c r="G608" s="55"/>
      <c r="H608" s="55"/>
      <c r="I608" s="55"/>
      <c r="J608" s="55"/>
      <c r="K608" s="55"/>
      <c r="L608" s="55"/>
      <c r="M608" s="55"/>
      <c r="N608" s="55"/>
      <c r="O608" s="55"/>
      <c r="P608" s="55"/>
      <c r="Q608" s="55"/>
      <c r="R608" s="1944"/>
      <c r="S608" s="247"/>
    </row>
    <row r="609" spans="1:19">
      <c r="A609" s="247"/>
      <c r="B609" s="55"/>
      <c r="C609" s="55"/>
      <c r="D609" s="55"/>
      <c r="E609" s="55"/>
      <c r="F609" s="55"/>
      <c r="G609" s="55"/>
      <c r="H609" s="55"/>
      <c r="I609" s="55"/>
      <c r="J609" s="55"/>
      <c r="K609" s="55"/>
      <c r="L609" s="55"/>
      <c r="M609" s="55"/>
      <c r="N609" s="55"/>
      <c r="O609" s="55"/>
      <c r="P609" s="55"/>
      <c r="Q609" s="55"/>
      <c r="R609" s="1944"/>
      <c r="S609" s="247"/>
    </row>
    <row r="610" spans="1:19">
      <c r="A610" s="247"/>
      <c r="B610" s="55"/>
      <c r="C610" s="55"/>
      <c r="D610" s="55"/>
      <c r="E610" s="55"/>
      <c r="F610" s="55"/>
      <c r="G610" s="55"/>
      <c r="H610" s="55"/>
      <c r="I610" s="55"/>
      <c r="J610" s="55"/>
      <c r="K610" s="55"/>
      <c r="L610" s="55"/>
      <c r="M610" s="55"/>
      <c r="N610" s="55"/>
      <c r="O610" s="55"/>
      <c r="P610" s="55"/>
      <c r="Q610" s="55"/>
      <c r="R610" s="1944"/>
      <c r="S610" s="247"/>
    </row>
    <row r="611" spans="1:19">
      <c r="A611" s="247"/>
      <c r="B611" s="55"/>
      <c r="C611" s="55"/>
      <c r="D611" s="55"/>
      <c r="E611" s="55"/>
      <c r="F611" s="55"/>
      <c r="G611" s="55"/>
      <c r="H611" s="55"/>
      <c r="I611" s="55"/>
      <c r="J611" s="55"/>
      <c r="K611" s="55"/>
      <c r="L611" s="55"/>
      <c r="M611" s="55"/>
      <c r="N611" s="55"/>
      <c r="O611" s="55"/>
      <c r="P611" s="55"/>
      <c r="Q611" s="55"/>
      <c r="R611" s="1944"/>
      <c r="S611" s="247"/>
    </row>
    <row r="612" spans="1:19">
      <c r="A612" s="247"/>
      <c r="B612" s="55"/>
      <c r="C612" s="55"/>
      <c r="D612" s="55"/>
      <c r="E612" s="55"/>
      <c r="F612" s="55"/>
      <c r="G612" s="55"/>
      <c r="H612" s="55"/>
      <c r="I612" s="55"/>
      <c r="J612" s="55"/>
      <c r="K612" s="55"/>
      <c r="L612" s="55"/>
      <c r="M612" s="55"/>
      <c r="N612" s="55"/>
      <c r="O612" s="55"/>
      <c r="P612" s="55"/>
      <c r="Q612" s="55"/>
      <c r="R612" s="1944"/>
      <c r="S612" s="247"/>
    </row>
    <row r="613" spans="1:19">
      <c r="A613" s="247"/>
      <c r="B613" s="55"/>
      <c r="C613" s="55"/>
      <c r="D613" s="55"/>
      <c r="E613" s="55"/>
      <c r="F613" s="55"/>
      <c r="G613" s="55"/>
      <c r="H613" s="55"/>
      <c r="I613" s="55"/>
      <c r="J613" s="55"/>
      <c r="K613" s="55"/>
      <c r="L613" s="55"/>
      <c r="M613" s="55"/>
      <c r="N613" s="55"/>
      <c r="O613" s="55"/>
      <c r="P613" s="55"/>
      <c r="Q613" s="55"/>
      <c r="R613" s="1944"/>
      <c r="S613" s="247"/>
    </row>
    <row r="614" spans="1:19">
      <c r="A614" s="247"/>
      <c r="B614" s="55"/>
      <c r="C614" s="55"/>
      <c r="D614" s="55"/>
      <c r="E614" s="55"/>
      <c r="F614" s="55"/>
      <c r="G614" s="55"/>
      <c r="H614" s="55"/>
      <c r="I614" s="55"/>
      <c r="J614" s="55"/>
      <c r="K614" s="55"/>
      <c r="L614" s="55"/>
      <c r="M614" s="55"/>
      <c r="N614" s="55"/>
      <c r="O614" s="55"/>
      <c r="P614" s="55"/>
      <c r="Q614" s="55"/>
      <c r="R614" s="1944"/>
      <c r="S614" s="247"/>
    </row>
    <row r="615" spans="1:19">
      <c r="A615" s="247"/>
      <c r="B615" s="55"/>
      <c r="C615" s="55"/>
      <c r="D615" s="55"/>
      <c r="E615" s="55"/>
      <c r="F615" s="55"/>
      <c r="G615" s="55"/>
      <c r="H615" s="55"/>
      <c r="I615" s="55"/>
      <c r="J615" s="55"/>
      <c r="K615" s="55"/>
      <c r="L615" s="55"/>
      <c r="M615" s="55"/>
      <c r="N615" s="55"/>
      <c r="O615" s="55"/>
      <c r="P615" s="55"/>
      <c r="Q615" s="55"/>
      <c r="R615" s="1944"/>
      <c r="S615" s="247"/>
    </row>
    <row r="616" spans="1:19">
      <c r="A616" s="247"/>
      <c r="B616" s="55"/>
      <c r="C616" s="55"/>
      <c r="D616" s="55"/>
      <c r="E616" s="55"/>
      <c r="F616" s="55"/>
      <c r="G616" s="55"/>
      <c r="H616" s="55"/>
      <c r="I616" s="55"/>
      <c r="J616" s="55"/>
      <c r="K616" s="55"/>
      <c r="L616" s="55"/>
      <c r="M616" s="55"/>
      <c r="N616" s="55"/>
      <c r="O616" s="55"/>
      <c r="P616" s="55"/>
      <c r="Q616" s="55"/>
      <c r="R616" s="1944"/>
      <c r="S616" s="247"/>
    </row>
    <row r="617" spans="1:19">
      <c r="A617" s="247"/>
      <c r="B617" s="55"/>
      <c r="C617" s="55"/>
      <c r="D617" s="55"/>
      <c r="E617" s="55"/>
      <c r="F617" s="55"/>
      <c r="G617" s="55"/>
      <c r="H617" s="55"/>
      <c r="I617" s="55"/>
      <c r="J617" s="55"/>
      <c r="K617" s="55"/>
      <c r="L617" s="55"/>
      <c r="M617" s="55"/>
      <c r="N617" s="55"/>
      <c r="O617" s="55"/>
      <c r="P617" s="55"/>
      <c r="Q617" s="55"/>
      <c r="R617" s="1944"/>
      <c r="S617" s="247"/>
    </row>
    <row r="618" spans="1:19">
      <c r="A618" s="247"/>
      <c r="B618" s="55"/>
      <c r="C618" s="55"/>
      <c r="D618" s="55"/>
      <c r="E618" s="55"/>
      <c r="F618" s="55"/>
      <c r="G618" s="55"/>
      <c r="H618" s="55"/>
      <c r="I618" s="55"/>
      <c r="J618" s="55"/>
      <c r="K618" s="55"/>
      <c r="L618" s="55"/>
      <c r="M618" s="55"/>
      <c r="N618" s="55"/>
      <c r="O618" s="55"/>
      <c r="P618" s="55"/>
      <c r="Q618" s="55"/>
      <c r="R618" s="1944"/>
      <c r="S618" s="247"/>
    </row>
    <row r="619" spans="1:19">
      <c r="A619" s="247"/>
      <c r="B619" s="55"/>
      <c r="C619" s="55"/>
      <c r="D619" s="55"/>
      <c r="E619" s="55"/>
      <c r="F619" s="55"/>
      <c r="G619" s="55"/>
      <c r="H619" s="55"/>
      <c r="I619" s="55"/>
      <c r="J619" s="55"/>
      <c r="K619" s="55"/>
      <c r="L619" s="55"/>
      <c r="M619" s="55"/>
      <c r="N619" s="55"/>
      <c r="O619" s="55"/>
      <c r="P619" s="55"/>
      <c r="Q619" s="55"/>
      <c r="R619" s="1944"/>
      <c r="S619" s="247"/>
    </row>
    <row r="620" spans="1:19">
      <c r="A620" s="247"/>
      <c r="B620" s="55"/>
      <c r="C620" s="55"/>
      <c r="D620" s="55"/>
      <c r="E620" s="55"/>
      <c r="F620" s="55"/>
      <c r="G620" s="55"/>
      <c r="H620" s="55"/>
      <c r="I620" s="55"/>
      <c r="J620" s="55"/>
      <c r="K620" s="55"/>
      <c r="L620" s="55"/>
      <c r="M620" s="55"/>
      <c r="N620" s="55"/>
      <c r="O620" s="55"/>
      <c r="P620" s="55"/>
      <c r="Q620" s="55"/>
      <c r="R620" s="1944"/>
      <c r="S620" s="247"/>
    </row>
    <row r="621" spans="1:19">
      <c r="A621" s="247"/>
      <c r="B621" s="55"/>
      <c r="C621" s="55"/>
      <c r="D621" s="55"/>
      <c r="E621" s="55"/>
      <c r="F621" s="55"/>
      <c r="G621" s="55"/>
      <c r="H621" s="55"/>
      <c r="I621" s="55"/>
      <c r="J621" s="55"/>
      <c r="K621" s="55"/>
      <c r="L621" s="55"/>
      <c r="M621" s="55"/>
      <c r="N621" s="55"/>
      <c r="O621" s="55"/>
      <c r="P621" s="55"/>
      <c r="Q621" s="55"/>
      <c r="R621" s="1944"/>
      <c r="S621" s="247"/>
    </row>
    <row r="622" spans="1:19">
      <c r="A622" s="247"/>
      <c r="B622" s="55"/>
      <c r="C622" s="55"/>
      <c r="D622" s="55"/>
      <c r="E622" s="55"/>
      <c r="F622" s="55"/>
      <c r="G622" s="55"/>
      <c r="H622" s="55"/>
      <c r="I622" s="55"/>
      <c r="J622" s="55"/>
      <c r="K622" s="55"/>
      <c r="L622" s="55"/>
      <c r="M622" s="55"/>
      <c r="N622" s="55"/>
      <c r="O622" s="55"/>
      <c r="P622" s="55"/>
      <c r="Q622" s="55"/>
      <c r="R622" s="1944"/>
      <c r="S622" s="247"/>
    </row>
    <row r="623" spans="1:19">
      <c r="A623" s="247"/>
      <c r="B623" s="55"/>
      <c r="C623" s="55"/>
      <c r="D623" s="55"/>
      <c r="E623" s="55"/>
      <c r="F623" s="55"/>
      <c r="G623" s="55"/>
      <c r="H623" s="55"/>
      <c r="I623" s="55"/>
      <c r="J623" s="55"/>
      <c r="K623" s="55"/>
      <c r="L623" s="55"/>
      <c r="M623" s="55"/>
      <c r="N623" s="55"/>
      <c r="O623" s="55"/>
      <c r="P623" s="55"/>
      <c r="Q623" s="55"/>
      <c r="R623" s="1944"/>
      <c r="S623" s="247"/>
    </row>
    <row r="624" spans="1:19">
      <c r="A624" s="247"/>
      <c r="B624" s="55"/>
      <c r="C624" s="55"/>
      <c r="D624" s="55"/>
      <c r="E624" s="55"/>
      <c r="F624" s="55"/>
      <c r="G624" s="55"/>
      <c r="H624" s="55"/>
      <c r="I624" s="55"/>
      <c r="J624" s="55"/>
      <c r="K624" s="55"/>
      <c r="L624" s="55"/>
      <c r="M624" s="55"/>
      <c r="N624" s="55"/>
      <c r="O624" s="55"/>
      <c r="P624" s="55"/>
      <c r="Q624" s="55"/>
      <c r="R624" s="1944"/>
      <c r="S624" s="247"/>
    </row>
    <row r="625" spans="1:19">
      <c r="A625" s="247"/>
      <c r="B625" s="55"/>
      <c r="C625" s="55"/>
      <c r="D625" s="55"/>
      <c r="E625" s="55"/>
      <c r="F625" s="55"/>
      <c r="G625" s="55"/>
      <c r="H625" s="55"/>
      <c r="I625" s="55"/>
      <c r="J625" s="55"/>
      <c r="K625" s="55"/>
      <c r="L625" s="55"/>
      <c r="M625" s="55"/>
      <c r="N625" s="55"/>
      <c r="O625" s="55"/>
      <c r="P625" s="55"/>
      <c r="Q625" s="55"/>
      <c r="R625" s="1944"/>
      <c r="S625" s="247"/>
    </row>
    <row r="626" spans="1:19">
      <c r="A626" s="247"/>
      <c r="B626" s="55"/>
      <c r="C626" s="55"/>
      <c r="D626" s="55"/>
      <c r="E626" s="55"/>
      <c r="F626" s="55"/>
      <c r="G626" s="55"/>
      <c r="H626" s="55"/>
      <c r="I626" s="55"/>
      <c r="J626" s="55"/>
      <c r="K626" s="55"/>
      <c r="L626" s="55"/>
      <c r="M626" s="55"/>
      <c r="N626" s="55"/>
      <c r="O626" s="55"/>
      <c r="P626" s="55"/>
      <c r="Q626" s="55"/>
      <c r="R626" s="1944"/>
      <c r="S626" s="247"/>
    </row>
    <row r="627" spans="1:19">
      <c r="A627" s="247"/>
      <c r="B627" s="55"/>
      <c r="C627" s="55"/>
      <c r="D627" s="55"/>
      <c r="E627" s="55"/>
      <c r="F627" s="55"/>
      <c r="G627" s="55"/>
      <c r="H627" s="55"/>
      <c r="I627" s="55"/>
      <c r="J627" s="55"/>
      <c r="K627" s="55"/>
      <c r="L627" s="55"/>
      <c r="M627" s="55"/>
      <c r="N627" s="55"/>
      <c r="O627" s="55"/>
      <c r="P627" s="55"/>
      <c r="Q627" s="55"/>
      <c r="R627" s="1944"/>
      <c r="S627" s="247"/>
    </row>
    <row r="628" spans="1:19">
      <c r="A628" s="247"/>
      <c r="B628" s="55"/>
      <c r="C628" s="55"/>
      <c r="D628" s="55"/>
      <c r="E628" s="55"/>
      <c r="F628" s="55"/>
      <c r="G628" s="55"/>
      <c r="H628" s="55"/>
      <c r="I628" s="55"/>
      <c r="J628" s="55"/>
      <c r="K628" s="55"/>
      <c r="L628" s="55"/>
      <c r="M628" s="55"/>
      <c r="N628" s="55"/>
      <c r="O628" s="55"/>
      <c r="P628" s="55"/>
      <c r="Q628" s="55"/>
      <c r="R628" s="1944"/>
      <c r="S628" s="247"/>
    </row>
    <row r="629" spans="1:19">
      <c r="A629" s="247"/>
      <c r="B629" s="55"/>
      <c r="C629" s="55"/>
      <c r="D629" s="55"/>
      <c r="E629" s="55"/>
      <c r="F629" s="55"/>
      <c r="G629" s="55"/>
      <c r="H629" s="55"/>
      <c r="I629" s="55"/>
      <c r="J629" s="55"/>
      <c r="K629" s="55"/>
      <c r="L629" s="55"/>
      <c r="M629" s="55"/>
      <c r="N629" s="55"/>
      <c r="O629" s="55"/>
      <c r="P629" s="55"/>
      <c r="Q629" s="55"/>
      <c r="R629" s="1944"/>
      <c r="S629" s="247"/>
    </row>
    <row r="630" spans="1:19">
      <c r="A630" s="247"/>
      <c r="B630" s="55"/>
      <c r="C630" s="55"/>
      <c r="D630" s="55"/>
      <c r="E630" s="55"/>
      <c r="F630" s="55"/>
      <c r="G630" s="55"/>
      <c r="H630" s="55"/>
      <c r="I630" s="55"/>
      <c r="J630" s="55"/>
      <c r="K630" s="55"/>
      <c r="L630" s="55"/>
      <c r="M630" s="55"/>
      <c r="N630" s="55"/>
      <c r="O630" s="55"/>
      <c r="P630" s="55"/>
      <c r="Q630" s="55"/>
      <c r="R630" s="1944"/>
      <c r="S630" s="247"/>
    </row>
    <row r="631" spans="1:19">
      <c r="A631" s="247"/>
      <c r="B631" s="55"/>
      <c r="C631" s="55"/>
      <c r="D631" s="55"/>
      <c r="E631" s="55"/>
      <c r="F631" s="55"/>
      <c r="G631" s="55"/>
      <c r="H631" s="55"/>
      <c r="I631" s="55"/>
      <c r="J631" s="55"/>
      <c r="K631" s="55"/>
      <c r="L631" s="55"/>
      <c r="M631" s="55"/>
      <c r="N631" s="55"/>
      <c r="O631" s="55"/>
      <c r="P631" s="55"/>
      <c r="Q631" s="55"/>
      <c r="R631" s="1944"/>
      <c r="S631" s="247"/>
    </row>
    <row r="632" spans="1:19">
      <c r="A632" s="247"/>
      <c r="B632" s="55"/>
      <c r="C632" s="55"/>
      <c r="D632" s="55"/>
      <c r="E632" s="55"/>
      <c r="F632" s="55"/>
      <c r="G632" s="55"/>
      <c r="H632" s="55"/>
      <c r="I632" s="55"/>
      <c r="J632" s="55"/>
      <c r="K632" s="55"/>
      <c r="L632" s="55"/>
      <c r="M632" s="55"/>
      <c r="N632" s="55"/>
      <c r="O632" s="55"/>
      <c r="P632" s="55"/>
      <c r="Q632" s="55"/>
      <c r="R632" s="1944"/>
      <c r="S632" s="247"/>
    </row>
    <row r="633" spans="1:19">
      <c r="A633" s="247"/>
      <c r="B633" s="55"/>
      <c r="C633" s="55"/>
      <c r="D633" s="55"/>
      <c r="E633" s="55"/>
      <c r="F633" s="55"/>
      <c r="G633" s="55"/>
      <c r="H633" s="55"/>
      <c r="I633" s="55"/>
      <c r="J633" s="55"/>
      <c r="K633" s="55"/>
      <c r="L633" s="55"/>
      <c r="M633" s="55"/>
      <c r="N633" s="55"/>
      <c r="O633" s="55"/>
      <c r="P633" s="55"/>
      <c r="Q633" s="55"/>
      <c r="R633" s="1944"/>
      <c r="S633" s="247"/>
    </row>
    <row r="634" spans="1:19">
      <c r="A634" s="247"/>
      <c r="B634" s="55"/>
      <c r="C634" s="55"/>
      <c r="D634" s="55"/>
      <c r="E634" s="55"/>
      <c r="F634" s="55"/>
      <c r="G634" s="55"/>
      <c r="H634" s="55"/>
      <c r="I634" s="55"/>
      <c r="J634" s="55"/>
      <c r="K634" s="55"/>
      <c r="L634" s="55"/>
      <c r="M634" s="55"/>
      <c r="N634" s="55"/>
      <c r="O634" s="55"/>
      <c r="P634" s="55"/>
      <c r="Q634" s="55"/>
      <c r="R634" s="1944"/>
      <c r="S634" s="247"/>
    </row>
    <row r="635" spans="1:19">
      <c r="A635" s="247"/>
      <c r="B635" s="55"/>
      <c r="C635" s="55"/>
      <c r="D635" s="55"/>
      <c r="E635" s="55"/>
      <c r="F635" s="55"/>
      <c r="G635" s="55"/>
      <c r="H635" s="55"/>
      <c r="I635" s="55"/>
      <c r="J635" s="55"/>
      <c r="K635" s="55"/>
      <c r="L635" s="55"/>
      <c r="M635" s="55"/>
      <c r="N635" s="55"/>
      <c r="O635" s="55"/>
      <c r="P635" s="55"/>
      <c r="Q635" s="55"/>
      <c r="R635" s="1944"/>
      <c r="S635" s="247"/>
    </row>
    <row r="636" spans="1:19">
      <c r="A636" s="247"/>
      <c r="B636" s="55"/>
      <c r="C636" s="55"/>
      <c r="D636" s="55"/>
      <c r="E636" s="55"/>
      <c r="F636" s="55"/>
      <c r="G636" s="55"/>
      <c r="H636" s="55"/>
      <c r="I636" s="55"/>
      <c r="J636" s="55"/>
      <c r="K636" s="55"/>
      <c r="L636" s="55"/>
      <c r="M636" s="55"/>
      <c r="N636" s="55"/>
      <c r="O636" s="55"/>
      <c r="P636" s="55"/>
      <c r="Q636" s="55"/>
      <c r="R636" s="1944"/>
      <c r="S636" s="247"/>
    </row>
    <row r="637" spans="1:19">
      <c r="A637" s="247"/>
      <c r="B637" s="55"/>
      <c r="C637" s="55"/>
      <c r="D637" s="55"/>
      <c r="E637" s="55"/>
      <c r="F637" s="55"/>
      <c r="G637" s="55"/>
      <c r="H637" s="55"/>
      <c r="I637" s="55"/>
      <c r="J637" s="55"/>
      <c r="K637" s="55"/>
      <c r="L637" s="55"/>
      <c r="M637" s="55"/>
      <c r="N637" s="55"/>
      <c r="O637" s="55"/>
      <c r="P637" s="55"/>
      <c r="Q637" s="55"/>
      <c r="R637" s="1944"/>
      <c r="S637" s="247"/>
    </row>
    <row r="638" spans="1:19">
      <c r="A638" s="247"/>
      <c r="B638" s="55"/>
      <c r="C638" s="55"/>
      <c r="D638" s="55"/>
      <c r="E638" s="55"/>
      <c r="F638" s="55"/>
      <c r="G638" s="55"/>
      <c r="H638" s="55"/>
      <c r="I638" s="55"/>
      <c r="J638" s="55"/>
      <c r="K638" s="55"/>
      <c r="L638" s="55"/>
      <c r="M638" s="55"/>
      <c r="N638" s="55"/>
      <c r="O638" s="55"/>
      <c r="P638" s="55"/>
      <c r="Q638" s="55"/>
      <c r="R638" s="1944"/>
      <c r="S638" s="247"/>
    </row>
    <row r="639" spans="1:19">
      <c r="A639" s="247"/>
      <c r="B639" s="55"/>
      <c r="C639" s="55"/>
      <c r="D639" s="55"/>
      <c r="E639" s="55"/>
      <c r="F639" s="55"/>
      <c r="G639" s="55"/>
      <c r="H639" s="55"/>
      <c r="I639" s="55"/>
      <c r="J639" s="55"/>
      <c r="K639" s="55"/>
      <c r="L639" s="55"/>
      <c r="M639" s="55"/>
      <c r="N639" s="55"/>
      <c r="O639" s="55"/>
      <c r="P639" s="55"/>
      <c r="Q639" s="55"/>
      <c r="R639" s="1944"/>
      <c r="S639" s="247"/>
    </row>
    <row r="640" spans="1:19">
      <c r="A640" s="247"/>
      <c r="B640" s="55"/>
      <c r="C640" s="55"/>
      <c r="D640" s="55"/>
      <c r="E640" s="55"/>
      <c r="F640" s="55"/>
      <c r="G640" s="55"/>
      <c r="H640" s="55"/>
      <c r="I640" s="55"/>
      <c r="J640" s="55"/>
      <c r="K640" s="55"/>
      <c r="L640" s="55"/>
      <c r="M640" s="55"/>
      <c r="N640" s="55"/>
      <c r="O640" s="55"/>
      <c r="P640" s="55"/>
      <c r="Q640" s="55"/>
      <c r="R640" s="1944"/>
      <c r="S640" s="247"/>
    </row>
    <row r="641" spans="1:19">
      <c r="A641" s="247"/>
      <c r="B641" s="55"/>
      <c r="C641" s="55"/>
      <c r="D641" s="55"/>
      <c r="E641" s="55"/>
      <c r="F641" s="55"/>
      <c r="G641" s="55"/>
      <c r="H641" s="55"/>
      <c r="I641" s="55"/>
      <c r="J641" s="55"/>
      <c r="K641" s="55"/>
      <c r="L641" s="55"/>
      <c r="M641" s="55"/>
      <c r="N641" s="55"/>
      <c r="O641" s="55"/>
      <c r="P641" s="55"/>
      <c r="Q641" s="55"/>
      <c r="R641" s="1944"/>
      <c r="S641" s="247"/>
    </row>
    <row r="642" spans="1:19">
      <c r="A642" s="247"/>
      <c r="B642" s="55"/>
      <c r="C642" s="55"/>
      <c r="D642" s="55"/>
      <c r="E642" s="55"/>
      <c r="F642" s="55"/>
      <c r="G642" s="55"/>
      <c r="H642" s="55"/>
      <c r="I642" s="55"/>
      <c r="J642" s="55"/>
      <c r="K642" s="55"/>
      <c r="L642" s="55"/>
      <c r="M642" s="55"/>
      <c r="N642" s="55"/>
      <c r="O642" s="55"/>
      <c r="P642" s="55"/>
      <c r="Q642" s="55"/>
      <c r="R642" s="1944"/>
      <c r="S642" s="247"/>
    </row>
    <row r="643" spans="1:19">
      <c r="A643" s="247"/>
      <c r="B643" s="55"/>
      <c r="C643" s="55"/>
      <c r="D643" s="55"/>
      <c r="E643" s="55"/>
      <c r="F643" s="55"/>
      <c r="G643" s="55"/>
      <c r="H643" s="55"/>
      <c r="I643" s="55"/>
      <c r="J643" s="55"/>
      <c r="K643" s="55"/>
      <c r="L643" s="55"/>
      <c r="M643" s="55"/>
      <c r="N643" s="55"/>
      <c r="O643" s="55"/>
      <c r="P643" s="55"/>
      <c r="Q643" s="55"/>
      <c r="R643" s="1944"/>
      <c r="S643" s="247"/>
    </row>
    <row r="644" spans="1:19">
      <c r="A644" s="247"/>
      <c r="B644" s="55"/>
      <c r="C644" s="55"/>
      <c r="D644" s="55"/>
      <c r="E644" s="55"/>
      <c r="F644" s="55"/>
      <c r="G644" s="55"/>
      <c r="H644" s="55"/>
      <c r="I644" s="55"/>
      <c r="J644" s="55"/>
      <c r="K644" s="55"/>
      <c r="L644" s="55"/>
      <c r="M644" s="55"/>
      <c r="N644" s="55"/>
      <c r="O644" s="55"/>
      <c r="P644" s="55"/>
      <c r="Q644" s="55"/>
      <c r="R644" s="1944"/>
      <c r="S644" s="247"/>
    </row>
    <row r="645" spans="1:19">
      <c r="A645" s="247"/>
      <c r="B645" s="55"/>
      <c r="C645" s="55"/>
      <c r="D645" s="55"/>
      <c r="E645" s="55"/>
      <c r="F645" s="55"/>
      <c r="G645" s="55"/>
      <c r="H645" s="55"/>
      <c r="I645" s="55"/>
      <c r="J645" s="55"/>
      <c r="K645" s="55"/>
      <c r="L645" s="55"/>
      <c r="M645" s="55"/>
      <c r="N645" s="55"/>
      <c r="O645" s="55"/>
      <c r="P645" s="55"/>
      <c r="Q645" s="55"/>
      <c r="R645" s="1944"/>
      <c r="S645" s="247"/>
    </row>
    <row r="646" spans="1:19">
      <c r="A646" s="247"/>
      <c r="B646" s="55"/>
      <c r="C646" s="55"/>
      <c r="D646" s="55"/>
      <c r="E646" s="55"/>
      <c r="F646" s="55"/>
      <c r="G646" s="55"/>
      <c r="H646" s="55"/>
      <c r="I646" s="55"/>
      <c r="J646" s="55"/>
      <c r="K646" s="55"/>
      <c r="L646" s="55"/>
      <c r="M646" s="55"/>
      <c r="N646" s="55"/>
      <c r="O646" s="55"/>
      <c r="P646" s="55"/>
      <c r="Q646" s="55"/>
      <c r="R646" s="1944"/>
      <c r="S646" s="247"/>
    </row>
    <row r="647" spans="1:19">
      <c r="A647" s="247"/>
      <c r="B647" s="55"/>
      <c r="C647" s="55"/>
      <c r="D647" s="55"/>
      <c r="E647" s="55"/>
      <c r="F647" s="55"/>
      <c r="G647" s="55"/>
      <c r="H647" s="55"/>
      <c r="I647" s="55"/>
      <c r="J647" s="55"/>
      <c r="K647" s="55"/>
      <c r="L647" s="55"/>
      <c r="M647" s="55"/>
      <c r="N647" s="55"/>
      <c r="O647" s="55"/>
      <c r="P647" s="55"/>
      <c r="Q647" s="55"/>
      <c r="R647" s="1944"/>
      <c r="S647" s="247"/>
    </row>
    <row r="648" spans="1:19">
      <c r="A648" s="247"/>
      <c r="B648" s="55"/>
      <c r="C648" s="55"/>
      <c r="D648" s="55"/>
      <c r="E648" s="55"/>
      <c r="F648" s="55"/>
      <c r="G648" s="55"/>
      <c r="H648" s="55"/>
      <c r="I648" s="55"/>
      <c r="J648" s="55"/>
      <c r="K648" s="55"/>
      <c r="L648" s="55"/>
      <c r="M648" s="55"/>
      <c r="N648" s="55"/>
      <c r="O648" s="55"/>
      <c r="P648" s="55"/>
      <c r="Q648" s="55"/>
      <c r="R648" s="1944"/>
      <c r="S648" s="247"/>
    </row>
    <row r="649" spans="1:19">
      <c r="A649" s="247"/>
      <c r="B649" s="55"/>
      <c r="C649" s="55"/>
      <c r="D649" s="55"/>
      <c r="E649" s="55"/>
      <c r="F649" s="55"/>
      <c r="G649" s="55"/>
      <c r="H649" s="55"/>
      <c r="I649" s="55"/>
      <c r="J649" s="55"/>
      <c r="K649" s="55"/>
      <c r="L649" s="55"/>
      <c r="M649" s="55"/>
      <c r="N649" s="55"/>
      <c r="O649" s="55"/>
      <c r="P649" s="55"/>
      <c r="Q649" s="55"/>
      <c r="R649" s="1944"/>
      <c r="S649" s="247"/>
    </row>
    <row r="650" spans="1:19">
      <c r="A650" s="247"/>
      <c r="B650" s="55"/>
      <c r="C650" s="55"/>
      <c r="D650" s="55"/>
      <c r="E650" s="55"/>
      <c r="F650" s="55"/>
      <c r="G650" s="55"/>
      <c r="H650" s="55"/>
      <c r="I650" s="55"/>
      <c r="J650" s="55"/>
      <c r="K650" s="55"/>
      <c r="L650" s="55"/>
      <c r="M650" s="55"/>
      <c r="N650" s="55"/>
      <c r="O650" s="55"/>
      <c r="P650" s="55"/>
      <c r="Q650" s="55"/>
      <c r="R650" s="1944"/>
      <c r="S650" s="247"/>
    </row>
    <row r="651" spans="1:19">
      <c r="A651" s="247"/>
      <c r="B651" s="55"/>
      <c r="C651" s="55"/>
      <c r="D651" s="55"/>
      <c r="E651" s="55"/>
      <c r="F651" s="55"/>
      <c r="G651" s="55"/>
      <c r="H651" s="55"/>
      <c r="I651" s="55"/>
      <c r="J651" s="55"/>
      <c r="K651" s="55"/>
      <c r="L651" s="55"/>
      <c r="M651" s="55"/>
      <c r="N651" s="55"/>
      <c r="O651" s="55"/>
      <c r="P651" s="55"/>
      <c r="Q651" s="55"/>
      <c r="R651" s="1944"/>
      <c r="S651" s="247"/>
    </row>
    <row r="652" spans="1:19">
      <c r="A652" s="247"/>
      <c r="B652" s="55"/>
      <c r="C652" s="55"/>
      <c r="D652" s="55"/>
      <c r="E652" s="55"/>
      <c r="F652" s="55"/>
      <c r="G652" s="55"/>
      <c r="H652" s="55"/>
      <c r="I652" s="55"/>
      <c r="J652" s="55"/>
      <c r="K652" s="55"/>
      <c r="L652" s="55"/>
      <c r="M652" s="55"/>
      <c r="N652" s="55"/>
      <c r="O652" s="55"/>
      <c r="P652" s="55"/>
      <c r="Q652" s="55"/>
      <c r="R652" s="1944"/>
      <c r="S652" s="247"/>
    </row>
    <row r="653" spans="1:19">
      <c r="A653" s="247"/>
      <c r="B653" s="55"/>
      <c r="C653" s="55"/>
      <c r="D653" s="55"/>
      <c r="E653" s="55"/>
      <c r="F653" s="55"/>
      <c r="G653" s="55"/>
      <c r="H653" s="55"/>
      <c r="I653" s="55"/>
      <c r="J653" s="55"/>
      <c r="K653" s="55"/>
      <c r="L653" s="55"/>
      <c r="M653" s="55"/>
      <c r="N653" s="55"/>
      <c r="O653" s="55"/>
      <c r="P653" s="55"/>
      <c r="Q653" s="55"/>
      <c r="R653" s="1944"/>
      <c r="S653" s="247"/>
    </row>
    <row r="654" spans="1:19">
      <c r="A654" s="247"/>
      <c r="B654" s="55"/>
      <c r="C654" s="55"/>
      <c r="D654" s="55"/>
      <c r="E654" s="55"/>
      <c r="F654" s="55"/>
      <c r="G654" s="55"/>
      <c r="H654" s="55"/>
      <c r="I654" s="55"/>
      <c r="J654" s="55"/>
      <c r="K654" s="55"/>
      <c r="L654" s="55"/>
      <c r="M654" s="55"/>
      <c r="N654" s="55"/>
      <c r="O654" s="55"/>
      <c r="P654" s="55"/>
      <c r="Q654" s="55"/>
      <c r="R654" s="1944"/>
      <c r="S654" s="247"/>
    </row>
    <row r="655" spans="1:19">
      <c r="A655" s="247"/>
      <c r="B655" s="55"/>
      <c r="C655" s="55"/>
      <c r="D655" s="55"/>
      <c r="E655" s="55"/>
      <c r="F655" s="55"/>
      <c r="G655" s="55"/>
      <c r="H655" s="55"/>
      <c r="I655" s="55"/>
      <c r="J655" s="55"/>
      <c r="K655" s="55"/>
      <c r="L655" s="55"/>
      <c r="M655" s="55"/>
      <c r="N655" s="55"/>
      <c r="O655" s="55"/>
      <c r="P655" s="55"/>
      <c r="Q655" s="55"/>
      <c r="R655" s="1944"/>
      <c r="S655" s="247"/>
    </row>
    <row r="656" spans="1:19">
      <c r="A656" s="247"/>
      <c r="B656" s="55"/>
      <c r="C656" s="55"/>
      <c r="D656" s="55"/>
      <c r="E656" s="55"/>
      <c r="F656" s="55"/>
      <c r="G656" s="55"/>
      <c r="H656" s="55"/>
      <c r="I656" s="55"/>
      <c r="J656" s="55"/>
      <c r="K656" s="55"/>
      <c r="L656" s="55"/>
      <c r="M656" s="55"/>
      <c r="N656" s="55"/>
      <c r="O656" s="55"/>
      <c r="P656" s="55"/>
      <c r="Q656" s="55"/>
      <c r="R656" s="1944"/>
      <c r="S656" s="247"/>
    </row>
    <row r="657" spans="1:19">
      <c r="A657" s="247"/>
      <c r="B657" s="55"/>
      <c r="C657" s="55"/>
      <c r="D657" s="55"/>
      <c r="E657" s="55"/>
      <c r="F657" s="55"/>
      <c r="G657" s="55"/>
      <c r="H657" s="55"/>
      <c r="I657" s="55"/>
      <c r="J657" s="55"/>
      <c r="K657" s="55"/>
      <c r="L657" s="55"/>
      <c r="M657" s="55"/>
      <c r="N657" s="55"/>
      <c r="O657" s="55"/>
      <c r="P657" s="55"/>
      <c r="Q657" s="55"/>
      <c r="R657" s="1944"/>
      <c r="S657" s="247"/>
    </row>
    <row r="658" spans="1:19">
      <c r="A658" s="247"/>
      <c r="B658" s="55"/>
      <c r="C658" s="55"/>
      <c r="D658" s="55"/>
      <c r="E658" s="55"/>
      <c r="F658" s="55"/>
      <c r="G658" s="55"/>
      <c r="H658" s="55"/>
      <c r="I658" s="55"/>
      <c r="J658" s="55"/>
      <c r="K658" s="55"/>
      <c r="L658" s="55"/>
      <c r="M658" s="55"/>
      <c r="N658" s="55"/>
      <c r="O658" s="55"/>
      <c r="P658" s="55"/>
      <c r="Q658" s="55"/>
      <c r="R658" s="1944"/>
      <c r="S658" s="247"/>
    </row>
    <row r="659" spans="1:19">
      <c r="A659" s="247"/>
      <c r="B659" s="55"/>
      <c r="C659" s="55"/>
      <c r="D659" s="55"/>
      <c r="E659" s="55"/>
      <c r="F659" s="55"/>
      <c r="G659" s="55"/>
      <c r="H659" s="55"/>
      <c r="I659" s="55"/>
      <c r="J659" s="55"/>
      <c r="K659" s="55"/>
      <c r="L659" s="55"/>
      <c r="M659" s="55"/>
      <c r="N659" s="55"/>
      <c r="O659" s="55"/>
      <c r="P659" s="55"/>
      <c r="Q659" s="55"/>
      <c r="R659" s="1944"/>
      <c r="S659" s="247"/>
    </row>
    <row r="660" spans="1:19">
      <c r="A660" s="247"/>
      <c r="B660" s="55"/>
      <c r="C660" s="55"/>
      <c r="D660" s="55"/>
      <c r="E660" s="55"/>
      <c r="F660" s="55"/>
      <c r="G660" s="55"/>
      <c r="H660" s="55"/>
      <c r="I660" s="55"/>
      <c r="J660" s="55"/>
      <c r="K660" s="55"/>
      <c r="L660" s="55"/>
      <c r="M660" s="55"/>
      <c r="N660" s="55"/>
      <c r="O660" s="55"/>
      <c r="P660" s="55"/>
      <c r="Q660" s="55"/>
      <c r="R660" s="1944"/>
      <c r="S660" s="247"/>
    </row>
    <row r="661" spans="1:19">
      <c r="A661" s="247"/>
      <c r="B661" s="55"/>
      <c r="C661" s="55"/>
      <c r="D661" s="55"/>
      <c r="E661" s="55"/>
      <c r="F661" s="55"/>
      <c r="G661" s="55"/>
      <c r="H661" s="55"/>
      <c r="I661" s="55"/>
      <c r="J661" s="55"/>
      <c r="K661" s="55"/>
      <c r="L661" s="55"/>
      <c r="M661" s="55"/>
      <c r="N661" s="55"/>
      <c r="O661" s="55"/>
      <c r="P661" s="55"/>
      <c r="Q661" s="55"/>
      <c r="R661" s="1944"/>
      <c r="S661" s="247"/>
    </row>
    <row r="662" spans="1:19">
      <c r="A662" s="247"/>
      <c r="B662" s="55"/>
      <c r="C662" s="55"/>
      <c r="D662" s="55"/>
      <c r="E662" s="55"/>
      <c r="F662" s="55"/>
      <c r="G662" s="55"/>
      <c r="H662" s="55"/>
      <c r="I662" s="55"/>
      <c r="J662" s="55"/>
      <c r="K662" s="55"/>
      <c r="L662" s="55"/>
      <c r="M662" s="55"/>
      <c r="N662" s="55"/>
      <c r="O662" s="55"/>
      <c r="P662" s="55"/>
      <c r="Q662" s="55"/>
      <c r="R662" s="1944"/>
      <c r="S662" s="247"/>
    </row>
    <row r="663" spans="1:19">
      <c r="A663" s="247"/>
      <c r="B663" s="55"/>
      <c r="C663" s="55"/>
      <c r="D663" s="55"/>
      <c r="E663" s="55"/>
      <c r="F663" s="55"/>
      <c r="G663" s="55"/>
      <c r="H663" s="55"/>
      <c r="I663" s="55"/>
      <c r="J663" s="55"/>
      <c r="K663" s="55"/>
      <c r="L663" s="55"/>
      <c r="M663" s="55"/>
      <c r="N663" s="55"/>
      <c r="O663" s="55"/>
      <c r="P663" s="55"/>
      <c r="Q663" s="55"/>
      <c r="R663" s="1944"/>
      <c r="S663" s="247"/>
    </row>
    <row r="664" spans="1:19">
      <c r="A664" s="247"/>
      <c r="B664" s="55"/>
      <c r="C664" s="55"/>
      <c r="D664" s="55"/>
      <c r="E664" s="55"/>
      <c r="F664" s="55"/>
      <c r="G664" s="55"/>
      <c r="H664" s="55"/>
      <c r="I664" s="55"/>
      <c r="J664" s="55"/>
      <c r="K664" s="55"/>
      <c r="L664" s="55"/>
      <c r="M664" s="55"/>
      <c r="N664" s="55"/>
      <c r="O664" s="55"/>
      <c r="P664" s="55"/>
      <c r="Q664" s="55"/>
      <c r="R664" s="1944"/>
      <c r="S664" s="247"/>
    </row>
    <row r="665" spans="1:19">
      <c r="A665" s="247"/>
      <c r="B665" s="55"/>
      <c r="C665" s="55"/>
      <c r="D665" s="55"/>
      <c r="E665" s="55"/>
      <c r="F665" s="55"/>
      <c r="G665" s="55"/>
      <c r="H665" s="55"/>
      <c r="I665" s="55"/>
      <c r="J665" s="55"/>
      <c r="K665" s="55"/>
      <c r="L665" s="55"/>
      <c r="M665" s="55"/>
      <c r="N665" s="55"/>
      <c r="O665" s="55"/>
      <c r="P665" s="55"/>
      <c r="Q665" s="55"/>
      <c r="R665" s="1944"/>
      <c r="S665" s="247"/>
    </row>
    <row r="666" spans="1:19">
      <c r="A666" s="247"/>
      <c r="B666" s="55"/>
      <c r="C666" s="55"/>
      <c r="D666" s="55"/>
      <c r="E666" s="55"/>
      <c r="F666" s="55"/>
      <c r="G666" s="55"/>
      <c r="H666" s="55"/>
      <c r="I666" s="55"/>
      <c r="J666" s="55"/>
      <c r="K666" s="55"/>
      <c r="L666" s="55"/>
      <c r="M666" s="55"/>
      <c r="N666" s="55"/>
      <c r="O666" s="55"/>
      <c r="P666" s="55"/>
      <c r="Q666" s="55"/>
      <c r="R666" s="1944"/>
      <c r="S666" s="247"/>
    </row>
    <row r="667" spans="1:19">
      <c r="A667" s="247"/>
      <c r="B667" s="55"/>
      <c r="C667" s="55"/>
      <c r="D667" s="55"/>
      <c r="E667" s="55"/>
      <c r="F667" s="55"/>
      <c r="G667" s="55"/>
      <c r="H667" s="55"/>
      <c r="I667" s="55"/>
      <c r="J667" s="55"/>
      <c r="K667" s="55"/>
      <c r="L667" s="55"/>
      <c r="M667" s="55"/>
      <c r="N667" s="55"/>
      <c r="O667" s="55"/>
      <c r="P667" s="55"/>
      <c r="Q667" s="55"/>
      <c r="R667" s="1944"/>
      <c r="S667" s="247"/>
    </row>
    <row r="668" spans="1:19">
      <c r="A668" s="247"/>
      <c r="B668" s="55"/>
      <c r="C668" s="55"/>
      <c r="D668" s="55"/>
      <c r="E668" s="55"/>
      <c r="F668" s="55"/>
      <c r="G668" s="55"/>
      <c r="H668" s="55"/>
      <c r="I668" s="55"/>
      <c r="J668" s="55"/>
      <c r="K668" s="55"/>
      <c r="L668" s="55"/>
      <c r="M668" s="55"/>
      <c r="N668" s="55"/>
      <c r="O668" s="55"/>
      <c r="P668" s="55"/>
      <c r="Q668" s="55"/>
      <c r="R668" s="1944"/>
      <c r="S668" s="247"/>
    </row>
    <row r="669" spans="1:19">
      <c r="A669" s="247"/>
      <c r="B669" s="55"/>
      <c r="C669" s="55"/>
      <c r="D669" s="55"/>
      <c r="E669" s="55"/>
      <c r="F669" s="55"/>
      <c r="G669" s="55"/>
      <c r="H669" s="55"/>
      <c r="I669" s="55"/>
      <c r="J669" s="55"/>
      <c r="K669" s="55"/>
      <c r="L669" s="55"/>
      <c r="M669" s="55"/>
      <c r="N669" s="55"/>
      <c r="O669" s="55"/>
      <c r="P669" s="55"/>
      <c r="Q669" s="55"/>
      <c r="R669" s="1944"/>
      <c r="S669" s="247"/>
    </row>
    <row r="670" spans="1:19">
      <c r="A670" s="247"/>
      <c r="B670" s="55"/>
      <c r="C670" s="55"/>
      <c r="D670" s="55"/>
      <c r="E670" s="55"/>
      <c r="F670" s="55"/>
      <c r="G670" s="55"/>
      <c r="H670" s="55"/>
      <c r="I670" s="55"/>
      <c r="J670" s="55"/>
      <c r="K670" s="55"/>
      <c r="L670" s="55"/>
      <c r="M670" s="55"/>
      <c r="N670" s="55"/>
      <c r="O670" s="55"/>
      <c r="P670" s="55"/>
      <c r="Q670" s="55"/>
      <c r="R670" s="1944"/>
      <c r="S670" s="247"/>
    </row>
    <row r="671" spans="1:19">
      <c r="A671" s="247"/>
      <c r="B671" s="55"/>
      <c r="C671" s="55"/>
      <c r="D671" s="55"/>
      <c r="E671" s="55"/>
      <c r="F671" s="55"/>
      <c r="G671" s="55"/>
      <c r="H671" s="55"/>
      <c r="I671" s="55"/>
      <c r="J671" s="55"/>
      <c r="K671" s="55"/>
      <c r="L671" s="55"/>
      <c r="M671" s="55"/>
      <c r="N671" s="55"/>
      <c r="O671" s="55"/>
      <c r="P671" s="55"/>
      <c r="Q671" s="55"/>
      <c r="R671" s="1944"/>
      <c r="S671" s="247"/>
    </row>
    <row r="672" spans="1:19">
      <c r="A672" s="247"/>
      <c r="B672" s="55"/>
      <c r="C672" s="55"/>
      <c r="D672" s="55"/>
      <c r="E672" s="55"/>
      <c r="F672" s="55"/>
      <c r="G672" s="55"/>
      <c r="H672" s="55"/>
      <c r="I672" s="55"/>
      <c r="J672" s="55"/>
      <c r="K672" s="55"/>
      <c r="L672" s="55"/>
      <c r="M672" s="55"/>
      <c r="N672" s="55"/>
      <c r="O672" s="55"/>
      <c r="P672" s="55"/>
      <c r="Q672" s="55"/>
      <c r="R672" s="1944"/>
      <c r="S672" s="247"/>
    </row>
    <row r="673" spans="1:19">
      <c r="A673" s="247"/>
      <c r="B673" s="55"/>
      <c r="C673" s="55"/>
      <c r="D673" s="55"/>
      <c r="E673" s="55"/>
      <c r="F673" s="55"/>
      <c r="G673" s="55"/>
      <c r="H673" s="55"/>
      <c r="I673" s="55"/>
      <c r="J673" s="55"/>
      <c r="K673" s="55"/>
      <c r="L673" s="55"/>
      <c r="M673" s="55"/>
      <c r="N673" s="55"/>
      <c r="O673" s="55"/>
      <c r="P673" s="55"/>
      <c r="Q673" s="55"/>
      <c r="R673" s="1944"/>
      <c r="S673" s="247"/>
    </row>
    <row r="674" spans="1:19">
      <c r="A674" s="247"/>
      <c r="B674" s="55"/>
      <c r="C674" s="55"/>
      <c r="D674" s="55"/>
      <c r="E674" s="55"/>
      <c r="F674" s="55"/>
      <c r="G674" s="55"/>
      <c r="H674" s="55"/>
      <c r="I674" s="55"/>
      <c r="J674" s="55"/>
      <c r="K674" s="55"/>
      <c r="L674" s="55"/>
      <c r="M674" s="55"/>
      <c r="N674" s="55"/>
      <c r="O674" s="55"/>
      <c r="P674" s="55"/>
      <c r="Q674" s="55"/>
      <c r="R674" s="1944"/>
      <c r="S674" s="247"/>
    </row>
    <row r="675" spans="1:19">
      <c r="A675" s="247"/>
      <c r="B675" s="55"/>
      <c r="C675" s="55"/>
      <c r="D675" s="55"/>
      <c r="E675" s="55"/>
      <c r="F675" s="55"/>
      <c r="G675" s="55"/>
      <c r="H675" s="55"/>
      <c r="I675" s="55"/>
      <c r="J675" s="55"/>
      <c r="K675" s="55"/>
      <c r="L675" s="55"/>
      <c r="M675" s="55"/>
      <c r="N675" s="55"/>
      <c r="O675" s="55"/>
      <c r="P675" s="55"/>
      <c r="Q675" s="55"/>
      <c r="R675" s="1944"/>
      <c r="S675" s="247"/>
    </row>
    <row r="676" spans="1:19">
      <c r="A676" s="247"/>
      <c r="B676" s="55"/>
      <c r="C676" s="55"/>
      <c r="D676" s="55"/>
      <c r="E676" s="55"/>
      <c r="F676" s="55"/>
      <c r="G676" s="55"/>
      <c r="H676" s="55"/>
      <c r="I676" s="55"/>
      <c r="J676" s="55"/>
      <c r="K676" s="55"/>
      <c r="L676" s="55"/>
      <c r="M676" s="55"/>
      <c r="N676" s="55"/>
      <c r="O676" s="55"/>
      <c r="P676" s="55"/>
      <c r="Q676" s="55"/>
      <c r="R676" s="1944"/>
      <c r="S676" s="247"/>
    </row>
    <row r="677" spans="1:19">
      <c r="A677" s="247"/>
      <c r="B677" s="55"/>
      <c r="C677" s="55"/>
      <c r="D677" s="55"/>
      <c r="E677" s="55"/>
      <c r="F677" s="55"/>
      <c r="G677" s="55"/>
      <c r="H677" s="55"/>
      <c r="I677" s="55"/>
      <c r="J677" s="55"/>
      <c r="K677" s="55"/>
      <c r="L677" s="55"/>
      <c r="M677" s="55"/>
      <c r="N677" s="55"/>
      <c r="O677" s="55"/>
      <c r="P677" s="55"/>
      <c r="Q677" s="55"/>
      <c r="R677" s="1944"/>
      <c r="S677" s="247"/>
    </row>
    <row r="678" spans="1:19">
      <c r="A678" s="247"/>
      <c r="B678" s="55"/>
      <c r="C678" s="55"/>
      <c r="D678" s="55"/>
      <c r="E678" s="55"/>
      <c r="F678" s="55"/>
      <c r="G678" s="55"/>
      <c r="H678" s="55"/>
      <c r="I678" s="55"/>
      <c r="J678" s="55"/>
      <c r="K678" s="55"/>
      <c r="L678" s="55"/>
      <c r="M678" s="55"/>
      <c r="N678" s="55"/>
      <c r="O678" s="55"/>
      <c r="P678" s="55"/>
      <c r="Q678" s="55"/>
      <c r="R678" s="1944"/>
      <c r="S678" s="247"/>
    </row>
    <row r="679" spans="1:19">
      <c r="A679" s="247"/>
      <c r="B679" s="55"/>
      <c r="C679" s="55"/>
      <c r="D679" s="55"/>
      <c r="E679" s="55"/>
      <c r="F679" s="55"/>
      <c r="G679" s="55"/>
      <c r="H679" s="55"/>
      <c r="I679" s="55"/>
      <c r="J679" s="55"/>
      <c r="K679" s="55"/>
      <c r="L679" s="55"/>
      <c r="M679" s="55"/>
      <c r="N679" s="55"/>
      <c r="O679" s="55"/>
      <c r="P679" s="55"/>
      <c r="Q679" s="55"/>
      <c r="R679" s="1944"/>
      <c r="S679" s="247"/>
    </row>
    <row r="680" spans="1:19">
      <c r="A680" s="247"/>
      <c r="B680" s="55"/>
      <c r="C680" s="55"/>
      <c r="D680" s="55"/>
      <c r="E680" s="55"/>
      <c r="F680" s="55"/>
      <c r="G680" s="55"/>
      <c r="H680" s="55"/>
      <c r="I680" s="55"/>
      <c r="J680" s="55"/>
      <c r="K680" s="55"/>
      <c r="L680" s="55"/>
      <c r="M680" s="55"/>
      <c r="N680" s="55"/>
      <c r="O680" s="55"/>
      <c r="P680" s="55"/>
      <c r="Q680" s="55"/>
      <c r="R680" s="1944"/>
      <c r="S680" s="247"/>
    </row>
    <row r="681" spans="1:19">
      <c r="A681" s="247"/>
      <c r="B681" s="55"/>
      <c r="C681" s="55"/>
      <c r="D681" s="55"/>
      <c r="E681" s="55"/>
      <c r="F681" s="55"/>
      <c r="G681" s="55"/>
      <c r="H681" s="55"/>
      <c r="I681" s="55"/>
      <c r="J681" s="55"/>
      <c r="K681" s="55"/>
      <c r="L681" s="55"/>
      <c r="M681" s="55"/>
      <c r="N681" s="55"/>
      <c r="O681" s="55"/>
      <c r="P681" s="55"/>
      <c r="Q681" s="55"/>
      <c r="R681" s="1944"/>
      <c r="S681" s="247"/>
    </row>
    <row r="682" spans="1:19">
      <c r="A682" s="247"/>
      <c r="B682" s="55"/>
      <c r="C682" s="55"/>
      <c r="D682" s="55"/>
      <c r="E682" s="55"/>
      <c r="F682" s="55"/>
      <c r="G682" s="55"/>
      <c r="H682" s="55"/>
      <c r="I682" s="55"/>
      <c r="J682" s="55"/>
      <c r="K682" s="55"/>
      <c r="L682" s="55"/>
      <c r="M682" s="55"/>
      <c r="N682" s="55"/>
      <c r="O682" s="55"/>
      <c r="P682" s="55"/>
      <c r="Q682" s="55"/>
      <c r="R682" s="1944"/>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45378</v>
      </c>
      <c r="H1" s="2416">
        <f>IF(C1&gt;C13,0,MATCH(C1,C$13:C$111,-1))+IF(SUMIF(C13:C111,C1,D13:D111)=0,13,12)</f>
        <v>13</v>
      </c>
      <c r="I1" s="2416">
        <f ca="1">MATCH(C2,H3:H7,1)+IF(SUMIF(H3:H7,C2,I3:I7)=0,2,1)</f>
        <v>4</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2"/>
      <c r="B23" s="2462" t="s">
        <v>2290</v>
      </c>
      <c r="C23" s="2470">
        <v>43697</v>
      </c>
      <c r="D23" s="3019">
        <v>4.25</v>
      </c>
      <c r="E23" s="3019">
        <v>4.25</v>
      </c>
      <c r="F23" s="3019">
        <v>4.25</v>
      </c>
      <c r="G23" s="3019">
        <v>4.25</v>
      </c>
      <c r="H23" s="3019">
        <v>4.8499999999999996</v>
      </c>
      <c r="I23" s="3019"/>
      <c r="J23" s="3019"/>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3"/>
      <c r="C24" s="3024">
        <v>42301</v>
      </c>
      <c r="D24" s="3025">
        <v>4.3499999999999996</v>
      </c>
      <c r="E24" s="3025">
        <v>4.3499999999999996</v>
      </c>
      <c r="F24" s="3025">
        <v>4.75</v>
      </c>
      <c r="G24" s="3025">
        <v>4.75</v>
      </c>
      <c r="H24" s="3025">
        <v>4.9000000000000004</v>
      </c>
      <c r="I24" s="3025"/>
      <c r="J24" s="3025"/>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J1" workbookViewId="0">
      <selection activeCell="B13" sqref="B13"/>
    </sheetView>
  </sheetViews>
  <sheetFormatPr defaultColWidth="11.875" defaultRowHeight="13.5"/>
  <cols>
    <col min="1" max="6" width="11.875" style="3663"/>
    <col min="7" max="7" width="11.875" style="3664"/>
    <col min="8" max="8" width="8.5" style="3663" customWidth="1"/>
    <col min="9" max="9" width="21.25" style="3663" customWidth="1"/>
    <col min="10" max="16384" width="11.875" style="3663"/>
  </cols>
  <sheetData>
    <row r="1" spans="1:20">
      <c r="A1" s="3663" t="s">
        <v>3292</v>
      </c>
      <c r="B1" s="3663" t="s">
        <v>3293</v>
      </c>
      <c r="C1" s="3663" t="s">
        <v>3294</v>
      </c>
      <c r="D1" s="3663" t="s">
        <v>3295</v>
      </c>
      <c r="E1" s="3663" t="s">
        <v>3296</v>
      </c>
      <c r="F1" s="3663" t="s">
        <v>3297</v>
      </c>
      <c r="G1" s="3664" t="s">
        <v>1550</v>
      </c>
      <c r="H1" s="3663" t="s">
        <v>3298</v>
      </c>
      <c r="I1" s="3663" t="s">
        <v>3299</v>
      </c>
      <c r="J1" s="3663" t="s">
        <v>3300</v>
      </c>
      <c r="K1" s="3663" t="s">
        <v>3301</v>
      </c>
      <c r="L1" s="3663" t="s">
        <v>3302</v>
      </c>
      <c r="M1" s="3663" t="s">
        <v>3303</v>
      </c>
      <c r="N1" s="3663" t="s">
        <v>3304</v>
      </c>
      <c r="O1" s="3663" t="s">
        <v>3305</v>
      </c>
      <c r="P1" s="3663" t="s">
        <v>3306</v>
      </c>
      <c r="Q1" s="3663" t="s">
        <v>3307</v>
      </c>
      <c r="R1" s="3663" t="s">
        <v>3308</v>
      </c>
      <c r="S1" s="3663" t="s">
        <v>3309</v>
      </c>
      <c r="T1" s="3663">
        <f>[3]常用公式!C18</f>
        <v>1.4167000000000001</v>
      </c>
    </row>
    <row r="2" spans="1:20" s="3665" customFormat="1">
      <c r="A2" s="3665" t="s">
        <v>3310</v>
      </c>
      <c r="B2" s="3665" t="s">
        <v>1465</v>
      </c>
      <c r="C2" s="3665" t="s">
        <v>3311</v>
      </c>
      <c r="D2" s="3665" t="s">
        <v>3312</v>
      </c>
      <c r="E2" s="3665">
        <v>17549.900000000001</v>
      </c>
      <c r="F2" s="3665">
        <v>17549.900000000001</v>
      </c>
      <c r="G2" s="3666" t="s">
        <v>3313</v>
      </c>
      <c r="H2" s="3665" t="s">
        <v>3314</v>
      </c>
      <c r="I2" s="3665" t="s">
        <v>3315</v>
      </c>
      <c r="J2" s="3667">
        <v>45322.000497685185</v>
      </c>
      <c r="K2" s="3665" t="s">
        <v>3316</v>
      </c>
      <c r="L2" s="3665" t="s">
        <v>3317</v>
      </c>
      <c r="M2" s="3665">
        <v>2100.7199999999998</v>
      </c>
      <c r="N2" s="3665">
        <v>430</v>
      </c>
      <c r="O2" s="3665">
        <v>2100.7199999999998</v>
      </c>
      <c r="P2" s="3665">
        <v>1196.99</v>
      </c>
      <c r="Q2" s="3665">
        <v>79.8</v>
      </c>
      <c r="R2" s="3665">
        <v>1197</v>
      </c>
      <c r="S2" s="3665">
        <v>20</v>
      </c>
      <c r="T2" s="3665">
        <f>ROUND(R2*$T$1,0)</f>
        <v>1696</v>
      </c>
    </row>
    <row r="3" spans="1:20" s="3665" customFormat="1">
      <c r="A3" s="3665" t="s">
        <v>3318</v>
      </c>
      <c r="B3" s="3665" t="s">
        <v>1465</v>
      </c>
      <c r="C3" s="3665" t="s">
        <v>3319</v>
      </c>
      <c r="D3" s="3665" t="s">
        <v>3312</v>
      </c>
      <c r="E3" s="3665">
        <v>72656</v>
      </c>
      <c r="F3" s="3665">
        <v>145312</v>
      </c>
      <c r="G3" s="3666" t="s">
        <v>3320</v>
      </c>
      <c r="H3" s="3665" t="s">
        <v>3314</v>
      </c>
      <c r="I3" s="3665" t="s">
        <v>3321</v>
      </c>
      <c r="J3" s="3667">
        <v>45279.000497685185</v>
      </c>
      <c r="K3" s="3665" t="s">
        <v>3316</v>
      </c>
      <c r="L3" s="3665" t="s">
        <v>3322</v>
      </c>
      <c r="M3" s="3665">
        <v>19181.18</v>
      </c>
      <c r="N3" s="3665">
        <v>4795.3</v>
      </c>
      <c r="O3" s="3665">
        <v>19181.18</v>
      </c>
      <c r="P3" s="3665">
        <v>2639.99</v>
      </c>
      <c r="Q3" s="3665">
        <v>176</v>
      </c>
      <c r="R3" s="3665">
        <v>1320</v>
      </c>
      <c r="S3" s="3665" t="s">
        <v>3323</v>
      </c>
      <c r="T3" s="3665">
        <f t="shared" ref="T3:T43" si="0">ROUND(R3*$T$1,0)</f>
        <v>1870</v>
      </c>
    </row>
    <row r="4" spans="1:20">
      <c r="A4" s="3663" t="s">
        <v>3324</v>
      </c>
      <c r="B4" s="3663" t="s">
        <v>1465</v>
      </c>
      <c r="C4" s="3663" t="s">
        <v>3325</v>
      </c>
      <c r="D4" s="3663" t="s">
        <v>3312</v>
      </c>
      <c r="E4" s="3663">
        <v>16968</v>
      </c>
      <c r="F4" s="3663">
        <v>40904</v>
      </c>
      <c r="G4" s="3664" t="s">
        <v>3326</v>
      </c>
      <c r="H4" s="3663" t="s">
        <v>3314</v>
      </c>
      <c r="I4" s="3663" t="s">
        <v>3327</v>
      </c>
      <c r="J4" s="3668">
        <v>45210.000497685185</v>
      </c>
      <c r="K4" s="3663" t="s">
        <v>3316</v>
      </c>
      <c r="L4" s="3663" t="s">
        <v>3328</v>
      </c>
      <c r="M4" s="3663">
        <v>7041.48</v>
      </c>
      <c r="N4" s="3663">
        <v>1760.37</v>
      </c>
      <c r="O4" s="3663">
        <v>7041.48</v>
      </c>
      <c r="P4" s="3663">
        <v>4149.8500000000004</v>
      </c>
      <c r="Q4" s="3663">
        <v>276.66000000000003</v>
      </c>
      <c r="R4" s="3663">
        <v>1721</v>
      </c>
      <c r="S4" s="3663" t="s">
        <v>3323</v>
      </c>
      <c r="T4" s="3663">
        <f t="shared" si="0"/>
        <v>2438</v>
      </c>
    </row>
    <row r="5" spans="1:20">
      <c r="A5" s="3663" t="s">
        <v>3329</v>
      </c>
      <c r="B5" s="3663" t="s">
        <v>1465</v>
      </c>
      <c r="C5" s="3663" t="s">
        <v>3330</v>
      </c>
      <c r="D5" s="3663" t="s">
        <v>3312</v>
      </c>
      <c r="E5" s="3663">
        <v>14975.1</v>
      </c>
      <c r="F5" s="3663">
        <v>22462.65</v>
      </c>
      <c r="G5" s="3664">
        <v>1.5</v>
      </c>
      <c r="H5" s="3663" t="s">
        <v>3314</v>
      </c>
      <c r="I5" s="3663" t="s">
        <v>3331</v>
      </c>
      <c r="J5" s="3668">
        <v>45195.000497685185</v>
      </c>
      <c r="K5" s="3663" t="s">
        <v>3316</v>
      </c>
      <c r="L5" s="3663" t="s">
        <v>3332</v>
      </c>
      <c r="M5" s="3663">
        <v>1682.45</v>
      </c>
      <c r="N5" s="3663">
        <v>420.61</v>
      </c>
      <c r="O5" s="3663">
        <v>1682.45</v>
      </c>
      <c r="P5" s="3663">
        <v>1123.49</v>
      </c>
      <c r="Q5" s="3663">
        <v>74.900000000000006</v>
      </c>
      <c r="R5" s="3663">
        <v>749</v>
      </c>
      <c r="S5" s="3663" t="s">
        <v>3323</v>
      </c>
      <c r="T5" s="3663">
        <f t="shared" si="0"/>
        <v>1061</v>
      </c>
    </row>
    <row r="6" spans="1:20">
      <c r="A6" s="3663" t="s">
        <v>3333</v>
      </c>
      <c r="B6" s="3663" t="s">
        <v>1465</v>
      </c>
      <c r="C6" s="3663" t="s">
        <v>3334</v>
      </c>
      <c r="D6" s="3663" t="s">
        <v>3312</v>
      </c>
      <c r="E6" s="3663">
        <v>74702.7</v>
      </c>
      <c r="F6" s="3663">
        <v>110253.98</v>
      </c>
      <c r="G6" s="3664">
        <v>1.48</v>
      </c>
      <c r="H6" s="3663" t="s">
        <v>3314</v>
      </c>
      <c r="I6" s="3663" t="s">
        <v>3335</v>
      </c>
      <c r="J6" s="3668">
        <v>45187.000497685185</v>
      </c>
      <c r="K6" s="3663" t="s">
        <v>3316</v>
      </c>
      <c r="L6" s="3663" t="s">
        <v>3336</v>
      </c>
      <c r="M6" s="3663">
        <v>16910.09</v>
      </c>
      <c r="N6" s="3663">
        <v>3400</v>
      </c>
      <c r="O6" s="3663">
        <v>16910.09</v>
      </c>
      <c r="P6" s="3663">
        <v>2263.65</v>
      </c>
      <c r="Q6" s="3663">
        <v>150.91</v>
      </c>
      <c r="R6" s="3663">
        <v>1534</v>
      </c>
      <c r="S6" s="3663" t="s">
        <v>3323</v>
      </c>
      <c r="T6" s="3663">
        <f t="shared" si="0"/>
        <v>2173</v>
      </c>
    </row>
    <row r="7" spans="1:20">
      <c r="A7" s="3663" t="s">
        <v>3337</v>
      </c>
      <c r="B7" s="3663" t="s">
        <v>1465</v>
      </c>
      <c r="C7" s="3663" t="s">
        <v>3338</v>
      </c>
      <c r="D7" s="3663" t="s">
        <v>3312</v>
      </c>
      <c r="E7" s="3663">
        <v>26178.400000000001</v>
      </c>
      <c r="F7" s="3663">
        <v>52356.800000000003</v>
      </c>
      <c r="G7" s="3664">
        <v>2</v>
      </c>
      <c r="H7" s="3663" t="s">
        <v>3314</v>
      </c>
      <c r="I7" s="3663" t="s">
        <v>3331</v>
      </c>
      <c r="J7" s="3668">
        <v>45140.000497685185</v>
      </c>
      <c r="K7" s="3663" t="s">
        <v>3316</v>
      </c>
      <c r="L7" s="3663" t="s">
        <v>3339</v>
      </c>
      <c r="M7" s="3663">
        <v>3413.66</v>
      </c>
      <c r="N7" s="3663">
        <v>853.42</v>
      </c>
      <c r="O7" s="3663">
        <v>3413.66</v>
      </c>
      <c r="P7" s="3663">
        <v>1303.99</v>
      </c>
      <c r="Q7" s="3663">
        <v>86.93</v>
      </c>
      <c r="R7" s="3663">
        <v>652</v>
      </c>
      <c r="S7" s="3663" t="s">
        <v>3323</v>
      </c>
      <c r="T7" s="3663">
        <f t="shared" si="0"/>
        <v>924</v>
      </c>
    </row>
    <row r="8" spans="1:20">
      <c r="A8" s="3663" t="s">
        <v>3340</v>
      </c>
      <c r="B8" s="3663" t="s">
        <v>1465</v>
      </c>
      <c r="C8" s="3663" t="s">
        <v>3341</v>
      </c>
      <c r="D8" s="3663" t="s">
        <v>3312</v>
      </c>
      <c r="E8" s="3663">
        <v>14078.7</v>
      </c>
      <c r="F8" s="3663">
        <v>28157.4</v>
      </c>
      <c r="G8" s="3664">
        <v>2</v>
      </c>
      <c r="H8" s="3663" t="s">
        <v>3314</v>
      </c>
      <c r="I8" s="3663" t="s">
        <v>3331</v>
      </c>
      <c r="J8" s="3668">
        <v>45112.000497685185</v>
      </c>
      <c r="K8" s="3663" t="s">
        <v>3316</v>
      </c>
      <c r="L8" s="3663" t="s">
        <v>3342</v>
      </c>
      <c r="M8" s="3663">
        <v>2044.23</v>
      </c>
      <c r="N8" s="3663">
        <v>511.06</v>
      </c>
      <c r="O8" s="3663">
        <v>2044.23</v>
      </c>
      <c r="P8" s="3663">
        <v>1452</v>
      </c>
      <c r="Q8" s="3663">
        <v>96.8</v>
      </c>
      <c r="R8" s="3663">
        <v>726</v>
      </c>
      <c r="S8" s="3663" t="s">
        <v>3323</v>
      </c>
      <c r="T8" s="3663">
        <f t="shared" si="0"/>
        <v>1029</v>
      </c>
    </row>
    <row r="9" spans="1:20">
      <c r="A9" s="3663" t="s">
        <v>3343</v>
      </c>
      <c r="B9" s="3663" t="s">
        <v>1465</v>
      </c>
      <c r="C9" s="3663" t="s">
        <v>3344</v>
      </c>
      <c r="D9" s="3663" t="s">
        <v>3312</v>
      </c>
      <c r="E9" s="3663">
        <v>20278.599999999999</v>
      </c>
      <c r="F9" s="3663">
        <v>50696.5</v>
      </c>
      <c r="G9" s="3664" t="s">
        <v>3326</v>
      </c>
      <c r="H9" s="3663" t="s">
        <v>3314</v>
      </c>
      <c r="I9" s="3663" t="s">
        <v>3345</v>
      </c>
      <c r="J9" s="3668">
        <v>45052.000497685185</v>
      </c>
      <c r="K9" s="3663" t="s">
        <v>3316</v>
      </c>
      <c r="L9" s="3663" t="s">
        <v>3346</v>
      </c>
      <c r="M9" s="3663">
        <v>2975.88</v>
      </c>
      <c r="N9" s="3663">
        <v>743.97</v>
      </c>
      <c r="O9" s="3663">
        <v>2975.88</v>
      </c>
      <c r="P9" s="3663">
        <v>1467.49</v>
      </c>
      <c r="Q9" s="3663">
        <v>97.83</v>
      </c>
      <c r="R9" s="3663">
        <v>587</v>
      </c>
      <c r="S9" s="3663" t="s">
        <v>3323</v>
      </c>
      <c r="T9" s="3663">
        <f t="shared" si="0"/>
        <v>832</v>
      </c>
    </row>
    <row r="10" spans="1:20" s="3665" customFormat="1">
      <c r="A10" s="3665" t="s">
        <v>3347</v>
      </c>
      <c r="B10" s="3665" t="s">
        <v>1465</v>
      </c>
      <c r="C10" s="3665" t="s">
        <v>3348</v>
      </c>
      <c r="D10" s="3665" t="s">
        <v>3312</v>
      </c>
      <c r="E10" s="3665">
        <v>52522.559999999998</v>
      </c>
      <c r="F10" s="3665">
        <v>78783.839999999997</v>
      </c>
      <c r="G10" s="3666">
        <v>1.5</v>
      </c>
      <c r="H10" s="3665" t="s">
        <v>3314</v>
      </c>
      <c r="I10" s="3665" t="s">
        <v>3349</v>
      </c>
      <c r="J10" s="3667">
        <v>45033.000497685185</v>
      </c>
      <c r="K10" s="3665" t="s">
        <v>3316</v>
      </c>
      <c r="L10" s="3665" t="s">
        <v>3350</v>
      </c>
      <c r="M10" s="3665">
        <v>9585.85</v>
      </c>
      <c r="N10" s="3665">
        <v>1900</v>
      </c>
      <c r="O10" s="3665">
        <v>9585.85</v>
      </c>
      <c r="P10" s="3665">
        <v>1825.09</v>
      </c>
      <c r="Q10" s="3665">
        <v>121.67</v>
      </c>
      <c r="R10" s="3665">
        <v>1217</v>
      </c>
      <c r="S10" s="3665" t="s">
        <v>3323</v>
      </c>
      <c r="T10" s="3665">
        <f t="shared" si="0"/>
        <v>1724</v>
      </c>
    </row>
    <row r="11" spans="1:20">
      <c r="A11" s="3663" t="s">
        <v>3351</v>
      </c>
      <c r="B11" s="3663" t="s">
        <v>1465</v>
      </c>
      <c r="C11" s="3663" t="s">
        <v>3352</v>
      </c>
      <c r="D11" s="3663" t="s">
        <v>3312</v>
      </c>
      <c r="E11" s="3663">
        <v>20292</v>
      </c>
      <c r="F11" s="3663">
        <v>40584</v>
      </c>
      <c r="G11" s="3664" t="s">
        <v>3353</v>
      </c>
      <c r="H11" s="3663" t="s">
        <v>3314</v>
      </c>
      <c r="I11" s="3663" t="s">
        <v>3345</v>
      </c>
      <c r="J11" s="3668">
        <v>45021.000497685185</v>
      </c>
      <c r="K11" s="3663" t="s">
        <v>3316</v>
      </c>
      <c r="L11" s="3663" t="s">
        <v>3354</v>
      </c>
      <c r="M11" s="3663">
        <v>2317.35</v>
      </c>
      <c r="N11" s="3663">
        <v>579.34</v>
      </c>
      <c r="O11" s="3663">
        <v>2317.35</v>
      </c>
      <c r="P11" s="3663">
        <v>1142</v>
      </c>
      <c r="Q11" s="3663">
        <v>76.13</v>
      </c>
      <c r="R11" s="3663">
        <v>571</v>
      </c>
      <c r="S11" s="3663" t="s">
        <v>3323</v>
      </c>
      <c r="T11" s="3663">
        <f t="shared" si="0"/>
        <v>809</v>
      </c>
    </row>
    <row r="12" spans="1:20">
      <c r="A12" s="3663" t="s">
        <v>3355</v>
      </c>
      <c r="B12" s="3663" t="s">
        <v>1465</v>
      </c>
      <c r="C12" s="3663" t="s">
        <v>3356</v>
      </c>
      <c r="D12" s="3663" t="s">
        <v>3312</v>
      </c>
      <c r="E12" s="3663">
        <v>24855</v>
      </c>
      <c r="F12" s="3663">
        <v>37282.5</v>
      </c>
      <c r="G12" s="3664" t="s">
        <v>3357</v>
      </c>
      <c r="H12" s="3663" t="s">
        <v>3314</v>
      </c>
      <c r="I12" s="3663" t="s">
        <v>3331</v>
      </c>
      <c r="J12" s="3668">
        <v>45015.000497685185</v>
      </c>
      <c r="K12" s="3663" t="s">
        <v>3316</v>
      </c>
      <c r="L12" s="3663" t="s">
        <v>3358</v>
      </c>
      <c r="M12" s="3663">
        <v>2128.83</v>
      </c>
      <c r="N12" s="3663">
        <v>532.21</v>
      </c>
      <c r="O12" s="3663">
        <v>2128.83</v>
      </c>
      <c r="P12" s="3663">
        <v>856.49</v>
      </c>
      <c r="Q12" s="3663">
        <v>57.1</v>
      </c>
      <c r="R12" s="3663">
        <v>571</v>
      </c>
      <c r="S12" s="3663" t="s">
        <v>3323</v>
      </c>
      <c r="T12" s="3663">
        <f t="shared" si="0"/>
        <v>809</v>
      </c>
    </row>
    <row r="13" spans="1:20">
      <c r="A13" s="3663" t="s">
        <v>3359</v>
      </c>
      <c r="B13" s="3663" t="s">
        <v>1465</v>
      </c>
      <c r="C13" s="3663" t="s">
        <v>3360</v>
      </c>
      <c r="D13" s="3663" t="s">
        <v>3312</v>
      </c>
      <c r="E13" s="3663">
        <v>25945.1</v>
      </c>
      <c r="F13" s="3663">
        <v>38917.65</v>
      </c>
      <c r="G13" s="3664">
        <v>1.5</v>
      </c>
      <c r="H13" s="3663" t="s">
        <v>3314</v>
      </c>
      <c r="I13" s="3663" t="s">
        <v>3331</v>
      </c>
      <c r="J13" s="3668">
        <v>45015.000497685185</v>
      </c>
      <c r="K13" s="3663" t="s">
        <v>3316</v>
      </c>
      <c r="L13" s="3663" t="s">
        <v>3361</v>
      </c>
      <c r="M13" s="3663">
        <v>2222.1999999999998</v>
      </c>
      <c r="N13" s="3663">
        <v>555.54999999999995</v>
      </c>
      <c r="O13" s="3663">
        <v>2222.1999999999998</v>
      </c>
      <c r="P13" s="3663">
        <v>856.5</v>
      </c>
      <c r="Q13" s="3663">
        <v>57.1</v>
      </c>
      <c r="R13" s="3663">
        <v>571</v>
      </c>
      <c r="S13" s="3663" t="s">
        <v>3323</v>
      </c>
      <c r="T13" s="3663">
        <f t="shared" si="0"/>
        <v>809</v>
      </c>
    </row>
    <row r="14" spans="1:20">
      <c r="A14" s="3663" t="s">
        <v>3362</v>
      </c>
      <c r="B14" s="3663" t="s">
        <v>1465</v>
      </c>
      <c r="C14" s="3663" t="s">
        <v>3363</v>
      </c>
      <c r="D14" s="3663" t="s">
        <v>3312</v>
      </c>
      <c r="E14" s="3663">
        <v>22492.5</v>
      </c>
      <c r="F14" s="3663">
        <v>33738.75</v>
      </c>
      <c r="G14" s="3664" t="s">
        <v>3357</v>
      </c>
      <c r="H14" s="3663" t="s">
        <v>3314</v>
      </c>
      <c r="I14" s="3663" t="s">
        <v>3331</v>
      </c>
      <c r="J14" s="3668">
        <v>45008.000497685185</v>
      </c>
      <c r="K14" s="3663" t="s">
        <v>3316</v>
      </c>
      <c r="L14" s="3663" t="s">
        <v>3364</v>
      </c>
      <c r="M14" s="3663" t="s">
        <v>3365</v>
      </c>
      <c r="N14" s="3663">
        <v>481.62</v>
      </c>
      <c r="O14" s="3663">
        <v>1926.48</v>
      </c>
      <c r="P14" s="3663">
        <v>856.49</v>
      </c>
      <c r="Q14" s="3663">
        <v>57.1</v>
      </c>
      <c r="R14" s="3663">
        <v>571</v>
      </c>
      <c r="S14" s="3663" t="s">
        <v>3323</v>
      </c>
      <c r="T14" s="3663">
        <f t="shared" si="0"/>
        <v>809</v>
      </c>
    </row>
    <row r="15" spans="1:20">
      <c r="A15" s="3663" t="s">
        <v>3366</v>
      </c>
      <c r="B15" s="3663" t="s">
        <v>1465</v>
      </c>
      <c r="C15" s="3663" t="s">
        <v>3367</v>
      </c>
      <c r="D15" s="3663" t="s">
        <v>3312</v>
      </c>
      <c r="E15" s="3663">
        <v>37965.22</v>
      </c>
      <c r="F15" s="3663">
        <v>75930.44</v>
      </c>
      <c r="G15" s="3664">
        <v>2</v>
      </c>
      <c r="H15" s="3663" t="s">
        <v>3314</v>
      </c>
      <c r="I15" s="3663" t="s">
        <v>3331</v>
      </c>
      <c r="J15" s="3668">
        <v>45001.000497685185</v>
      </c>
      <c r="K15" s="3663" t="s">
        <v>3316</v>
      </c>
      <c r="L15" s="3663" t="s">
        <v>3368</v>
      </c>
      <c r="M15" s="3663">
        <v>4457.12</v>
      </c>
      <c r="N15" s="3663">
        <v>1114.28</v>
      </c>
      <c r="O15" s="3663">
        <v>4457.12</v>
      </c>
      <c r="P15" s="3663">
        <v>1174</v>
      </c>
      <c r="Q15" s="3663">
        <v>78.27</v>
      </c>
      <c r="R15" s="3663">
        <v>587</v>
      </c>
      <c r="S15" s="3663" t="s">
        <v>3323</v>
      </c>
      <c r="T15" s="3663">
        <f t="shared" si="0"/>
        <v>832</v>
      </c>
    </row>
    <row r="16" spans="1:20" s="3669" customFormat="1">
      <c r="A16" s="3669" t="s">
        <v>3369</v>
      </c>
      <c r="B16" s="3669" t="s">
        <v>1465</v>
      </c>
      <c r="C16" s="3669" t="s">
        <v>3370</v>
      </c>
      <c r="D16" s="3669" t="s">
        <v>3312</v>
      </c>
      <c r="E16" s="3669">
        <v>6837.8</v>
      </c>
      <c r="F16" s="3669">
        <v>5470.24</v>
      </c>
      <c r="G16" s="3670" t="s">
        <v>3371</v>
      </c>
      <c r="H16" s="3669" t="s">
        <v>3314</v>
      </c>
      <c r="I16" s="3669" t="s">
        <v>3372</v>
      </c>
      <c r="J16" s="3671">
        <v>44980.000497685185</v>
      </c>
      <c r="K16" s="3669" t="s">
        <v>3316</v>
      </c>
      <c r="L16" s="3669" t="s">
        <v>3373</v>
      </c>
      <c r="M16" s="3669">
        <v>496.42</v>
      </c>
      <c r="N16" s="3669">
        <v>124.11</v>
      </c>
      <c r="O16" s="3669">
        <v>496.42</v>
      </c>
      <c r="P16" s="3669">
        <v>725.99</v>
      </c>
      <c r="Q16" s="3669">
        <v>48.4</v>
      </c>
      <c r="R16" s="3669">
        <v>907</v>
      </c>
      <c r="S16" s="3669" t="s">
        <v>3323</v>
      </c>
      <c r="T16" s="3669">
        <f t="shared" si="0"/>
        <v>1285</v>
      </c>
    </row>
    <row r="17" spans="1:20">
      <c r="A17" s="3663" t="s">
        <v>3374</v>
      </c>
      <c r="B17" s="3663" t="s">
        <v>1465</v>
      </c>
      <c r="C17" s="3663" t="s">
        <v>3375</v>
      </c>
      <c r="D17" s="3663" t="s">
        <v>3312</v>
      </c>
      <c r="E17" s="3663">
        <v>420642.53</v>
      </c>
      <c r="F17" s="3663">
        <v>841285.06</v>
      </c>
      <c r="G17" s="3664">
        <v>2</v>
      </c>
      <c r="H17" s="3663" t="s">
        <v>3314</v>
      </c>
      <c r="I17" s="3663" t="s">
        <v>3312</v>
      </c>
      <c r="J17" s="3668">
        <v>44964.000497685185</v>
      </c>
      <c r="K17" s="3663" t="s">
        <v>3316</v>
      </c>
      <c r="L17" s="3663" t="s">
        <v>3376</v>
      </c>
      <c r="M17" s="3663">
        <v>49383.43</v>
      </c>
      <c r="N17" s="3663">
        <v>9900</v>
      </c>
      <c r="O17" s="3663">
        <v>49383.43</v>
      </c>
      <c r="P17" s="3663">
        <v>1173.99</v>
      </c>
      <c r="Q17" s="3663">
        <v>78.27</v>
      </c>
      <c r="R17" s="3663">
        <v>587</v>
      </c>
      <c r="S17" s="3663" t="s">
        <v>3323</v>
      </c>
      <c r="T17" s="3663">
        <f t="shared" si="0"/>
        <v>832</v>
      </c>
    </row>
    <row r="18" spans="1:20">
      <c r="A18" s="3663" t="s">
        <v>3377</v>
      </c>
      <c r="B18" s="3663" t="s">
        <v>1465</v>
      </c>
      <c r="C18" s="3663" t="s">
        <v>3378</v>
      </c>
      <c r="D18" s="3663" t="s">
        <v>3312</v>
      </c>
      <c r="E18" s="3663">
        <v>15343</v>
      </c>
      <c r="F18" s="3663">
        <v>36000</v>
      </c>
      <c r="G18" s="3664" t="s">
        <v>3379</v>
      </c>
      <c r="H18" s="3663" t="s">
        <v>3314</v>
      </c>
      <c r="I18" s="3663" t="s">
        <v>3380</v>
      </c>
      <c r="J18" s="3668">
        <v>44955.000497685185</v>
      </c>
      <c r="K18" s="3663" t="s">
        <v>3316</v>
      </c>
      <c r="L18" s="3663" t="s">
        <v>3381</v>
      </c>
      <c r="M18" s="3663">
        <v>11401.2</v>
      </c>
      <c r="N18" s="3663">
        <v>2290</v>
      </c>
      <c r="O18" s="3663">
        <v>11401.2</v>
      </c>
      <c r="P18" s="3663">
        <v>7430.88</v>
      </c>
      <c r="Q18" s="3663">
        <v>495.39</v>
      </c>
      <c r="R18" s="3663">
        <v>3167</v>
      </c>
      <c r="S18" s="3663" t="s">
        <v>3323</v>
      </c>
      <c r="T18" s="3663">
        <f t="shared" si="0"/>
        <v>4487</v>
      </c>
    </row>
    <row r="19" spans="1:20">
      <c r="A19" s="3663" t="s">
        <v>3382</v>
      </c>
      <c r="B19" s="3663" t="s">
        <v>1465</v>
      </c>
      <c r="C19" s="3663" t="s">
        <v>3383</v>
      </c>
      <c r="D19" s="3663" t="s">
        <v>3312</v>
      </c>
      <c r="E19" s="3663">
        <v>21884.6</v>
      </c>
      <c r="F19" s="3663">
        <v>32826.9</v>
      </c>
      <c r="G19" s="3664" t="s">
        <v>3384</v>
      </c>
      <c r="H19" s="3663" t="s">
        <v>3314</v>
      </c>
      <c r="I19" s="3663" t="s">
        <v>3315</v>
      </c>
      <c r="J19" s="3668">
        <v>44955.000497685185</v>
      </c>
      <c r="K19" s="3663" t="s">
        <v>3316</v>
      </c>
      <c r="L19" s="3663" t="s">
        <v>3385</v>
      </c>
      <c r="M19" s="3663">
        <v>3308.95</v>
      </c>
      <c r="N19" s="3663">
        <v>700</v>
      </c>
      <c r="O19" s="3663">
        <v>3308.95</v>
      </c>
      <c r="P19" s="3663">
        <v>1511.99</v>
      </c>
      <c r="Q19" s="3663">
        <v>100.8</v>
      </c>
      <c r="R19" s="3663">
        <v>1008</v>
      </c>
      <c r="S19" s="3663" t="s">
        <v>3323</v>
      </c>
      <c r="T19" s="3663">
        <f t="shared" si="0"/>
        <v>1428</v>
      </c>
    </row>
    <row r="20" spans="1:20" s="3669" customFormat="1">
      <c r="A20" s="3669" t="s">
        <v>3386</v>
      </c>
      <c r="B20" s="3669" t="s">
        <v>1465</v>
      </c>
      <c r="C20" s="3669" t="s">
        <v>3387</v>
      </c>
      <c r="D20" s="3669" t="s">
        <v>3312</v>
      </c>
      <c r="E20" s="3669">
        <v>3658.3</v>
      </c>
      <c r="F20" s="3669">
        <v>3900</v>
      </c>
      <c r="G20" s="3670" t="s">
        <v>3388</v>
      </c>
      <c r="H20" s="3669" t="s">
        <v>3314</v>
      </c>
      <c r="I20" s="3669" t="s">
        <v>3315</v>
      </c>
      <c r="J20" s="3671">
        <v>44955.000497685185</v>
      </c>
      <c r="K20" s="3669" t="s">
        <v>3316</v>
      </c>
      <c r="L20" s="3669" t="s">
        <v>3385</v>
      </c>
      <c r="M20" s="3669">
        <v>368.94</v>
      </c>
      <c r="N20" s="3669">
        <v>80</v>
      </c>
      <c r="O20" s="3669">
        <v>368.94</v>
      </c>
      <c r="P20" s="3669">
        <v>1008.5</v>
      </c>
      <c r="Q20" s="3669">
        <v>67.23</v>
      </c>
      <c r="R20" s="3669">
        <v>946</v>
      </c>
      <c r="S20" s="3669" t="s">
        <v>3389</v>
      </c>
      <c r="T20" s="3669">
        <f t="shared" si="0"/>
        <v>1340</v>
      </c>
    </row>
    <row r="21" spans="1:20">
      <c r="A21" s="3663" t="s">
        <v>3390</v>
      </c>
      <c r="B21" s="3663" t="s">
        <v>1465</v>
      </c>
      <c r="C21" s="3663" t="s">
        <v>3391</v>
      </c>
      <c r="D21" s="3663" t="s">
        <v>3312</v>
      </c>
      <c r="E21" s="3663">
        <v>25334.799999999999</v>
      </c>
      <c r="F21" s="3663">
        <v>38002.199999999997</v>
      </c>
      <c r="G21" s="3664">
        <v>1.5</v>
      </c>
      <c r="H21" s="3663" t="s">
        <v>3314</v>
      </c>
      <c r="I21" s="3663" t="s">
        <v>3315</v>
      </c>
      <c r="J21" s="3668">
        <v>44931.000497685185</v>
      </c>
      <c r="K21" s="3663" t="s">
        <v>3316</v>
      </c>
      <c r="L21" s="3663" t="s">
        <v>3392</v>
      </c>
      <c r="M21" s="3663">
        <v>2169.9299999999998</v>
      </c>
      <c r="N21" s="3663">
        <v>542.48</v>
      </c>
      <c r="O21" s="3663">
        <v>2169.9299999999998</v>
      </c>
      <c r="P21" s="3663">
        <v>856.5</v>
      </c>
      <c r="Q21" s="3663">
        <v>57.1</v>
      </c>
      <c r="R21" s="3663">
        <v>571</v>
      </c>
      <c r="S21" s="3663" t="s">
        <v>3323</v>
      </c>
      <c r="T21" s="3663">
        <f t="shared" si="0"/>
        <v>809</v>
      </c>
    </row>
    <row r="22" spans="1:20">
      <c r="A22" s="3663" t="s">
        <v>3393</v>
      </c>
      <c r="B22" s="3663" t="s">
        <v>1465</v>
      </c>
      <c r="C22" s="3663" t="s">
        <v>3394</v>
      </c>
      <c r="D22" s="3663" t="s">
        <v>3312</v>
      </c>
      <c r="E22" s="3663">
        <v>52790.03</v>
      </c>
      <c r="F22" s="3663">
        <v>79185.05</v>
      </c>
      <c r="G22" s="3664" t="s">
        <v>3357</v>
      </c>
      <c r="H22" s="3663" t="s">
        <v>3314</v>
      </c>
      <c r="I22" s="3663" t="s">
        <v>3312</v>
      </c>
      <c r="J22" s="3668">
        <v>44868.000497685185</v>
      </c>
      <c r="K22" s="3663" t="s">
        <v>3316</v>
      </c>
      <c r="L22" s="3663" t="s">
        <v>3395</v>
      </c>
      <c r="M22" s="3663">
        <v>9429.41</v>
      </c>
      <c r="N22" s="3663">
        <v>1900</v>
      </c>
      <c r="O22" s="3663">
        <v>9429.41</v>
      </c>
      <c r="P22" s="3663">
        <v>1786.21</v>
      </c>
      <c r="Q22" s="3663">
        <v>119.08</v>
      </c>
      <c r="R22" s="3663">
        <v>1191</v>
      </c>
      <c r="S22" s="3663" t="s">
        <v>3323</v>
      </c>
      <c r="T22" s="3663">
        <f t="shared" si="0"/>
        <v>1687</v>
      </c>
    </row>
    <row r="23" spans="1:20">
      <c r="A23" s="3663" t="s">
        <v>3396</v>
      </c>
      <c r="B23" s="3663" t="s">
        <v>1465</v>
      </c>
      <c r="C23" s="3663" t="s">
        <v>3397</v>
      </c>
      <c r="D23" s="3663" t="s">
        <v>3312</v>
      </c>
      <c r="E23" s="3663">
        <v>19670.8</v>
      </c>
      <c r="F23" s="3663">
        <v>29506.2</v>
      </c>
      <c r="G23" s="3664">
        <v>1.5</v>
      </c>
      <c r="H23" s="3663" t="s">
        <v>3314</v>
      </c>
      <c r="I23" s="3663" t="s">
        <v>3398</v>
      </c>
      <c r="J23" s="3668">
        <v>44860.000497685185</v>
      </c>
      <c r="K23" s="3663" t="s">
        <v>3316</v>
      </c>
      <c r="L23" s="3663" t="s">
        <v>3399</v>
      </c>
      <c r="M23" s="3663">
        <v>1684.8</v>
      </c>
      <c r="N23" s="3663">
        <v>421.2</v>
      </c>
      <c r="O23" s="3663">
        <v>1684.8</v>
      </c>
      <c r="P23" s="3663">
        <v>856.49</v>
      </c>
      <c r="Q23" s="3663">
        <v>57.1</v>
      </c>
      <c r="R23" s="3663">
        <v>571</v>
      </c>
      <c r="S23" s="3663" t="s">
        <v>3323</v>
      </c>
      <c r="T23" s="3663">
        <f t="shared" si="0"/>
        <v>809</v>
      </c>
    </row>
    <row r="24" spans="1:20">
      <c r="A24" s="3663" t="s">
        <v>3400</v>
      </c>
      <c r="B24" s="3663" t="s">
        <v>1465</v>
      </c>
      <c r="C24" s="3663" t="s">
        <v>3401</v>
      </c>
      <c r="D24" s="3663" t="s">
        <v>3312</v>
      </c>
      <c r="E24" s="3663">
        <v>24526.2</v>
      </c>
      <c r="F24" s="3663">
        <v>49052.4</v>
      </c>
      <c r="G24" s="3664">
        <v>2</v>
      </c>
      <c r="H24" s="3663" t="s">
        <v>3314</v>
      </c>
      <c r="I24" s="3663" t="s">
        <v>3398</v>
      </c>
      <c r="J24" s="3668">
        <v>44860.000497685185</v>
      </c>
      <c r="K24" s="3663" t="s">
        <v>3316</v>
      </c>
      <c r="L24" s="3663" t="s">
        <v>3402</v>
      </c>
      <c r="M24" s="3663">
        <v>2800.89</v>
      </c>
      <c r="N24" s="3663">
        <v>700.22</v>
      </c>
      <c r="O24" s="3663">
        <v>2800.89</v>
      </c>
      <c r="P24" s="3663">
        <v>1141.99</v>
      </c>
      <c r="Q24" s="3663">
        <v>76.13</v>
      </c>
      <c r="R24" s="3663">
        <v>571</v>
      </c>
      <c r="S24" s="3663" t="s">
        <v>3323</v>
      </c>
      <c r="T24" s="3663">
        <f t="shared" si="0"/>
        <v>809</v>
      </c>
    </row>
    <row r="25" spans="1:20">
      <c r="A25" s="3663" t="s">
        <v>3403</v>
      </c>
      <c r="B25" s="3663" t="s">
        <v>1465</v>
      </c>
      <c r="C25" s="3663" t="s">
        <v>3404</v>
      </c>
      <c r="D25" s="3663" t="s">
        <v>3312</v>
      </c>
      <c r="E25" s="3663">
        <v>26316.6</v>
      </c>
      <c r="F25" s="3663">
        <v>30264.09</v>
      </c>
      <c r="G25" s="3664" t="s">
        <v>3405</v>
      </c>
      <c r="H25" s="3663" t="s">
        <v>3314</v>
      </c>
      <c r="I25" s="3663" t="s">
        <v>3398</v>
      </c>
      <c r="J25" s="3668">
        <v>44809.000497685185</v>
      </c>
      <c r="K25" s="3663" t="s">
        <v>3316</v>
      </c>
      <c r="L25" s="3663" t="s">
        <v>3406</v>
      </c>
      <c r="M25" s="3663">
        <v>1973.22</v>
      </c>
      <c r="N25" s="3663">
        <v>493.3</v>
      </c>
      <c r="O25" s="3663">
        <v>1973.22</v>
      </c>
      <c r="P25" s="3663">
        <v>749.8</v>
      </c>
      <c r="Q25" s="3663">
        <v>49.99</v>
      </c>
      <c r="R25" s="3663">
        <v>652</v>
      </c>
      <c r="S25" s="3663" t="s">
        <v>3323</v>
      </c>
      <c r="T25" s="3663">
        <f t="shared" si="0"/>
        <v>924</v>
      </c>
    </row>
    <row r="26" spans="1:20">
      <c r="A26" s="3663" t="s">
        <v>3407</v>
      </c>
      <c r="B26" s="3663" t="s">
        <v>1465</v>
      </c>
      <c r="C26" s="3663" t="s">
        <v>3408</v>
      </c>
      <c r="D26" s="3663" t="s">
        <v>3312</v>
      </c>
      <c r="E26" s="3663">
        <v>10526.1</v>
      </c>
      <c r="F26" s="3663">
        <v>12631.32</v>
      </c>
      <c r="G26" s="3664">
        <v>1.2</v>
      </c>
      <c r="H26" s="3663" t="s">
        <v>3314</v>
      </c>
      <c r="I26" s="3663" t="s">
        <v>3398</v>
      </c>
      <c r="J26" s="3668">
        <v>44809.000497685185</v>
      </c>
      <c r="K26" s="3663" t="s">
        <v>3316</v>
      </c>
      <c r="L26" s="3663" t="s">
        <v>3409</v>
      </c>
      <c r="M26" s="3663">
        <v>823.56</v>
      </c>
      <c r="N26" s="3663">
        <v>205.89</v>
      </c>
      <c r="O26" s="3663">
        <v>823.56</v>
      </c>
      <c r="P26" s="3663">
        <v>782.39</v>
      </c>
      <c r="Q26" s="3663">
        <v>52.16</v>
      </c>
      <c r="R26" s="3663">
        <v>652</v>
      </c>
      <c r="S26" s="3663" t="s">
        <v>3323</v>
      </c>
      <c r="T26" s="3663">
        <f t="shared" si="0"/>
        <v>924</v>
      </c>
    </row>
    <row r="27" spans="1:20">
      <c r="A27" s="3663" t="s">
        <v>3410</v>
      </c>
      <c r="B27" s="3663" t="s">
        <v>1465</v>
      </c>
      <c r="C27" s="3663" t="s">
        <v>3411</v>
      </c>
      <c r="D27" s="3663" t="s">
        <v>3312</v>
      </c>
      <c r="E27" s="3663">
        <v>15975.8</v>
      </c>
      <c r="F27" s="3663">
        <v>23963.7</v>
      </c>
      <c r="G27" s="3664" t="s">
        <v>3357</v>
      </c>
      <c r="H27" s="3663" t="s">
        <v>3314</v>
      </c>
      <c r="I27" s="3663" t="s">
        <v>3398</v>
      </c>
      <c r="J27" s="3668">
        <v>44788.000497685185</v>
      </c>
      <c r="K27" s="3663" t="s">
        <v>3316</v>
      </c>
      <c r="L27" s="3663" t="s">
        <v>3412</v>
      </c>
      <c r="M27" s="3663">
        <v>1368.33</v>
      </c>
      <c r="N27" s="3663">
        <v>342.08</v>
      </c>
      <c r="O27" s="3663">
        <v>1368.33</v>
      </c>
      <c r="P27" s="3663">
        <v>856.5</v>
      </c>
      <c r="Q27" s="3663">
        <v>57.1</v>
      </c>
      <c r="R27" s="3663">
        <v>571</v>
      </c>
      <c r="S27" s="3663" t="s">
        <v>3323</v>
      </c>
      <c r="T27" s="3663">
        <f t="shared" si="0"/>
        <v>809</v>
      </c>
    </row>
    <row r="28" spans="1:20" s="3669" customFormat="1">
      <c r="A28" s="3669" t="s">
        <v>3413</v>
      </c>
      <c r="B28" s="3669" t="s">
        <v>1465</v>
      </c>
      <c r="C28" s="3669" t="s">
        <v>3414</v>
      </c>
      <c r="D28" s="3669" t="s">
        <v>3312</v>
      </c>
      <c r="E28" s="3669">
        <v>7506.5</v>
      </c>
      <c r="F28" s="3669">
        <v>11259.75</v>
      </c>
      <c r="G28" s="3670" t="s">
        <v>3357</v>
      </c>
      <c r="H28" s="3669" t="s">
        <v>3314</v>
      </c>
      <c r="I28" s="3669" t="s">
        <v>3398</v>
      </c>
      <c r="J28" s="3671">
        <v>44788.000497685185</v>
      </c>
      <c r="K28" s="3669" t="s">
        <v>3316</v>
      </c>
      <c r="L28" s="3669" t="s">
        <v>3415</v>
      </c>
      <c r="M28" s="3669">
        <v>1134.98</v>
      </c>
      <c r="N28" s="3669">
        <v>283.75</v>
      </c>
      <c r="O28" s="3669">
        <v>1134.98</v>
      </c>
      <c r="P28" s="3669">
        <v>1511.99</v>
      </c>
      <c r="Q28" s="3669">
        <v>100.8</v>
      </c>
      <c r="R28" s="3669">
        <v>1008</v>
      </c>
      <c r="S28" s="3669" t="s">
        <v>3323</v>
      </c>
      <c r="T28" s="3669">
        <f t="shared" si="0"/>
        <v>1428</v>
      </c>
    </row>
    <row r="29" spans="1:20">
      <c r="A29" s="3663" t="s">
        <v>3416</v>
      </c>
      <c r="B29" s="3663" t="s">
        <v>1465</v>
      </c>
      <c r="C29" s="3663" t="s">
        <v>3417</v>
      </c>
      <c r="D29" s="3663" t="s">
        <v>3312</v>
      </c>
      <c r="E29" s="3663">
        <v>20000</v>
      </c>
      <c r="F29" s="3663">
        <v>20000</v>
      </c>
      <c r="G29" s="3664" t="s">
        <v>3418</v>
      </c>
      <c r="H29" s="3663" t="s">
        <v>3314</v>
      </c>
      <c r="I29" s="3663" t="s">
        <v>3312</v>
      </c>
      <c r="J29" s="3668">
        <v>44742.000497685185</v>
      </c>
      <c r="K29" s="3663" t="s">
        <v>3316</v>
      </c>
      <c r="L29" s="3663" t="s">
        <v>3419</v>
      </c>
      <c r="M29" s="3663">
        <v>2284.42</v>
      </c>
      <c r="N29" s="3663">
        <v>500</v>
      </c>
      <c r="O29" s="3663">
        <v>2284.42</v>
      </c>
      <c r="P29" s="3663">
        <v>1142.21</v>
      </c>
      <c r="Q29" s="3663">
        <v>76.150000000000006</v>
      </c>
      <c r="R29" s="3663">
        <v>1142</v>
      </c>
      <c r="S29" s="3663" t="s">
        <v>3323</v>
      </c>
      <c r="T29" s="3663">
        <f t="shared" si="0"/>
        <v>1618</v>
      </c>
    </row>
    <row r="30" spans="1:20">
      <c r="A30" s="3663" t="s">
        <v>3420</v>
      </c>
      <c r="B30" s="3663" t="s">
        <v>1465</v>
      </c>
      <c r="C30" s="3663" t="s">
        <v>3421</v>
      </c>
      <c r="D30" s="3663" t="s">
        <v>3312</v>
      </c>
      <c r="E30" s="3663">
        <v>113291.7</v>
      </c>
      <c r="F30" s="3663">
        <v>113291.7</v>
      </c>
      <c r="G30" s="3664" t="s">
        <v>3313</v>
      </c>
      <c r="H30" s="3663" t="s">
        <v>3314</v>
      </c>
      <c r="I30" s="3663" t="s">
        <v>3422</v>
      </c>
      <c r="J30" s="3668">
        <v>44713.000497685185</v>
      </c>
      <c r="K30" s="3663" t="s">
        <v>3316</v>
      </c>
      <c r="L30" s="3663" t="s">
        <v>3423</v>
      </c>
      <c r="M30" s="3663">
        <v>6650.22</v>
      </c>
      <c r="N30" s="3663">
        <v>1662.56</v>
      </c>
      <c r="O30" s="3663">
        <v>6650.22</v>
      </c>
      <c r="P30" s="3663">
        <v>586.99</v>
      </c>
      <c r="Q30" s="3663">
        <v>39.130000000000003</v>
      </c>
      <c r="R30" s="3663">
        <v>587</v>
      </c>
      <c r="S30" s="3663" t="s">
        <v>3323</v>
      </c>
      <c r="T30" s="3663">
        <f t="shared" si="0"/>
        <v>832</v>
      </c>
    </row>
    <row r="31" spans="1:20">
      <c r="A31" s="3663" t="s">
        <v>3424</v>
      </c>
      <c r="B31" s="3663" t="s">
        <v>1465</v>
      </c>
      <c r="C31" s="3663" t="s">
        <v>3425</v>
      </c>
      <c r="D31" s="3663" t="s">
        <v>3312</v>
      </c>
      <c r="E31" s="3663">
        <v>30589.9</v>
      </c>
      <c r="F31" s="3663">
        <v>45884.85</v>
      </c>
      <c r="G31" s="3664" t="s">
        <v>3357</v>
      </c>
      <c r="H31" s="3663" t="s">
        <v>3314</v>
      </c>
      <c r="I31" s="3663" t="s">
        <v>3426</v>
      </c>
      <c r="J31" s="3668">
        <v>44713.000497685185</v>
      </c>
      <c r="K31" s="3663" t="s">
        <v>3316</v>
      </c>
      <c r="L31" s="3663" t="s">
        <v>3427</v>
      </c>
      <c r="M31" s="3663">
        <v>2620.02</v>
      </c>
      <c r="N31" s="3663">
        <v>655.01</v>
      </c>
      <c r="O31" s="3663">
        <v>2620.02</v>
      </c>
      <c r="P31" s="3663">
        <v>856.49</v>
      </c>
      <c r="Q31" s="3663">
        <v>57.1</v>
      </c>
      <c r="R31" s="3663">
        <v>571</v>
      </c>
      <c r="S31" s="3663" t="s">
        <v>3323</v>
      </c>
      <c r="T31" s="3663">
        <f t="shared" si="0"/>
        <v>809</v>
      </c>
    </row>
    <row r="32" spans="1:20">
      <c r="A32" s="3663" t="s">
        <v>3428</v>
      </c>
      <c r="B32" s="3663" t="s">
        <v>1465</v>
      </c>
      <c r="C32" s="3663" t="s">
        <v>3429</v>
      </c>
      <c r="D32" s="3663" t="s">
        <v>3312</v>
      </c>
      <c r="E32" s="3663">
        <v>54995.519999999997</v>
      </c>
      <c r="F32" s="3663">
        <v>82493.289999999994</v>
      </c>
      <c r="G32" s="3664" t="s">
        <v>3357</v>
      </c>
      <c r="H32" s="3663" t="s">
        <v>3314</v>
      </c>
      <c r="I32" s="3663" t="s">
        <v>3430</v>
      </c>
      <c r="J32" s="3668">
        <v>44712.000497685185</v>
      </c>
      <c r="K32" s="3663" t="s">
        <v>3316</v>
      </c>
      <c r="L32" s="3663" t="s">
        <v>3431</v>
      </c>
      <c r="M32" s="3663">
        <v>8783.01</v>
      </c>
      <c r="N32" s="3663">
        <v>1800</v>
      </c>
      <c r="O32" s="3663">
        <v>8783.01</v>
      </c>
      <c r="P32" s="3663">
        <v>1597.04</v>
      </c>
      <c r="Q32" s="3663">
        <v>106.47</v>
      </c>
      <c r="R32" s="3663">
        <v>1065</v>
      </c>
      <c r="S32" s="3663" t="s">
        <v>3323</v>
      </c>
      <c r="T32" s="3663">
        <f t="shared" si="0"/>
        <v>1509</v>
      </c>
    </row>
    <row r="33" spans="1:20">
      <c r="A33" s="3663" t="s">
        <v>3432</v>
      </c>
      <c r="B33" s="3663" t="s">
        <v>1465</v>
      </c>
      <c r="C33" s="3663" t="s">
        <v>3432</v>
      </c>
      <c r="D33" s="3663" t="s">
        <v>3312</v>
      </c>
      <c r="E33" s="3663">
        <v>103092.9</v>
      </c>
      <c r="F33" s="3663">
        <v>175257.93</v>
      </c>
      <c r="G33" s="3664" t="s">
        <v>3433</v>
      </c>
      <c r="H33" s="3663" t="s">
        <v>3314</v>
      </c>
      <c r="I33" s="3663" t="s">
        <v>3422</v>
      </c>
      <c r="J33" s="3668">
        <v>44700.000497685185</v>
      </c>
      <c r="K33" s="3663" t="s">
        <v>3316</v>
      </c>
      <c r="L33" s="3663" t="s">
        <v>3434</v>
      </c>
      <c r="M33" s="3663">
        <v>10287.64</v>
      </c>
      <c r="N33" s="3663">
        <v>2571.91</v>
      </c>
      <c r="O33" s="3663">
        <v>10287.64</v>
      </c>
      <c r="P33" s="3663">
        <v>997.89</v>
      </c>
      <c r="Q33" s="3663">
        <v>66.53</v>
      </c>
      <c r="R33" s="3663">
        <v>587</v>
      </c>
      <c r="S33" s="3663" t="s">
        <v>3323</v>
      </c>
      <c r="T33" s="3663">
        <f t="shared" si="0"/>
        <v>832</v>
      </c>
    </row>
    <row r="34" spans="1:20">
      <c r="A34" s="3663" t="s">
        <v>3435</v>
      </c>
      <c r="B34" s="3663" t="s">
        <v>1465</v>
      </c>
      <c r="C34" s="3663" t="s">
        <v>3436</v>
      </c>
      <c r="D34" s="3663" t="s">
        <v>3312</v>
      </c>
      <c r="E34" s="3663">
        <v>21090.2</v>
      </c>
      <c r="F34" s="3663">
        <v>22144.7</v>
      </c>
      <c r="G34" s="3664">
        <v>1.54</v>
      </c>
      <c r="H34" s="3663" t="s">
        <v>3314</v>
      </c>
      <c r="I34" s="3663" t="s">
        <v>3437</v>
      </c>
      <c r="J34" s="3668">
        <v>44671.000497685185</v>
      </c>
      <c r="K34" s="3663" t="s">
        <v>3316</v>
      </c>
      <c r="L34" s="3663" t="s">
        <v>3438</v>
      </c>
      <c r="M34" s="3663">
        <v>2163.09</v>
      </c>
      <c r="N34" s="3663">
        <v>540.77</v>
      </c>
      <c r="O34" s="3663">
        <v>2163.09</v>
      </c>
      <c r="P34" s="3663">
        <v>1025.6300000000001</v>
      </c>
      <c r="Q34" s="3663">
        <v>68.38</v>
      </c>
      <c r="R34" s="3663">
        <v>977</v>
      </c>
      <c r="S34" s="3663" t="s">
        <v>3323</v>
      </c>
      <c r="T34" s="3663">
        <f t="shared" si="0"/>
        <v>1384</v>
      </c>
    </row>
    <row r="35" spans="1:20">
      <c r="A35" s="3663" t="s">
        <v>3439</v>
      </c>
      <c r="B35" s="3663" t="s">
        <v>1465</v>
      </c>
      <c r="C35" s="3663" t="s">
        <v>3440</v>
      </c>
      <c r="D35" s="3663" t="s">
        <v>3312</v>
      </c>
      <c r="E35" s="3663">
        <v>718046.1</v>
      </c>
      <c r="F35" s="3663">
        <v>646241.49</v>
      </c>
      <c r="G35" s="3664">
        <v>0.9</v>
      </c>
      <c r="H35" s="3663" t="s">
        <v>3314</v>
      </c>
      <c r="I35" s="3663" t="s">
        <v>3312</v>
      </c>
      <c r="J35" s="3668">
        <v>44671.000497685185</v>
      </c>
      <c r="K35" s="3663" t="s">
        <v>3316</v>
      </c>
      <c r="L35" s="3663" t="s">
        <v>3441</v>
      </c>
      <c r="M35" s="3663">
        <v>61033.919999999998</v>
      </c>
      <c r="N35" s="3663">
        <v>12300</v>
      </c>
      <c r="O35" s="3663">
        <v>61033.919999999998</v>
      </c>
      <c r="P35" s="3663">
        <v>850</v>
      </c>
      <c r="Q35" s="3663">
        <v>56.67</v>
      </c>
      <c r="R35" s="3663">
        <v>944</v>
      </c>
      <c r="S35" s="3663" t="s">
        <v>3442</v>
      </c>
      <c r="T35" s="3663">
        <f t="shared" si="0"/>
        <v>1337</v>
      </c>
    </row>
    <row r="36" spans="1:20">
      <c r="A36" s="3663" t="s">
        <v>3443</v>
      </c>
      <c r="B36" s="3663" t="s">
        <v>1465</v>
      </c>
      <c r="C36" s="3663" t="s">
        <v>3444</v>
      </c>
      <c r="D36" s="3663" t="s">
        <v>3312</v>
      </c>
      <c r="E36" s="3663">
        <v>54214.080000000002</v>
      </c>
      <c r="F36" s="3663">
        <v>108428.16</v>
      </c>
      <c r="G36" s="3664">
        <v>2</v>
      </c>
      <c r="H36" s="3663" t="s">
        <v>3314</v>
      </c>
      <c r="I36" s="3663" t="s">
        <v>3430</v>
      </c>
      <c r="J36" s="3668">
        <v>44642.000497685185</v>
      </c>
      <c r="K36" s="3663" t="s">
        <v>3316</v>
      </c>
      <c r="L36" s="3663" t="s">
        <v>3445</v>
      </c>
      <c r="M36" s="3663">
        <v>8793.52</v>
      </c>
      <c r="N36" s="3663">
        <v>1800</v>
      </c>
      <c r="O36" s="3663">
        <v>8793.52</v>
      </c>
      <c r="P36" s="3663">
        <v>1621.99</v>
      </c>
      <c r="Q36" s="3663">
        <v>108.13</v>
      </c>
      <c r="R36" s="3663">
        <v>811</v>
      </c>
      <c r="S36" s="3663" t="s">
        <v>3323</v>
      </c>
      <c r="T36" s="3663">
        <f t="shared" si="0"/>
        <v>1149</v>
      </c>
    </row>
    <row r="37" spans="1:20">
      <c r="A37" s="3663" t="s">
        <v>3446</v>
      </c>
      <c r="B37" s="3663" t="s">
        <v>1465</v>
      </c>
      <c r="C37" s="3663" t="s">
        <v>3447</v>
      </c>
      <c r="D37" s="3663" t="s">
        <v>3312</v>
      </c>
      <c r="E37" s="3663">
        <v>76366.38</v>
      </c>
      <c r="F37" s="3663">
        <v>114549.57</v>
      </c>
      <c r="G37" s="3664">
        <v>1.5</v>
      </c>
      <c r="H37" s="3663" t="s">
        <v>3314</v>
      </c>
      <c r="I37" s="3663" t="s">
        <v>3312</v>
      </c>
      <c r="J37" s="3668">
        <v>44630.000497685185</v>
      </c>
      <c r="K37" s="3663" t="s">
        <v>3316</v>
      </c>
      <c r="L37" s="3663" t="s">
        <v>3448</v>
      </c>
      <c r="M37" s="3663">
        <v>11431.52</v>
      </c>
      <c r="N37" s="3663">
        <v>2500</v>
      </c>
      <c r="O37" s="3663">
        <v>11431.52</v>
      </c>
      <c r="P37" s="3663">
        <v>1496.93</v>
      </c>
      <c r="Q37" s="3663">
        <v>99.8</v>
      </c>
      <c r="R37" s="3663">
        <v>998</v>
      </c>
      <c r="S37" s="3663" t="s">
        <v>3323</v>
      </c>
      <c r="T37" s="3663">
        <f t="shared" si="0"/>
        <v>1414</v>
      </c>
    </row>
    <row r="38" spans="1:20">
      <c r="A38" s="3663" t="s">
        <v>3449</v>
      </c>
      <c r="B38" s="3663" t="s">
        <v>1465</v>
      </c>
      <c r="C38" s="3663" t="s">
        <v>3450</v>
      </c>
      <c r="D38" s="3663" t="s">
        <v>3312</v>
      </c>
      <c r="E38" s="3663">
        <v>40148.6</v>
      </c>
      <c r="F38" s="3663">
        <v>60222.9</v>
      </c>
      <c r="G38" s="3664">
        <v>1.5</v>
      </c>
      <c r="H38" s="3663" t="s">
        <v>3314</v>
      </c>
      <c r="I38" s="3663" t="s">
        <v>3331</v>
      </c>
      <c r="J38" s="3668">
        <v>44600.000497685185</v>
      </c>
      <c r="K38" s="3663" t="s">
        <v>3316</v>
      </c>
      <c r="L38" s="3663" t="s">
        <v>3451</v>
      </c>
      <c r="M38" s="3663">
        <v>3438.73</v>
      </c>
      <c r="N38" s="3663">
        <v>859.68</v>
      </c>
      <c r="O38" s="3663">
        <v>3438.73</v>
      </c>
      <c r="P38" s="3663">
        <v>856.5</v>
      </c>
      <c r="Q38" s="3663">
        <v>57.1</v>
      </c>
      <c r="R38" s="3663">
        <v>571</v>
      </c>
      <c r="S38" s="3663" t="s">
        <v>3323</v>
      </c>
      <c r="T38" s="3663">
        <f t="shared" si="0"/>
        <v>809</v>
      </c>
    </row>
    <row r="39" spans="1:20">
      <c r="A39" s="3663" t="s">
        <v>3452</v>
      </c>
      <c r="B39" s="3663" t="s">
        <v>1465</v>
      </c>
      <c r="C39" s="3663" t="s">
        <v>3453</v>
      </c>
      <c r="D39" s="3663" t="s">
        <v>3312</v>
      </c>
      <c r="E39" s="3663">
        <v>49662.400000000001</v>
      </c>
      <c r="F39" s="3663">
        <v>74493.600000000006</v>
      </c>
      <c r="G39" s="3664">
        <v>1.5</v>
      </c>
      <c r="H39" s="3663" t="s">
        <v>3314</v>
      </c>
      <c r="I39" s="3663" t="s">
        <v>3430</v>
      </c>
      <c r="J39" s="3668">
        <v>44564.000497685185</v>
      </c>
      <c r="K39" s="3663" t="s">
        <v>3316</v>
      </c>
      <c r="L39" s="3663" t="s">
        <v>3454</v>
      </c>
      <c r="M39" s="3663">
        <v>7665.39</v>
      </c>
      <c r="N39" s="3663">
        <v>1600</v>
      </c>
      <c r="O39" s="3663">
        <v>7665.39</v>
      </c>
      <c r="P39" s="3663">
        <v>1543.49</v>
      </c>
      <c r="Q39" s="3663">
        <v>102.9</v>
      </c>
      <c r="R39" s="3663">
        <v>1029</v>
      </c>
      <c r="S39" s="3663">
        <v>20</v>
      </c>
      <c r="T39" s="3663">
        <f t="shared" si="0"/>
        <v>1458</v>
      </c>
    </row>
    <row r="40" spans="1:20">
      <c r="A40" s="3663" t="s">
        <v>3455</v>
      </c>
      <c r="B40" s="3663" t="s">
        <v>1465</v>
      </c>
      <c r="C40" s="3663" t="s">
        <v>3456</v>
      </c>
      <c r="D40" s="3663" t="s">
        <v>3312</v>
      </c>
      <c r="E40" s="3663">
        <v>19333.34</v>
      </c>
      <c r="F40" s="3663">
        <v>38666.69</v>
      </c>
      <c r="G40" s="3664">
        <v>2</v>
      </c>
      <c r="H40" s="3663" t="s">
        <v>3314</v>
      </c>
      <c r="I40" s="3663" t="s">
        <v>3457</v>
      </c>
      <c r="J40" s="3668">
        <v>44561.000497685185</v>
      </c>
      <c r="K40" s="3663" t="s">
        <v>3316</v>
      </c>
      <c r="L40" s="3663" t="s">
        <v>3458</v>
      </c>
      <c r="M40" s="3663">
        <v>3477.1</v>
      </c>
      <c r="N40" s="3663">
        <v>700</v>
      </c>
      <c r="O40" s="3663">
        <v>3477.1</v>
      </c>
      <c r="P40" s="3663">
        <v>1798.49</v>
      </c>
      <c r="Q40" s="3663">
        <v>119.9</v>
      </c>
      <c r="R40" s="3663">
        <v>899</v>
      </c>
      <c r="S40" s="3663">
        <v>20</v>
      </c>
      <c r="T40" s="3663">
        <f t="shared" si="0"/>
        <v>1274</v>
      </c>
    </row>
    <row r="41" spans="1:20">
      <c r="A41" s="3663" t="s">
        <v>3459</v>
      </c>
      <c r="B41" s="3663" t="s">
        <v>1465</v>
      </c>
      <c r="C41" s="3663" t="s">
        <v>3460</v>
      </c>
      <c r="D41" s="3663" t="s">
        <v>3312</v>
      </c>
      <c r="E41" s="3663">
        <v>95015.4</v>
      </c>
      <c r="F41" s="3663">
        <v>180529.26</v>
      </c>
      <c r="G41" s="3664">
        <v>1.9</v>
      </c>
      <c r="H41" s="3663" t="s">
        <v>3314</v>
      </c>
      <c r="I41" s="3663" t="s">
        <v>3461</v>
      </c>
      <c r="J41" s="3668">
        <v>44554.000497685185</v>
      </c>
      <c r="K41" s="3663" t="s">
        <v>3316</v>
      </c>
      <c r="L41" s="3663" t="s">
        <v>3462</v>
      </c>
      <c r="M41" s="3663">
        <v>10308.219999999999</v>
      </c>
      <c r="N41" s="3663">
        <v>2577.06</v>
      </c>
      <c r="O41" s="3663">
        <v>10308.219999999999</v>
      </c>
      <c r="P41" s="3663">
        <v>1084.8900000000001</v>
      </c>
      <c r="Q41" s="3663">
        <v>72.33</v>
      </c>
      <c r="R41" s="3663">
        <v>571</v>
      </c>
      <c r="S41" s="3663">
        <v>20</v>
      </c>
      <c r="T41" s="3663">
        <f t="shared" si="0"/>
        <v>809</v>
      </c>
    </row>
    <row r="42" spans="1:20">
      <c r="A42" s="3663" t="s">
        <v>3463</v>
      </c>
      <c r="B42" s="3663" t="s">
        <v>1465</v>
      </c>
      <c r="C42" s="3663" t="s">
        <v>3464</v>
      </c>
      <c r="D42" s="3663" t="s">
        <v>3312</v>
      </c>
      <c r="E42" s="3663">
        <v>95076.46</v>
      </c>
      <c r="F42" s="3663">
        <v>114091.75</v>
      </c>
      <c r="G42" s="3664">
        <v>1.2</v>
      </c>
      <c r="H42" s="3663" t="s">
        <v>3314</v>
      </c>
      <c r="I42" s="3663" t="s">
        <v>3430</v>
      </c>
      <c r="J42" s="3668">
        <v>44521.000497685185</v>
      </c>
      <c r="K42" s="3663" t="s">
        <v>3316</v>
      </c>
      <c r="L42" s="3663" t="s">
        <v>3465</v>
      </c>
      <c r="M42" s="3663">
        <v>15254.86</v>
      </c>
      <c r="N42" s="3663">
        <v>3100</v>
      </c>
      <c r="O42" s="3663">
        <v>15254.86</v>
      </c>
      <c r="P42" s="3663">
        <v>1604.48</v>
      </c>
      <c r="Q42" s="3663">
        <v>106.97</v>
      </c>
      <c r="R42" s="3663">
        <v>1337</v>
      </c>
      <c r="S42" s="3663" t="s">
        <v>3466</v>
      </c>
      <c r="T42" s="3663">
        <f t="shared" si="0"/>
        <v>1894</v>
      </c>
    </row>
    <row r="43" spans="1:20">
      <c r="A43" s="3663" t="s">
        <v>3467</v>
      </c>
      <c r="B43" s="3663" t="s">
        <v>1465</v>
      </c>
      <c r="C43" s="3663" t="s">
        <v>3468</v>
      </c>
      <c r="D43" s="3663" t="s">
        <v>3312</v>
      </c>
      <c r="E43" s="3663">
        <v>23200</v>
      </c>
      <c r="F43" s="3663">
        <v>32480</v>
      </c>
      <c r="G43" s="3664">
        <v>1.4</v>
      </c>
      <c r="H43" s="3663" t="s">
        <v>3314</v>
      </c>
      <c r="I43" s="3663" t="s">
        <v>3331</v>
      </c>
      <c r="J43" s="3668">
        <v>44487.000497685185</v>
      </c>
      <c r="K43" s="3663" t="s">
        <v>3316</v>
      </c>
      <c r="L43" s="3663" t="s">
        <v>3469</v>
      </c>
      <c r="M43" s="3663">
        <v>2150.1799999999998</v>
      </c>
      <c r="N43" s="3663">
        <v>440</v>
      </c>
      <c r="O43" s="3663">
        <v>2150.1799999999998</v>
      </c>
      <c r="P43" s="3663">
        <v>926.8</v>
      </c>
      <c r="Q43" s="3663">
        <v>61.79</v>
      </c>
      <c r="R43" s="3663">
        <v>662</v>
      </c>
      <c r="S43" s="3663" t="s">
        <v>3466</v>
      </c>
      <c r="T43" s="3663">
        <f t="shared" si="0"/>
        <v>938</v>
      </c>
    </row>
    <row r="44" spans="1:20">
      <c r="A44" s="3663" t="s">
        <v>3470</v>
      </c>
      <c r="B44" s="3663" t="s">
        <v>1465</v>
      </c>
      <c r="C44" s="3663" t="s">
        <v>3471</v>
      </c>
      <c r="D44" s="3663" t="s">
        <v>3312</v>
      </c>
      <c r="E44" s="3663">
        <v>57488.82</v>
      </c>
      <c r="F44" s="3663">
        <v>86233.23</v>
      </c>
      <c r="G44" s="3664" t="s">
        <v>3357</v>
      </c>
      <c r="H44" s="3663" t="s">
        <v>3314</v>
      </c>
      <c r="I44" s="3663" t="s">
        <v>3331</v>
      </c>
      <c r="J44" s="3668">
        <v>44480.000497685185</v>
      </c>
      <c r="K44" s="3663" t="s">
        <v>3316</v>
      </c>
      <c r="L44" s="3663" t="s">
        <v>3472</v>
      </c>
      <c r="M44" s="3663">
        <v>7835.68</v>
      </c>
      <c r="N44" s="3663">
        <v>1600</v>
      </c>
      <c r="O44" s="3663">
        <v>7835.68</v>
      </c>
      <c r="P44" s="3663">
        <v>1362.99</v>
      </c>
      <c r="Q44" s="3663">
        <v>90.87</v>
      </c>
      <c r="R44" s="3663">
        <v>909</v>
      </c>
      <c r="S44" s="3663" t="s">
        <v>3323</v>
      </c>
    </row>
    <row r="45" spans="1:20">
      <c r="A45" s="3663" t="s">
        <v>3473</v>
      </c>
      <c r="B45" s="3663" t="s">
        <v>1465</v>
      </c>
      <c r="C45" s="3663" t="s">
        <v>3474</v>
      </c>
      <c r="D45" s="3663" t="s">
        <v>3312</v>
      </c>
      <c r="E45" s="3663">
        <v>7422.43</v>
      </c>
      <c r="F45" s="3663">
        <v>5937.95</v>
      </c>
      <c r="G45" s="3664" t="s">
        <v>3371</v>
      </c>
      <c r="H45" s="3663" t="s">
        <v>3314</v>
      </c>
      <c r="I45" s="3663" t="s">
        <v>3331</v>
      </c>
      <c r="J45" s="3668">
        <v>44480.000497685185</v>
      </c>
      <c r="K45" s="3663" t="s">
        <v>3316</v>
      </c>
      <c r="L45" s="3663" t="s">
        <v>3475</v>
      </c>
      <c r="M45" s="3663">
        <v>844.63</v>
      </c>
      <c r="N45" s="3663">
        <v>170</v>
      </c>
      <c r="O45" s="3663">
        <v>844.63</v>
      </c>
      <c r="P45" s="3663">
        <v>1137.94</v>
      </c>
      <c r="Q45" s="3663">
        <v>75.86</v>
      </c>
      <c r="R45" s="3663">
        <v>1422</v>
      </c>
      <c r="S45" s="3663" t="s">
        <v>3323</v>
      </c>
    </row>
    <row r="46" spans="1:20">
      <c r="A46" s="3663" t="s">
        <v>3476</v>
      </c>
      <c r="B46" s="3663" t="s">
        <v>1465</v>
      </c>
      <c r="C46" s="3663" t="s">
        <v>3477</v>
      </c>
      <c r="D46" s="3663" t="s">
        <v>3312</v>
      </c>
      <c r="E46" s="3663">
        <v>23652.31</v>
      </c>
      <c r="F46" s="3663">
        <v>23652.31</v>
      </c>
      <c r="G46" s="3664">
        <v>1</v>
      </c>
      <c r="H46" s="3663" t="s">
        <v>3314</v>
      </c>
      <c r="I46" s="3663" t="s">
        <v>3331</v>
      </c>
      <c r="J46" s="3668">
        <v>44480.000497685185</v>
      </c>
      <c r="K46" s="3663" t="s">
        <v>3316</v>
      </c>
      <c r="L46" s="3663" t="s">
        <v>3478</v>
      </c>
      <c r="M46" s="3663">
        <v>2689.6</v>
      </c>
      <c r="N46" s="3663">
        <v>550</v>
      </c>
      <c r="O46" s="3663">
        <v>2689.6</v>
      </c>
      <c r="P46" s="3663">
        <v>1137.1400000000001</v>
      </c>
      <c r="Q46" s="3663">
        <v>75.81</v>
      </c>
      <c r="R46" s="3663">
        <v>1137</v>
      </c>
      <c r="S46" s="3663" t="s">
        <v>3323</v>
      </c>
    </row>
    <row r="47" spans="1:20">
      <c r="A47" s="3663" t="s">
        <v>3479</v>
      </c>
      <c r="B47" s="3663" t="s">
        <v>1465</v>
      </c>
      <c r="C47" s="3663" t="s">
        <v>3480</v>
      </c>
      <c r="D47" s="3663" t="s">
        <v>3312</v>
      </c>
      <c r="E47" s="3663">
        <v>23170.400000000001</v>
      </c>
      <c r="F47" s="3663">
        <v>23170.400000000001</v>
      </c>
      <c r="G47" s="3664">
        <v>1</v>
      </c>
      <c r="H47" s="3663" t="s">
        <v>3314</v>
      </c>
      <c r="I47" s="3663" t="s">
        <v>3331</v>
      </c>
      <c r="J47" s="3668">
        <v>44480.000497685185</v>
      </c>
      <c r="K47" s="3663" t="s">
        <v>3316</v>
      </c>
      <c r="L47" s="3663" t="s">
        <v>3475</v>
      </c>
      <c r="M47" s="3663">
        <v>2632.78</v>
      </c>
      <c r="N47" s="3663">
        <v>530</v>
      </c>
      <c r="O47" s="3663">
        <v>2632.78</v>
      </c>
      <c r="P47" s="3663">
        <v>1136.26</v>
      </c>
      <c r="Q47" s="3663">
        <v>75.75</v>
      </c>
      <c r="R47" s="3663">
        <v>1136</v>
      </c>
      <c r="S47" s="3663" t="s">
        <v>3323</v>
      </c>
    </row>
    <row r="48" spans="1:20">
      <c r="A48" s="3663" t="s">
        <v>3481</v>
      </c>
      <c r="B48" s="3663" t="s">
        <v>1465</v>
      </c>
      <c r="C48" s="3663" t="s">
        <v>3482</v>
      </c>
      <c r="D48" s="3663" t="s">
        <v>3312</v>
      </c>
      <c r="E48" s="3663">
        <v>82052.600000000006</v>
      </c>
      <c r="F48" s="3663">
        <v>155899.94</v>
      </c>
      <c r="G48" s="3664">
        <v>1.9</v>
      </c>
      <c r="H48" s="3663" t="s">
        <v>3314</v>
      </c>
      <c r="I48" s="3663" t="s">
        <v>3312</v>
      </c>
      <c r="J48" s="3668">
        <v>44466.000497685185</v>
      </c>
      <c r="K48" s="3663" t="s">
        <v>3316</v>
      </c>
      <c r="L48" s="3663" t="s">
        <v>3483</v>
      </c>
      <c r="M48" s="3663">
        <v>16837.189999999999</v>
      </c>
      <c r="N48" s="3663">
        <v>3400</v>
      </c>
      <c r="O48" s="3663">
        <v>16837.189999999999</v>
      </c>
      <c r="P48" s="3663">
        <v>2051.9899999999998</v>
      </c>
      <c r="Q48" s="3663">
        <v>136.80000000000001</v>
      </c>
      <c r="R48" s="3663">
        <v>1080</v>
      </c>
      <c r="S48" s="3663" t="s">
        <v>3442</v>
      </c>
    </row>
    <row r="49" spans="1:19">
      <c r="A49" s="3663" t="s">
        <v>3484</v>
      </c>
      <c r="B49" s="3663" t="s">
        <v>1465</v>
      </c>
      <c r="C49" s="3663" t="s">
        <v>3485</v>
      </c>
      <c r="D49" s="3663" t="s">
        <v>3312</v>
      </c>
      <c r="E49" s="3663">
        <v>7844</v>
      </c>
      <c r="F49" s="3663">
        <v>11766</v>
      </c>
      <c r="G49" s="3664">
        <v>1.5</v>
      </c>
      <c r="H49" s="3663" t="s">
        <v>3314</v>
      </c>
      <c r="I49" s="3663" t="s">
        <v>3312</v>
      </c>
      <c r="J49" s="3668">
        <v>44466.000497685185</v>
      </c>
      <c r="K49" s="3663" t="s">
        <v>3316</v>
      </c>
      <c r="L49" s="3663" t="s">
        <v>3486</v>
      </c>
      <c r="M49" s="3663">
        <v>854.21</v>
      </c>
      <c r="N49" s="3663">
        <v>213.55</v>
      </c>
      <c r="O49" s="3663">
        <v>854.21</v>
      </c>
      <c r="P49" s="3663">
        <v>1088.99</v>
      </c>
      <c r="Q49" s="3663">
        <v>72.599999999999994</v>
      </c>
      <c r="R49" s="3663">
        <v>726</v>
      </c>
      <c r="S49" s="3663" t="s">
        <v>3323</v>
      </c>
    </row>
    <row r="50" spans="1:19">
      <c r="A50" s="3663" t="s">
        <v>3487</v>
      </c>
      <c r="B50" s="3663" t="s">
        <v>1465</v>
      </c>
      <c r="C50" s="3663" t="s">
        <v>3488</v>
      </c>
      <c r="D50" s="3663" t="s">
        <v>3312</v>
      </c>
      <c r="E50" s="3663">
        <v>49454.7</v>
      </c>
      <c r="F50" s="3663">
        <v>98909.1</v>
      </c>
      <c r="G50" s="3664">
        <v>2</v>
      </c>
      <c r="H50" s="3663" t="s">
        <v>3314</v>
      </c>
      <c r="I50" s="3663" t="s">
        <v>3489</v>
      </c>
      <c r="J50" s="3668">
        <v>44454.000497685185</v>
      </c>
      <c r="K50" s="3663" t="s">
        <v>3316</v>
      </c>
      <c r="L50" s="3663" t="s">
        <v>3322</v>
      </c>
      <c r="M50" s="3663">
        <v>6448.89</v>
      </c>
      <c r="N50" s="3663">
        <v>1612.22</v>
      </c>
      <c r="O50" s="3663">
        <v>6448.89</v>
      </c>
      <c r="P50" s="3663">
        <v>1303.99</v>
      </c>
      <c r="Q50" s="3663">
        <v>86.93</v>
      </c>
      <c r="R50" s="3663">
        <v>652</v>
      </c>
      <c r="S50" s="3663">
        <v>20</v>
      </c>
    </row>
    <row r="51" spans="1:19">
      <c r="A51" s="3663" t="s">
        <v>3490</v>
      </c>
      <c r="B51" s="3663" t="s">
        <v>1465</v>
      </c>
      <c r="C51" s="3663" t="s">
        <v>3491</v>
      </c>
      <c r="D51" s="3663" t="s">
        <v>3312</v>
      </c>
      <c r="E51" s="3663">
        <v>13006.3</v>
      </c>
      <c r="F51" s="3663">
        <v>9104.41</v>
      </c>
      <c r="G51" s="3664" t="s">
        <v>3492</v>
      </c>
      <c r="H51" s="3663" t="s">
        <v>3314</v>
      </c>
      <c r="I51" s="3663" t="s">
        <v>3398</v>
      </c>
      <c r="J51" s="3668">
        <v>44446.000497685185</v>
      </c>
      <c r="K51" s="3663" t="s">
        <v>3316</v>
      </c>
      <c r="L51" s="3663" t="s">
        <v>3493</v>
      </c>
      <c r="M51" s="3663">
        <v>742.66</v>
      </c>
      <c r="N51" s="3663">
        <v>185.66</v>
      </c>
      <c r="O51" s="3663">
        <v>742.66</v>
      </c>
      <c r="P51" s="3663">
        <v>571</v>
      </c>
      <c r="Q51" s="3663">
        <v>38.07</v>
      </c>
      <c r="R51" s="3663">
        <v>816</v>
      </c>
      <c r="S51" s="3663" t="s">
        <v>3323</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4" t="s">
        <v>1556</v>
      </c>
      <c r="B1" s="3674"/>
      <c r="C1" s="3674"/>
      <c r="D1" s="3674"/>
      <c r="E1" s="3674"/>
      <c r="F1" s="3674"/>
      <c r="G1" s="3674"/>
      <c r="H1" s="3674"/>
      <c r="I1" s="3674"/>
      <c r="J1" s="3674"/>
      <c r="K1" s="3674"/>
      <c r="L1" s="3674"/>
      <c r="M1" s="3674"/>
      <c r="N1" s="3674"/>
      <c r="O1" s="3674"/>
      <c r="P1" s="3674"/>
      <c r="Q1" s="3674"/>
      <c r="R1" s="3674"/>
    </row>
    <row r="2" spans="1:18">
      <c r="A2" s="1594" t="s">
        <v>1558</v>
      </c>
      <c r="B2" s="1594"/>
      <c r="C2" s="1594"/>
      <c r="D2" s="1594"/>
      <c r="E2" s="1594"/>
      <c r="F2" s="1594"/>
      <c r="G2" s="1594"/>
      <c r="H2" s="1594"/>
      <c r="I2" s="1595"/>
      <c r="J2" s="1595"/>
      <c r="K2" s="1596" t="str">
        <f>"估价期日："&amp;TEXT(项目基本情况!D3,"yyyy年m月d日;;")</f>
        <v>估价期日：2024年3月27日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75" t="s">
        <v>1547</v>
      </c>
      <c r="B3" s="3675" t="s">
        <v>2013</v>
      </c>
      <c r="C3" s="3676" t="s">
        <v>1548</v>
      </c>
      <c r="D3" s="3675" t="s">
        <v>2017</v>
      </c>
      <c r="E3" s="3678" t="s">
        <v>1549</v>
      </c>
      <c r="F3" s="3678"/>
      <c r="G3" s="3678"/>
      <c r="H3" s="3678" t="s">
        <v>1550</v>
      </c>
      <c r="I3" s="3678"/>
      <c r="J3" s="3678"/>
      <c r="K3" s="3676" t="s">
        <v>1551</v>
      </c>
      <c r="L3" s="3676" t="s">
        <v>1552</v>
      </c>
      <c r="M3" s="3675" t="s">
        <v>2014</v>
      </c>
      <c r="N3" s="3677" t="str">
        <f>"（分摊）"&amp;项目基本情况!A17&amp;"国有建设用地使用权面积/㎡"</f>
        <v>（分摊）出让国有建设用地使用权面积/㎡</v>
      </c>
      <c r="O3" s="3675" t="s">
        <v>1581</v>
      </c>
      <c r="P3" s="3676" t="s">
        <v>1561</v>
      </c>
      <c r="Q3" s="3676" t="s">
        <v>1582</v>
      </c>
      <c r="R3" s="3676" t="s">
        <v>1553</v>
      </c>
    </row>
    <row r="4" spans="1:18" ht="36.75" customHeight="1">
      <c r="A4" s="3675"/>
      <c r="B4" s="3675"/>
      <c r="C4" s="3676"/>
      <c r="D4" s="3675"/>
      <c r="E4" s="2253" t="s">
        <v>1560</v>
      </c>
      <c r="F4" s="2253" t="s">
        <v>2026</v>
      </c>
      <c r="G4" s="2253" t="s">
        <v>1554</v>
      </c>
      <c r="H4" s="2253" t="s">
        <v>1555</v>
      </c>
      <c r="I4" s="2253" t="s">
        <v>2027</v>
      </c>
      <c r="J4" s="2253" t="s">
        <v>1554</v>
      </c>
      <c r="K4" s="3676"/>
      <c r="L4" s="3676"/>
      <c r="M4" s="3675"/>
      <c r="N4" s="3677"/>
      <c r="O4" s="3675"/>
      <c r="P4" s="3676"/>
      <c r="Q4" s="3676"/>
      <c r="R4" s="3676"/>
    </row>
    <row r="5" spans="1:18" ht="135" customHeight="1">
      <c r="A5" s="1698" t="s">
        <v>1937</v>
      </c>
      <c r="B5" s="2346" t="s">
        <v>1935</v>
      </c>
      <c r="C5" s="2252">
        <v>22</v>
      </c>
      <c r="D5" s="2251" t="s">
        <v>1936</v>
      </c>
      <c r="E5" s="1597" t="str">
        <f>项目基本情况!B12</f>
        <v>工业</v>
      </c>
      <c r="F5" s="2251">
        <v>258</v>
      </c>
      <c r="G5" s="1597" t="str">
        <f>项目基本情况!B13</f>
        <v>工业</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红线外七通、宗地红线内场地平整</v>
      </c>
      <c r="M5" s="1597">
        <f>IF(项目基本情况!A17="出让",项目基本情况!D20,"——")</f>
        <v>0</v>
      </c>
      <c r="N5" s="1597">
        <f>项目基本情况!C22</f>
        <v>4259.9399999999996</v>
      </c>
      <c r="O5" s="1597">
        <f>项目基本情况!C21</f>
        <v>6342.01</v>
      </c>
      <c r="P5" s="1597">
        <f ca="1">结果表!E42</f>
        <v>1615</v>
      </c>
      <c r="Q5" s="1597">
        <f ca="1">结果表!D42</f>
        <v>1085</v>
      </c>
      <c r="R5" s="1598">
        <f ca="1">结果表!C42</f>
        <v>688</v>
      </c>
    </row>
    <row r="6" spans="1:18">
      <c r="A6" s="3679" t="str">
        <f>IF(项目基本情况!B9="市场价格","——","抵押价格")</f>
        <v>抵押价格</v>
      </c>
      <c r="B6" s="3680"/>
      <c r="C6" s="3680"/>
      <c r="D6" s="3680"/>
      <c r="E6" s="3680"/>
      <c r="F6" s="3680"/>
      <c r="G6" s="3680"/>
      <c r="H6" s="3680"/>
      <c r="I6" s="3680"/>
      <c r="J6" s="3680"/>
      <c r="K6" s="3680"/>
      <c r="L6" s="3680"/>
      <c r="M6" s="3680"/>
      <c r="N6" s="3680"/>
      <c r="O6" s="3680"/>
      <c r="P6" s="3680"/>
      <c r="Q6" s="3681"/>
      <c r="R6" s="1599">
        <f ca="1">结果表!O39</f>
        <v>688</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1599" t="str">
        <f>结果表!O40</f>
        <v>——</v>
      </c>
    </row>
    <row r="8" spans="1:18">
      <c r="A8" s="3679">
        <f>IF(项目基本情况!B9="市场价格","——",项目基本情况!E9)</f>
        <v>0</v>
      </c>
      <c r="B8" s="3680"/>
      <c r="C8" s="3680"/>
      <c r="D8" s="3680"/>
      <c r="E8" s="3680"/>
      <c r="F8" s="3680"/>
      <c r="G8" s="3680"/>
      <c r="H8" s="3680"/>
      <c r="I8" s="3680"/>
      <c r="J8" s="3680"/>
      <c r="K8" s="3680"/>
      <c r="L8" s="3680"/>
      <c r="M8" s="3680"/>
      <c r="N8" s="3680"/>
      <c r="O8" s="3680"/>
      <c r="P8" s="3680"/>
      <c r="Q8" s="3681"/>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82" t="s">
        <v>1583</v>
      </c>
      <c r="B1" s="3682"/>
      <c r="C1" s="3682"/>
      <c r="D1" s="3682"/>
    </row>
    <row r="2" spans="1:4" ht="47.25" customHeight="1">
      <c r="A2" s="3686" t="str">
        <f>"1.权利限制："&amp;项目基本情况!L24&amp;"未设定租赁等其他他项权利。"</f>
        <v>1.权利限制：根据估价对象《不动产权证书》原件、《国有土地使用权》复印件，截至估价期日，估价对象抵押权未见登记。未设定租赁等其他他项权利。</v>
      </c>
      <c r="B2" s="3686"/>
      <c r="C2" s="3686"/>
      <c r="D2" s="3686"/>
    </row>
    <row r="3" spans="1:4" ht="48" customHeight="1">
      <c r="A3" s="368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82"/>
      <c r="C3" s="3682"/>
      <c r="D3" s="3682"/>
    </row>
    <row r="4" spans="1:4" ht="36.75" customHeight="1">
      <c r="A4" s="3682" t="str">
        <f>"3.估价规划限制条件：详见"&amp;项目基本情况!E21&amp;"。"</f>
        <v>3.估价规划限制条件：详见《建设工程规划许可证》[]、《出让合同》[]。</v>
      </c>
      <c r="B4" s="3682"/>
      <c r="C4" s="3682"/>
      <c r="D4" s="3682"/>
    </row>
    <row r="5" spans="1:4">
      <c r="A5" s="3685" t="s">
        <v>1584</v>
      </c>
      <c r="B5" s="3685"/>
      <c r="C5" s="3685"/>
      <c r="D5" s="3685"/>
    </row>
    <row r="6" spans="1:4">
      <c r="A6" s="3682" t="s">
        <v>1562</v>
      </c>
      <c r="B6" s="3682"/>
      <c r="C6" s="3682"/>
      <c r="D6" s="3682"/>
    </row>
    <row r="7" spans="1:4" ht="33" customHeight="1">
      <c r="A7" s="3682" t="s">
        <v>1857</v>
      </c>
      <c r="B7" s="3682"/>
      <c r="C7" s="3682"/>
      <c r="D7" s="3682"/>
    </row>
    <row r="8" spans="1:4" ht="32.25" customHeight="1">
      <c r="A8" s="36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2"/>
      <c r="C8" s="3682"/>
      <c r="D8" s="3682"/>
    </row>
    <row r="9" spans="1:4" ht="33.75" customHeight="1">
      <c r="A9" s="36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2"/>
      <c r="C9" s="3682"/>
      <c r="D9" s="3682"/>
    </row>
    <row r="10" spans="1:4">
      <c r="A10" s="3682" t="str">
        <f>IF(项目基本情况!B8="抵押","4.估价师所知悉的法定优先受偿款情况为：","——")</f>
        <v>4.估价师所知悉的法定优先受偿款情况为：</v>
      </c>
      <c r="B10" s="3682"/>
      <c r="C10" s="3682"/>
      <c r="D10" s="3682"/>
    </row>
    <row r="11" spans="1:4" ht="37.5" customHeight="1">
      <c r="A11" s="3684" t="str">
        <f>IF(项目基本情况!B8="抵押","（1）"&amp;CONCATENATE(项目基本情况!L24,项目基本情况!L25,项目基本情况!L26),"——")</f>
        <v>（1）根据估价对象《不动产权证书》原件、《国有土地使用权》复印件，截至估价期日，估价对象抵押权未见登记。</v>
      </c>
      <c r="B11" s="3684"/>
      <c r="C11" s="3684"/>
      <c r="D11" s="3684"/>
    </row>
    <row r="12" spans="1:4" ht="168" customHeight="1">
      <c r="A12" s="3685" t="s">
        <v>1586</v>
      </c>
      <c r="B12" s="3685"/>
      <c r="C12" s="3685"/>
      <c r="D12" s="3685"/>
    </row>
    <row r="13" spans="1:4">
      <c r="A13" s="3683" t="s">
        <v>2028</v>
      </c>
      <c r="B13" s="3683"/>
      <c r="C13" s="3683"/>
      <c r="D13" s="3683"/>
    </row>
    <row r="14" spans="1:4">
      <c r="A14" s="3684" t="str">
        <f>IF(项目基本情况!B8="抵押","综上，"&amp;结果表!K47,"——")</f>
        <v>综上，本次评估不存在估价师知悉的法定优先受偿款</v>
      </c>
      <c r="B14" s="3684"/>
      <c r="C14" s="3684"/>
      <c r="D14" s="3684"/>
    </row>
    <row r="15" spans="1:4" ht="58.5" customHeight="1">
      <c r="A15" s="36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2"/>
      <c r="C15" s="3682"/>
      <c r="D15" s="3682"/>
    </row>
    <row r="16" spans="1:4" ht="70.5" customHeight="1">
      <c r="A16" s="36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2"/>
      <c r="C16" s="3682"/>
      <c r="D16" s="3682"/>
    </row>
    <row r="17" spans="1:4">
      <c r="A17" s="3682" t="s">
        <v>1984</v>
      </c>
      <c r="B17" s="3682"/>
      <c r="C17" s="3682"/>
      <c r="D17" s="3682"/>
    </row>
    <row r="18" spans="1:4">
      <c r="A18" s="3682" t="s">
        <v>1976</v>
      </c>
      <c r="B18" s="3682"/>
      <c r="C18" s="3682"/>
      <c r="D18" s="3682"/>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82" t="s">
        <v>1981</v>
      </c>
      <c r="B23" s="3682"/>
      <c r="C23" s="3682"/>
      <c r="D23" s="3682"/>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694" t="s">
        <v>27</v>
      </c>
      <c r="B15" s="3695" t="s">
        <v>784</v>
      </c>
      <c r="C15" s="3691"/>
    </row>
    <row r="16" spans="1:7" ht="14.25">
      <c r="A16" s="3694"/>
      <c r="B16" s="3692" t="s">
        <v>28</v>
      </c>
      <c r="C16" s="1069" t="s">
        <v>27</v>
      </c>
    </row>
    <row r="17" spans="1:3" ht="14.25">
      <c r="A17" s="3694"/>
      <c r="B17" s="3692"/>
      <c r="C17" s="1069" t="s">
        <v>29</v>
      </c>
    </row>
    <row r="18" spans="1:3" ht="14.25">
      <c r="A18" s="3694"/>
      <c r="B18" s="3692"/>
      <c r="C18" s="1069" t="s">
        <v>30</v>
      </c>
    </row>
    <row r="19" spans="1:3" ht="14.25">
      <c r="A19" s="3694"/>
      <c r="B19" s="3690" t="s">
        <v>31</v>
      </c>
      <c r="C19" s="3691"/>
    </row>
    <row r="20" spans="1:3" ht="14.25">
      <c r="A20" s="1070" t="s">
        <v>32</v>
      </c>
      <c r="B20" s="1071"/>
      <c r="C20" s="1072"/>
    </row>
    <row r="21" spans="1:3" ht="14.25">
      <c r="A21" s="3693" t="s">
        <v>33</v>
      </c>
      <c r="B21" s="3690" t="s">
        <v>34</v>
      </c>
      <c r="C21" s="3691"/>
    </row>
    <row r="22" spans="1:3" ht="14.25">
      <c r="A22" s="3693"/>
      <c r="B22" s="3690" t="s">
        <v>35</v>
      </c>
      <c r="C22" s="3691"/>
    </row>
    <row r="23" spans="1:3" ht="14.25">
      <c r="A23" s="3693"/>
      <c r="B23" s="3690" t="s">
        <v>36</v>
      </c>
      <c r="C23" s="3691"/>
    </row>
    <row r="24" spans="1:3" ht="14.25">
      <c r="A24" s="3693"/>
      <c r="B24" s="3696" t="s">
        <v>37</v>
      </c>
      <c r="C24" s="1073" t="s">
        <v>775</v>
      </c>
    </row>
    <row r="25" spans="1:3" ht="14.25">
      <c r="A25" s="3693"/>
      <c r="B25" s="3697"/>
      <c r="C25" s="1073" t="s">
        <v>776</v>
      </c>
    </row>
    <row r="26" spans="1:3" ht="14.25">
      <c r="A26" s="3693"/>
      <c r="B26" s="3697"/>
      <c r="C26" s="1073" t="s">
        <v>777</v>
      </c>
    </row>
    <row r="27" spans="1:3" ht="14.25">
      <c r="A27" s="3693"/>
      <c r="B27" s="3697"/>
      <c r="C27" s="1073" t="s">
        <v>778</v>
      </c>
    </row>
    <row r="28" spans="1:3" ht="14.25">
      <c r="A28" s="3693"/>
      <c r="B28" s="3697"/>
      <c r="C28" s="1073" t="s">
        <v>779</v>
      </c>
    </row>
    <row r="29" spans="1:3" ht="14.25">
      <c r="A29" s="3693"/>
      <c r="B29" s="3697"/>
      <c r="C29" s="1073" t="s">
        <v>780</v>
      </c>
    </row>
    <row r="30" spans="1:3" ht="14.25">
      <c r="A30" s="3693"/>
      <c r="B30" s="3697"/>
      <c r="C30" s="1073" t="s">
        <v>781</v>
      </c>
    </row>
    <row r="31" spans="1:3" ht="14.25">
      <c r="A31" s="3693"/>
      <c r="B31" s="3697"/>
      <c r="C31" s="1073" t="s">
        <v>782</v>
      </c>
    </row>
    <row r="32" spans="1:3" ht="14.25">
      <c r="A32" s="3693"/>
      <c r="B32" s="3697"/>
      <c r="C32" s="1073" t="s">
        <v>1181</v>
      </c>
    </row>
    <row r="33" spans="1:3" ht="14.25">
      <c r="A33" s="3693"/>
      <c r="B33" s="3687" t="s">
        <v>1187</v>
      </c>
      <c r="C33" s="1073" t="s">
        <v>1182</v>
      </c>
    </row>
    <row r="34" spans="1:3" ht="14.25">
      <c r="A34" s="3693"/>
      <c r="B34" s="3688"/>
      <c r="C34" s="1078" t="s">
        <v>1183</v>
      </c>
    </row>
    <row r="35" spans="1:3" ht="14.25">
      <c r="A35" s="3693"/>
      <c r="B35" s="3688"/>
      <c r="C35" s="1079" t="s">
        <v>1184</v>
      </c>
    </row>
    <row r="36" spans="1:3" ht="14.25">
      <c r="A36" s="3693"/>
      <c r="B36" s="3688"/>
      <c r="C36" s="1079" t="s">
        <v>1185</v>
      </c>
    </row>
    <row r="37" spans="1:3" ht="14.25">
      <c r="A37" s="3693"/>
      <c r="B37" s="368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45384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01" t="s">
        <v>1448</v>
      </c>
      <c r="B18" s="3702"/>
      <c r="C18" s="3702"/>
      <c r="D18" s="3702"/>
      <c r="E18" s="3702"/>
      <c r="F18" s="3702"/>
      <c r="G18" s="2776"/>
    </row>
    <row r="19" spans="1:7" ht="20.25" customHeight="1">
      <c r="A19" s="3698" t="s">
        <v>1449</v>
      </c>
      <c r="B19" s="3698"/>
      <c r="C19" s="3699"/>
      <c r="D19" s="3700" t="s">
        <v>1450</v>
      </c>
      <c r="E19" s="3698"/>
      <c r="F19" s="3698"/>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2753</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2754</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2755</v>
      </c>
    </row>
    <row r="8" spans="1:23">
      <c r="A8" s="6" t="s">
        <v>75</v>
      </c>
      <c r="B8" s="6" t="s">
        <v>76</v>
      </c>
      <c r="C8" s="1367" t="s">
        <v>1244</v>
      </c>
      <c r="F8" s="7" t="s">
        <v>121</v>
      </c>
      <c r="H8" s="3336" t="s">
        <v>2749</v>
      </c>
      <c r="I8" s="7" t="s">
        <v>2756</v>
      </c>
    </row>
    <row r="9" spans="1:23">
      <c r="A9" s="6" t="s">
        <v>77</v>
      </c>
      <c r="B9" s="6" t="s">
        <v>122</v>
      </c>
      <c r="C9" s="1367" t="s">
        <v>1245</v>
      </c>
      <c r="F9" s="7" t="s">
        <v>78</v>
      </c>
      <c r="H9" s="7"/>
      <c r="I9" s="7" t="s">
        <v>2757</v>
      </c>
    </row>
    <row r="10" spans="1:23">
      <c r="A10" s="6" t="s">
        <v>79</v>
      </c>
      <c r="B10" s="6" t="s">
        <v>123</v>
      </c>
      <c r="C10" s="1367" t="s">
        <v>1246</v>
      </c>
      <c r="F10" s="3336" t="s">
        <v>2748</v>
      </c>
      <c r="I10" s="7" t="s">
        <v>2758</v>
      </c>
    </row>
    <row r="11" spans="1:23">
      <c r="A11" s="6" t="s">
        <v>80</v>
      </c>
      <c r="B11" s="6" t="s">
        <v>124</v>
      </c>
      <c r="C11" s="1367" t="s">
        <v>1247</v>
      </c>
      <c r="I11" s="7" t="s">
        <v>2759</v>
      </c>
    </row>
    <row r="12" spans="1:23">
      <c r="A12" s="6" t="s">
        <v>81</v>
      </c>
      <c r="B12" s="6" t="s">
        <v>125</v>
      </c>
      <c r="C12" s="1367" t="s">
        <v>1248</v>
      </c>
      <c r="I12" s="7" t="s">
        <v>2760</v>
      </c>
    </row>
    <row r="13" spans="1:23">
      <c r="A13" s="6" t="s">
        <v>82</v>
      </c>
      <c r="B13" s="6" t="s">
        <v>126</v>
      </c>
      <c r="C13" s="1367" t="s">
        <v>1249</v>
      </c>
      <c r="I13" s="7" t="s">
        <v>2761</v>
      </c>
    </row>
    <row r="14" spans="1:23">
      <c r="A14" s="6" t="s">
        <v>83</v>
      </c>
      <c r="B14" s="6" t="s">
        <v>127</v>
      </c>
      <c r="C14" s="1370" t="s">
        <v>1421</v>
      </c>
      <c r="I14" s="7" t="s">
        <v>2762</v>
      </c>
    </row>
    <row r="15" spans="1:23">
      <c r="A15" s="6" t="s">
        <v>84</v>
      </c>
      <c r="B15" s="6" t="s">
        <v>1214</v>
      </c>
      <c r="C15" s="1370"/>
      <c r="I15" s="7" t="s">
        <v>2763</v>
      </c>
    </row>
    <row r="16" spans="1:23">
      <c r="A16" s="6" t="s">
        <v>85</v>
      </c>
      <c r="B16" s="6" t="s">
        <v>1215</v>
      </c>
      <c r="C16" s="1370"/>
    </row>
    <row r="17" spans="1:3">
      <c r="A17" s="6" t="s">
        <v>86</v>
      </c>
      <c r="B17" s="6" t="s">
        <v>1216</v>
      </c>
      <c r="C17" s="1370"/>
    </row>
    <row r="18" spans="1:3">
      <c r="A18" s="6" t="s">
        <v>87</v>
      </c>
      <c r="B18" s="2546" t="s">
        <v>2216</v>
      </c>
      <c r="C18" s="1370"/>
    </row>
    <row r="19" spans="1:3">
      <c r="A19" s="6" t="s">
        <v>88</v>
      </c>
      <c r="B19" s="2546" t="s">
        <v>2223</v>
      </c>
      <c r="C19" s="1370"/>
    </row>
    <row r="20" spans="1:3">
      <c r="A20" s="6" t="s">
        <v>89</v>
      </c>
      <c r="B20" s="2546" t="s">
        <v>2263</v>
      </c>
      <c r="C20" s="1370"/>
    </row>
    <row r="21" spans="1:3">
      <c r="A21" s="6" t="s">
        <v>90</v>
      </c>
      <c r="B21" s="6" t="s">
        <v>2443</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03"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c r="D53" s="1557"/>
      <c r="E53" s="1557"/>
    </row>
    <row r="54" spans="1:5">
      <c r="A54" s="3703"/>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03"/>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03"/>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03"/>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2024-04-02T10:55:37Z</dcterms:modified>
</cp:coreProperties>
</file>