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典型户型修正" sheetId="31"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土地比较法-工业" sheetId="40"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3" i="1" l="1"/>
  <c r="U23" i="1"/>
  <c r="T22" i="1"/>
  <c r="T21" i="1"/>
  <c r="C15" i="74"/>
  <c r="C14" i="74"/>
  <c r="B15" i="74"/>
  <c r="B14" i="74"/>
  <c r="D33" i="43" l="1"/>
  <c r="I14" i="3"/>
  <c r="D15" i="74" l="1"/>
  <c r="G15" i="74" s="1"/>
  <c r="I34" i="40" l="1"/>
  <c r="G34" i="40"/>
  <c r="E34" i="40"/>
  <c r="I7" i="40"/>
  <c r="G7" i="40"/>
  <c r="E7" i="40"/>
  <c r="E66" i="40"/>
  <c r="F66" i="40"/>
  <c r="G66" i="40"/>
  <c r="H66" i="40" s="1"/>
  <c r="I66" i="40" s="1"/>
  <c r="J66" i="40" s="1"/>
  <c r="K66" i="40" s="1"/>
  <c r="L66" i="40" s="1"/>
  <c r="M66" i="40" s="1"/>
  <c r="D66" i="40"/>
  <c r="T1" i="80"/>
  <c r="T40" i="80" s="1"/>
  <c r="T5" i="80" l="1"/>
  <c r="T9" i="80"/>
  <c r="T13" i="80"/>
  <c r="T17" i="80"/>
  <c r="T21" i="80"/>
  <c r="T25" i="80"/>
  <c r="T29" i="80"/>
  <c r="T33" i="80"/>
  <c r="T37" i="80"/>
  <c r="T41" i="80"/>
  <c r="T2" i="80"/>
  <c r="T6" i="80"/>
  <c r="T10" i="80"/>
  <c r="T14" i="80"/>
  <c r="T18" i="80"/>
  <c r="T22" i="80"/>
  <c r="T26" i="80"/>
  <c r="T30" i="80"/>
  <c r="T34" i="80"/>
  <c r="T38" i="80"/>
  <c r="T42" i="80"/>
  <c r="T3" i="80"/>
  <c r="T7" i="80"/>
  <c r="T11" i="80"/>
  <c r="T15" i="80"/>
  <c r="T19" i="80"/>
  <c r="T23" i="80"/>
  <c r="T27" i="80"/>
  <c r="T31" i="80"/>
  <c r="T35" i="80"/>
  <c r="T39" i="80"/>
  <c r="T43" i="80"/>
  <c r="T4" i="80"/>
  <c r="T8" i="80"/>
  <c r="T12" i="80"/>
  <c r="T16" i="80"/>
  <c r="E41" i="40" s="1"/>
  <c r="T20" i="80"/>
  <c r="G41" i="40" s="1"/>
  <c r="T24" i="80"/>
  <c r="T28" i="80"/>
  <c r="I41" i="40" s="1"/>
  <c r="T32" i="80"/>
  <c r="T36" i="80"/>
  <c r="G19" i="6" l="1"/>
  <c r="I13" i="3"/>
  <c r="F19" i="6" s="1"/>
  <c r="B3" i="4"/>
  <c r="E4" i="31" l="1"/>
  <c r="F4" i="31" s="1"/>
  <c r="G4" i="31" s="1"/>
  <c r="H4" i="31" s="1"/>
  <c r="D4" i="31"/>
  <c r="B25" i="31"/>
  <c r="B26" i="31"/>
  <c r="B27" i="31"/>
  <c r="B28" i="31"/>
  <c r="B29" i="31"/>
  <c r="A25" i="31"/>
  <c r="A26" i="31"/>
  <c r="A27" i="31"/>
  <c r="A28" i="31"/>
  <c r="A29" i="31"/>
  <c r="B24" i="31"/>
  <c r="A24" i="31"/>
  <c r="J49" i="67" l="1"/>
  <c r="J52" i="15" l="1"/>
  <c r="J49" i="15"/>
  <c r="O19" i="1"/>
  <c r="N18" i="1"/>
  <c r="N20" i="1" s="1"/>
  <c r="N6" i="1" s="1"/>
  <c r="Y6"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G14" i="3" s="1"/>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0" i="31"/>
  <c r="S521" i="31"/>
  <c r="S522"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H23" i="40" s="1"/>
  <c r="AB23" i="40" s="1"/>
  <c r="F92" i="40"/>
  <c r="G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S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W38" i="40"/>
  <c r="AA32" i="40"/>
  <c r="AB27" i="40"/>
  <c r="S30"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U32" i="40"/>
  <c r="AB31" i="40"/>
  <c r="S37" i="40"/>
  <c r="W27" i="40"/>
  <c r="W37" i="40"/>
  <c r="AC14" i="40"/>
  <c r="S13" i="40"/>
  <c r="S33" i="40"/>
  <c r="U11"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M23" i="15"/>
  <c r="M24" i="67"/>
  <c r="B10" i="76"/>
  <c r="M6" i="67"/>
  <c r="M26" i="67"/>
  <c r="D7" i="73"/>
  <c r="C76" i="15"/>
  <c r="E10" i="76"/>
  <c r="F7" i="73"/>
  <c r="F8" i="67"/>
  <c r="F26" i="67"/>
  <c r="E9" i="76"/>
  <c r="M28" i="67"/>
  <c r="J15" i="15"/>
  <c r="M9" i="67"/>
  <c r="M9" i="15"/>
  <c r="F3" i="73"/>
  <c r="F42" i="15"/>
  <c r="F40" i="67"/>
  <c r="M22" i="67"/>
  <c r="F36" i="15"/>
  <c r="M6" i="15"/>
  <c r="B9" i="76"/>
  <c r="D5" i="73"/>
  <c r="F13" i="67"/>
  <c r="D3" i="73"/>
  <c r="F20" i="31"/>
  <c r="B13" i="76"/>
  <c r="M22" i="15"/>
  <c r="L48" i="15"/>
  <c r="F4" i="73"/>
  <c r="J15" i="67"/>
  <c r="L48" i="67"/>
  <c r="F6" i="67"/>
  <c r="F9" i="67"/>
  <c r="B11" i="76"/>
  <c r="F37" i="67"/>
  <c r="F40" i="15"/>
  <c r="D6" i="73"/>
  <c r="F38" i="67"/>
  <c r="F16" i="67"/>
  <c r="M24" i="15"/>
  <c r="M26" i="15"/>
  <c r="F36" i="67"/>
  <c r="F38" i="15"/>
  <c r="L47" i="67"/>
  <c r="F37" i="15"/>
  <c r="M23" i="67"/>
  <c r="E2" i="69"/>
  <c r="E8" i="76"/>
  <c r="E11" i="76"/>
  <c r="E13" i="76"/>
  <c r="C76" i="67"/>
  <c r="E12" i="76"/>
  <c r="B7" i="76"/>
  <c r="M28" i="15"/>
  <c r="B12" i="76"/>
  <c r="M8" i="67"/>
  <c r="M8" i="15"/>
  <c r="F42" i="67"/>
  <c r="F5" i="73"/>
  <c r="F13" i="15"/>
  <c r="AO13" i="1"/>
  <c r="D4" i="73"/>
  <c r="F6" i="73"/>
  <c r="F26" i="15"/>
  <c r="L47" i="15"/>
  <c r="F16" i="15"/>
  <c r="B8" i="76"/>
  <c r="F6" i="15"/>
  <c r="F9" i="15"/>
  <c r="E7" i="76"/>
  <c r="F8" i="15"/>
  <c r="G22" i="68" l="1"/>
  <c r="G22" i="69"/>
  <c r="G22" i="11"/>
  <c r="E1" i="73"/>
  <c r="K1" i="73" s="1"/>
  <c r="W36" i="40"/>
  <c r="S36" i="40"/>
  <c r="U36" i="40"/>
  <c r="F23" i="40"/>
  <c r="AA23" i="40" s="1"/>
  <c r="AC21" i="40"/>
  <c r="J17" i="40"/>
  <c r="W17" i="40" s="1"/>
  <c r="F17" i="40"/>
  <c r="AA17" i="40" s="1"/>
  <c r="H17" i="40"/>
  <c r="U17" i="40" s="1"/>
  <c r="F84" i="40"/>
  <c r="G84" i="40" s="1"/>
  <c r="F15" i="40"/>
  <c r="AA15" i="40" s="1"/>
  <c r="H15" i="40"/>
  <c r="AB15" i="40" s="1"/>
  <c r="J15" i="40"/>
  <c r="W15" i="40" s="1"/>
  <c r="AA8" i="40"/>
  <c r="W25" i="40"/>
  <c r="U25" i="40"/>
  <c r="AA25" i="40"/>
  <c r="S23" i="40"/>
  <c r="W23" i="40"/>
  <c r="U23" i="40"/>
  <c r="W19" i="40"/>
  <c r="AA19" i="40"/>
  <c r="AC17" i="40"/>
  <c r="S15" i="40"/>
  <c r="W28" i="40"/>
  <c r="AB28" i="40"/>
  <c r="S28" i="40"/>
  <c r="AC11" i="40"/>
  <c r="AA9" i="40"/>
  <c r="U9" i="40"/>
  <c r="D58" i="43"/>
  <c r="E50" i="43" s="1"/>
  <c r="B48" i="43" s="1"/>
  <c r="D53" i="43"/>
  <c r="H69" i="43"/>
  <c r="H67" i="43"/>
  <c r="H50" i="43"/>
  <c r="BL15" i="3"/>
  <c r="AZ15" i="3" s="1"/>
  <c r="BA18" i="3"/>
  <c r="AZ18" i="3" s="1"/>
  <c r="BL5" i="3"/>
  <c r="BC5" i="3"/>
  <c r="J51" i="15"/>
  <c r="J53" i="15" s="1"/>
  <c r="L56" i="15" s="1"/>
  <c r="C24" i="12"/>
  <c r="C40" i="69"/>
  <c r="C21" i="68"/>
  <c r="G6" i="1"/>
  <c r="I24" i="43"/>
  <c r="C24" i="43" s="1"/>
  <c r="G28" i="6"/>
  <c r="G30" i="6" s="1"/>
  <c r="D19" i="53"/>
  <c r="B38" i="72" s="1"/>
  <c r="B13" i="53"/>
  <c r="B29" i="72" s="1"/>
  <c r="D21" i="53"/>
  <c r="B39"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I1" i="73"/>
  <c r="B39" i="1" s="1"/>
  <c r="F51" i="67"/>
  <c r="F65" i="67"/>
  <c r="J53" i="67"/>
  <c r="J57" i="67"/>
  <c r="J55" i="67" s="1"/>
  <c r="J58" i="67" s="1"/>
  <c r="Q50" i="67" s="1"/>
  <c r="L56" i="67"/>
  <c r="I54" i="67"/>
  <c r="F51" i="15"/>
  <c r="F66" i="67"/>
  <c r="L58" i="15"/>
  <c r="M59" i="15"/>
  <c r="F66" i="15"/>
  <c r="Q71" i="67"/>
  <c r="F64" i="15"/>
  <c r="C27" i="67"/>
  <c r="C27" i="15"/>
  <c r="F65" i="15"/>
  <c r="N59" i="67"/>
  <c r="L59" i="67"/>
  <c r="L58" i="67"/>
  <c r="M59" i="67"/>
  <c r="B13" i="70"/>
  <c r="F68" i="67"/>
  <c r="F64" i="67"/>
  <c r="F68" i="15"/>
  <c r="D9" i="69"/>
  <c r="C36" i="68"/>
  <c r="D9" i="68"/>
  <c r="G1" i="73"/>
  <c r="N59" i="15" l="1"/>
  <c r="L59" i="15"/>
  <c r="S17" i="40"/>
  <c r="AB17" i="40"/>
  <c r="AC15" i="40"/>
  <c r="U15" i="40"/>
  <c r="J57" i="15"/>
  <c r="J55" i="15" s="1"/>
  <c r="J58" i="15" s="1"/>
  <c r="Q50" i="15" s="1"/>
  <c r="J7" i="36"/>
  <c r="J7" i="37"/>
  <c r="F7" i="36"/>
  <c r="H7" i="36"/>
  <c r="AB7" i="36" s="1"/>
  <c r="T36" i="36" s="1"/>
  <c r="G36" i="36" s="1"/>
  <c r="P6" i="1"/>
  <c r="C13" i="12" s="1"/>
  <c r="E28" i="6"/>
  <c r="K14" i="1" s="1"/>
  <c r="D18" i="53"/>
  <c r="B35" i="72" s="1"/>
  <c r="C7" i="74"/>
  <c r="E61" i="43"/>
  <c r="B59" i="43" s="1"/>
  <c r="C28" i="43" s="1"/>
  <c r="E30" i="6"/>
  <c r="H7" i="34"/>
  <c r="AB7" i="34" s="1"/>
  <c r="T49" i="34" s="1"/>
  <c r="G49" i="34" s="1"/>
  <c r="E67" i="39"/>
  <c r="J7" i="34"/>
  <c r="W7" i="34" s="1"/>
  <c r="F7" i="34"/>
  <c r="S7" i="34" s="1"/>
  <c r="AA26" i="35"/>
  <c r="S26" i="35"/>
  <c r="AC26" i="35"/>
  <c r="W26" i="35"/>
  <c r="AB26" i="35"/>
  <c r="U26" i="35"/>
  <c r="C9" i="69"/>
  <c r="C9" i="68"/>
  <c r="E72" i="43"/>
  <c r="B70" i="43" s="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AE6" i="1"/>
  <c r="U7" i="36" l="1"/>
  <c r="M14" i="1"/>
  <c r="L37" i="43"/>
  <c r="P36" i="43"/>
  <c r="N36" i="43"/>
  <c r="Q36" i="43"/>
  <c r="O36" i="43"/>
  <c r="M36" i="43"/>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F41" i="67"/>
  <c r="M27" i="67"/>
  <c r="F41" i="15"/>
  <c r="M27" i="15"/>
  <c r="F69" i="67" l="1"/>
  <c r="G54" i="34"/>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C19" i="68"/>
  <c r="C19" i="69"/>
  <c r="C24" i="69" s="1"/>
  <c r="I69" i="39"/>
  <c r="J67" i="39"/>
  <c r="D9" i="71"/>
  <c r="I63" i="40"/>
  <c r="H65" i="40"/>
  <c r="I58" i="21"/>
  <c r="J58" i="21" s="1"/>
  <c r="K58" i="21" s="1"/>
  <c r="L58" i="21" s="1"/>
  <c r="M58" i="21" s="1"/>
  <c r="N58" i="21" s="1"/>
  <c r="O58" i="21" s="1"/>
  <c r="H7" i="21" s="1"/>
  <c r="J48" i="35"/>
  <c r="F7" i="21" l="1"/>
  <c r="S7" i="21" s="1"/>
  <c r="J7" i="21"/>
  <c r="AC7" i="21" s="1"/>
  <c r="V48" i="21" s="1"/>
  <c r="I48" i="21" s="1"/>
  <c r="D7" i="71"/>
  <c r="C6" i="71"/>
  <c r="C24" i="68"/>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L57" i="67" l="1"/>
  <c r="L60" i="67" s="1"/>
  <c r="B2" i="33"/>
  <c r="H7" i="39"/>
  <c r="J7" i="39"/>
  <c r="S7" i="39"/>
  <c r="AA7" i="39"/>
  <c r="R47" i="39" s="1"/>
  <c r="O63" i="40"/>
  <c r="O65" i="40" s="1"/>
  <c r="N65" i="40"/>
  <c r="D2" i="36"/>
  <c r="D2" i="35"/>
  <c r="D2" i="34"/>
  <c r="D2" i="37"/>
  <c r="Q57" i="67" l="1"/>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1" i="1"/>
  <c r="AO10" i="1"/>
  <c r="AO9" i="1"/>
  <c r="AO7" i="1"/>
  <c r="AO12" i="1"/>
  <c r="AO8" i="1"/>
  <c r="Q66" i="15" l="1"/>
  <c r="B9" i="70"/>
  <c r="B11" i="70"/>
  <c r="B7" i="70"/>
  <c r="B10" i="70"/>
  <c r="B12" i="70"/>
  <c r="B8" i="70"/>
  <c r="G51" i="39"/>
  <c r="H51" i="39" s="1"/>
  <c r="G52" i="39"/>
  <c r="H52" i="39" s="1"/>
  <c r="I51" i="39"/>
  <c r="J51" i="39" s="1"/>
  <c r="I52" i="39"/>
  <c r="J52" i="39" s="1"/>
  <c r="C48" i="39"/>
  <c r="C47" i="39"/>
  <c r="E52" i="39"/>
  <c r="F52" i="39" s="1"/>
  <c r="E51" i="39"/>
  <c r="F51" i="39" s="1"/>
  <c r="U7" i="40"/>
  <c r="AB7" i="40"/>
  <c r="AA7" i="40"/>
  <c r="S7" i="40"/>
  <c r="AC7" i="40"/>
  <c r="W7" i="40"/>
  <c r="B56" i="39" l="1"/>
  <c r="B63" i="39"/>
  <c r="B64" i="39"/>
  <c r="B60" i="39"/>
  <c r="B61" i="39"/>
  <c r="B57" i="39"/>
  <c r="F57" i="39" s="1"/>
  <c r="B58" i="39"/>
  <c r="F58" i="39" s="1"/>
  <c r="B62" i="39"/>
  <c r="B59" i="39"/>
  <c r="F59" i="39" s="1"/>
  <c r="R8" i="1" l="1"/>
  <c r="S8" i="1"/>
  <c r="AR8" i="1" s="1"/>
  <c r="O6" i="1"/>
  <c r="O16" i="1" s="1"/>
  <c r="R11" i="1"/>
  <c r="R10" i="1"/>
  <c r="R12" i="1"/>
  <c r="R9" i="1"/>
  <c r="R7" i="1"/>
  <c r="B2" i="74"/>
  <c r="E8" i="70"/>
  <c r="B1" i="74"/>
  <c r="AP6" i="1"/>
  <c r="C36" i="69" s="1"/>
  <c r="H13" i="3"/>
  <c r="I5" i="3"/>
  <c r="I4" i="6" s="1"/>
  <c r="D8" i="74" l="1"/>
  <c r="D7" i="74"/>
  <c r="T8" i="1"/>
  <c r="AQ8" i="1"/>
  <c r="H5" i="3"/>
  <c r="G13" i="3"/>
  <c r="G5" i="3" l="1"/>
  <c r="B3" i="3" s="1"/>
  <c r="E563" i="3" l="1"/>
  <c r="E119" i="3"/>
  <c r="E77" i="3"/>
  <c r="E379" i="3"/>
  <c r="E408" i="3"/>
  <c r="E450" i="3"/>
  <c r="E497" i="3"/>
  <c r="E549" i="3"/>
  <c r="E153" i="3"/>
  <c r="E168" i="3"/>
  <c r="E134" i="3"/>
  <c r="E319" i="3"/>
  <c r="E565" i="3"/>
  <c r="E423" i="3"/>
  <c r="E146" i="3"/>
  <c r="E382" i="3"/>
  <c r="E314" i="3"/>
  <c r="E330" i="3"/>
  <c r="E268" i="3"/>
  <c r="E471" i="3"/>
  <c r="E520" i="3"/>
  <c r="E481" i="3"/>
  <c r="E311" i="3"/>
  <c r="E357" i="3"/>
  <c r="E112" i="3"/>
  <c r="E557" i="3"/>
  <c r="L6" i="3"/>
  <c r="E188" i="3"/>
  <c r="E397" i="3"/>
  <c r="E223" i="3"/>
  <c r="E334" i="3"/>
  <c r="E203" i="3"/>
  <c r="AN6" i="3"/>
  <c r="E345" i="3"/>
  <c r="E228" i="3"/>
  <c r="E166" i="3"/>
  <c r="E415" i="3"/>
  <c r="E439" i="3"/>
  <c r="E70" i="3"/>
  <c r="E362" i="3"/>
  <c r="E504" i="3"/>
  <c r="E185" i="3"/>
  <c r="E377" i="3"/>
  <c r="E338" i="3"/>
  <c r="E538" i="3"/>
  <c r="E159" i="3"/>
  <c r="E326" i="3"/>
  <c r="E277" i="3"/>
  <c r="E466" i="3"/>
  <c r="E280" i="3"/>
  <c r="E560" i="3"/>
  <c r="E445" i="3"/>
  <c r="AE6" i="3"/>
  <c r="AI6" i="3"/>
  <c r="AM6" i="3"/>
  <c r="E147" i="3"/>
  <c r="E204" i="3"/>
  <c r="E22" i="3"/>
  <c r="E491" i="3"/>
  <c r="I3" i="6"/>
  <c r="E488" i="3"/>
  <c r="E58" i="3"/>
  <c r="E167" i="3"/>
  <c r="E581" i="3"/>
  <c r="E356" i="3"/>
  <c r="E309" i="3"/>
  <c r="E131" i="3"/>
  <c r="E173" i="3"/>
  <c r="E263" i="3"/>
  <c r="E224" i="3"/>
  <c r="E245" i="3"/>
  <c r="E177" i="3"/>
  <c r="W6" i="3"/>
  <c r="E133" i="3"/>
  <c r="E208" i="3"/>
  <c r="AG6" i="3"/>
  <c r="E331" i="3"/>
  <c r="E583" i="3"/>
  <c r="E151" i="3"/>
  <c r="E97" i="3"/>
  <c r="E347" i="3"/>
  <c r="E272" i="3"/>
  <c r="E178" i="3"/>
  <c r="E582" i="3"/>
  <c r="E535" i="3"/>
  <c r="E526" i="3"/>
  <c r="E237" i="3"/>
  <c r="E117" i="3"/>
  <c r="E453" i="3"/>
  <c r="E61" i="3"/>
  <c r="E276" i="3"/>
  <c r="E207" i="3"/>
  <c r="E372" i="3"/>
  <c r="E558" i="3"/>
  <c r="E239" i="3"/>
  <c r="E136" i="3"/>
  <c r="AO6" i="3"/>
  <c r="E574" i="3"/>
  <c r="E531" i="3"/>
  <c r="E495" i="3"/>
  <c r="E358" i="3"/>
  <c r="E254" i="3"/>
  <c r="E436" i="3"/>
  <c r="E271" i="3"/>
  <c r="E441" i="3"/>
  <c r="E96" i="3"/>
  <c r="E226" i="3"/>
  <c r="E465" i="3"/>
  <c r="E94" i="3"/>
  <c r="E252" i="3"/>
  <c r="E175" i="3"/>
  <c r="E169" i="3"/>
  <c r="E183" i="3"/>
  <c r="E472" i="3"/>
  <c r="E412" i="3"/>
  <c r="E393" i="3"/>
  <c r="E128" i="3"/>
  <c r="E71" i="3"/>
  <c r="E313" i="3"/>
  <c r="E150" i="3"/>
  <c r="E32" i="3"/>
  <c r="E14" i="3"/>
  <c r="E186" i="3"/>
  <c r="E126" i="3"/>
  <c r="E164" i="3"/>
  <c r="E505" i="3"/>
  <c r="E44" i="3"/>
  <c r="E315" i="3"/>
  <c r="E476" i="3"/>
  <c r="E174" i="3"/>
  <c r="E57" i="3"/>
  <c r="E260" i="3"/>
  <c r="E352" i="3"/>
  <c r="E17" i="3"/>
  <c r="E227" i="3"/>
  <c r="E99" i="3"/>
  <c r="E176" i="3"/>
  <c r="E519" i="3"/>
  <c r="E320" i="3"/>
  <c r="X6" i="3"/>
  <c r="E248" i="3"/>
  <c r="AP6" i="3"/>
  <c r="E105" i="3"/>
  <c r="E355" i="3"/>
  <c r="E273" i="3"/>
  <c r="E585" i="3"/>
  <c r="E349" i="3"/>
  <c r="E523" i="3"/>
  <c r="E540" i="3"/>
  <c r="E52" i="3"/>
  <c r="E266" i="3"/>
  <c r="E172" i="3"/>
  <c r="E474" i="3"/>
  <c r="E365" i="3"/>
  <c r="E551" i="3"/>
  <c r="E403" i="3"/>
  <c r="E366" i="3"/>
  <c r="R6" i="3"/>
  <c r="E229" i="3"/>
  <c r="E130" i="3"/>
  <c r="E443" i="3"/>
  <c r="O6" i="3"/>
  <c r="E262" i="3"/>
  <c r="E438" i="3"/>
  <c r="E236" i="3"/>
  <c r="E189" i="3"/>
  <c r="E576" i="3"/>
  <c r="E217" i="3"/>
  <c r="P6" i="3"/>
  <c r="E29" i="3"/>
  <c r="AJ6" i="3"/>
  <c r="E145" i="3"/>
  <c r="E570" i="3"/>
  <c r="E202" i="3"/>
  <c r="E350" i="3"/>
  <c r="E493" i="3"/>
  <c r="E475" i="3"/>
  <c r="E376" i="3"/>
  <c r="E562" i="3"/>
  <c r="E238" i="3"/>
  <c r="E342" i="3"/>
  <c r="E414" i="3"/>
  <c r="E545" i="3"/>
  <c r="E88" i="3"/>
  <c r="E387" i="3"/>
  <c r="V6" i="3"/>
  <c r="E447" i="3"/>
  <c r="S6" i="3"/>
  <c r="E322" i="3"/>
  <c r="E231" i="3"/>
  <c r="E210" i="3"/>
  <c r="E418" i="3"/>
  <c r="E514" i="3"/>
  <c r="E181" i="3"/>
  <c r="E458" i="3"/>
  <c r="E305" i="3"/>
  <c r="E89" i="3"/>
  <c r="E426" i="3"/>
  <c r="E269" i="3"/>
  <c r="E291" i="3"/>
  <c r="E509" i="3"/>
  <c r="E213" i="3"/>
  <c r="E385" i="3"/>
  <c r="E214" i="3"/>
  <c r="E518" i="3"/>
  <c r="E511" i="3"/>
  <c r="Q6" i="3"/>
  <c r="E388" i="3"/>
  <c r="E553" i="3"/>
  <c r="E193" i="3"/>
  <c r="E424" i="3"/>
  <c r="E561" i="3"/>
  <c r="E93" i="3"/>
  <c r="E45" i="3"/>
  <c r="E124" i="3"/>
  <c r="E543" i="3"/>
  <c r="E419" i="3"/>
  <c r="E256" i="3"/>
  <c r="E547" i="3"/>
  <c r="E295" i="3"/>
  <c r="E335" i="3"/>
  <c r="E30" i="3"/>
  <c r="E278" i="3"/>
  <c r="E384" i="3"/>
  <c r="E521" i="3"/>
  <c r="E100" i="3"/>
  <c r="E500" i="3"/>
  <c r="U6" i="3"/>
  <c r="E163" i="3"/>
  <c r="E321" i="3"/>
  <c r="E42" i="3"/>
  <c r="E73" i="3"/>
  <c r="E87" i="3"/>
  <c r="E513" i="3"/>
  <c r="E108" i="3"/>
  <c r="E66" i="3"/>
  <c r="AA6" i="3"/>
  <c r="E290" i="3"/>
  <c r="E454" i="3"/>
  <c r="E122" i="3"/>
  <c r="E125" i="3"/>
  <c r="E351" i="3"/>
  <c r="E102" i="3"/>
  <c r="E567" i="3"/>
  <c r="E182" i="3"/>
  <c r="E343" i="3"/>
  <c r="E270" i="3"/>
  <c r="E477" i="3"/>
  <c r="E572" i="3"/>
  <c r="M6" i="3"/>
  <c r="E144" i="3"/>
  <c r="E215" i="3"/>
  <c r="E120" i="3"/>
  <c r="E527" i="3"/>
  <c r="E318" i="3"/>
  <c r="E69" i="3"/>
  <c r="E434" i="3"/>
  <c r="E580" i="3"/>
  <c r="E529" i="3"/>
  <c r="E53" i="3"/>
  <c r="E107" i="3"/>
  <c r="E247" i="3"/>
  <c r="E399" i="3"/>
  <c r="E369" i="3"/>
  <c r="E149" i="3"/>
  <c r="E394" i="3"/>
  <c r="E285" i="3"/>
  <c r="E341" i="3"/>
  <c r="E411" i="3"/>
  <c r="E67" i="3"/>
  <c r="E508" i="3"/>
  <c r="E390" i="3"/>
  <c r="E205" i="3"/>
  <c r="E279" i="3"/>
  <c r="E407" i="3"/>
  <c r="E392" i="3"/>
  <c r="E197" i="3"/>
  <c r="E216" i="3"/>
  <c r="E427" i="3"/>
  <c r="E483" i="3"/>
  <c r="E323" i="3"/>
  <c r="E110" i="3"/>
  <c r="E367" i="3"/>
  <c r="J6" i="3"/>
  <c r="E484" i="3"/>
  <c r="E243" i="3"/>
  <c r="E420" i="3"/>
  <c r="E250" i="3"/>
  <c r="E55" i="3"/>
  <c r="E432" i="3"/>
  <c r="E337" i="3"/>
  <c r="E544" i="3"/>
  <c r="E336" i="3"/>
  <c r="E296" i="3"/>
  <c r="E79" i="3"/>
  <c r="E302" i="3"/>
  <c r="E41" i="3"/>
  <c r="E83" i="3"/>
  <c r="E554" i="3"/>
  <c r="E304" i="3"/>
  <c r="E18" i="3"/>
  <c r="E541" i="3"/>
  <c r="E451" i="3"/>
  <c r="E62" i="3"/>
  <c r="E462" i="3"/>
  <c r="E312" i="3"/>
  <c r="E530" i="3"/>
  <c r="E517" i="3"/>
  <c r="E308" i="3"/>
  <c r="E49" i="3"/>
  <c r="T6" i="3"/>
  <c r="E568" i="3"/>
  <c r="E534" i="3"/>
  <c r="E431" i="3"/>
  <c r="E78" i="3"/>
  <c r="E275" i="3"/>
  <c r="E36" i="3"/>
  <c r="E194" i="3"/>
  <c r="E364" i="3"/>
  <c r="E459" i="3"/>
  <c r="E507" i="3"/>
  <c r="E253" i="3"/>
  <c r="E381" i="3"/>
  <c r="E294" i="3"/>
  <c r="E47" i="3"/>
  <c r="E16" i="3"/>
  <c r="E199" i="3"/>
  <c r="E218" i="3"/>
  <c r="E209" i="3"/>
  <c r="E564" i="3"/>
  <c r="E34" i="3"/>
  <c r="E566" i="3"/>
  <c r="E346" i="3"/>
  <c r="E494" i="3"/>
  <c r="E353" i="3"/>
  <c r="E200" i="3"/>
  <c r="E416" i="3"/>
  <c r="E60" i="3"/>
  <c r="E288" i="3"/>
  <c r="E496" i="3"/>
  <c r="E444" i="3"/>
  <c r="K6" i="3"/>
  <c r="AS6" i="3"/>
  <c r="E537" i="3"/>
  <c r="E283" i="3"/>
  <c r="E40" i="3"/>
  <c r="E498" i="3"/>
  <c r="E548" i="3"/>
  <c r="AR6" i="3"/>
  <c r="E380" i="3"/>
  <c r="E261" i="3"/>
  <c r="E569" i="3"/>
  <c r="E19" i="3"/>
  <c r="E292" i="3"/>
  <c r="E158" i="3"/>
  <c r="E85" i="3"/>
  <c r="E282" i="3"/>
  <c r="E59" i="3"/>
  <c r="E516" i="3"/>
  <c r="E327" i="3"/>
  <c r="E478" i="3"/>
  <c r="E461" i="3"/>
  <c r="E37" i="3"/>
  <c r="Y6" i="3"/>
  <c r="E255" i="3"/>
  <c r="E402" i="3"/>
  <c r="E398" i="3"/>
  <c r="E15" i="3"/>
  <c r="E428" i="3"/>
  <c r="E470" i="3"/>
  <c r="E65" i="3"/>
  <c r="E396" i="3"/>
  <c r="E33" i="3"/>
  <c r="E244" i="3"/>
  <c r="E135" i="3"/>
  <c r="E433" i="3"/>
  <c r="E56" i="3"/>
  <c r="E406" i="3"/>
  <c r="E91" i="3"/>
  <c r="E106" i="3"/>
  <c r="E246" i="3"/>
  <c r="E448" i="3"/>
  <c r="E430" i="3"/>
  <c r="E340" i="3"/>
  <c r="E490" i="3"/>
  <c r="E80" i="3"/>
  <c r="E267" i="3"/>
  <c r="E499" i="3"/>
  <c r="E251" i="3"/>
  <c r="E25" i="3"/>
  <c r="E123" i="3"/>
  <c r="E389" i="3"/>
  <c r="E20" i="3"/>
  <c r="E577" i="3"/>
  <c r="E374" i="3"/>
  <c r="E539" i="3"/>
  <c r="E206" i="3"/>
  <c r="E422" i="3"/>
  <c r="E425" i="3"/>
  <c r="E190" i="3"/>
  <c r="E64" i="3"/>
  <c r="E455" i="3"/>
  <c r="E162" i="3"/>
  <c r="AL6" i="3"/>
  <c r="E234" i="3"/>
  <c r="E332" i="3"/>
  <c r="E241" i="3"/>
  <c r="E51" i="3"/>
  <c r="E121" i="3"/>
  <c r="E287" i="3"/>
  <c r="E284" i="3"/>
  <c r="E460" i="3"/>
  <c r="E378" i="3"/>
  <c r="E104" i="3"/>
  <c r="E242" i="3"/>
  <c r="E46" i="3"/>
  <c r="E328" i="3"/>
  <c r="E152" i="3"/>
  <c r="E132" i="3"/>
  <c r="E571" i="3"/>
  <c r="E101" i="3"/>
  <c r="E148" i="3"/>
  <c r="E141" i="3"/>
  <c r="E38" i="3"/>
  <c r="E550" i="3"/>
  <c r="E501" i="3"/>
  <c r="E503" i="3"/>
  <c r="E157" i="3"/>
  <c r="E92" i="3"/>
  <c r="E317" i="3"/>
  <c r="E429" i="3"/>
  <c r="E201" i="3"/>
  <c r="E359" i="3"/>
  <c r="E265" i="3"/>
  <c r="E297" i="3"/>
  <c r="E440" i="3"/>
  <c r="E446" i="3"/>
  <c r="E344" i="3"/>
  <c r="E532" i="3"/>
  <c r="E536" i="3"/>
  <c r="E401" i="3"/>
  <c r="E404" i="3"/>
  <c r="E506" i="3"/>
  <c r="E329" i="3"/>
  <c r="E31" i="3"/>
  <c r="E86" i="3"/>
  <c r="E21" i="3"/>
  <c r="AB6" i="3"/>
  <c r="E449" i="3"/>
  <c r="E249" i="3"/>
  <c r="E233" i="3"/>
  <c r="E138" i="3"/>
  <c r="E179" i="3"/>
  <c r="E489" i="3"/>
  <c r="E555" i="3"/>
  <c r="E482" i="3"/>
  <c r="AF6" i="3"/>
  <c r="E391" i="3"/>
  <c r="E90" i="3"/>
  <c r="AK6" i="3"/>
  <c r="E586" i="3"/>
  <c r="E221" i="3"/>
  <c r="E196" i="3"/>
  <c r="E437" i="3"/>
  <c r="E225" i="3"/>
  <c r="E573" i="3"/>
  <c r="E192" i="3"/>
  <c r="E230" i="3"/>
  <c r="E84" i="3"/>
  <c r="E371" i="3"/>
  <c r="E235" i="3"/>
  <c r="E299" i="3"/>
  <c r="E48" i="3"/>
  <c r="E82" i="3"/>
  <c r="E360" i="3"/>
  <c r="E259" i="3"/>
  <c r="E232" i="3"/>
  <c r="N6" i="3"/>
  <c r="E116" i="3"/>
  <c r="E137" i="3"/>
  <c r="E129" i="3"/>
  <c r="E289" i="3"/>
  <c r="E522" i="3"/>
  <c r="E160" i="3"/>
  <c r="E354" i="3"/>
  <c r="E556" i="3"/>
  <c r="E222" i="3"/>
  <c r="E198" i="3"/>
  <c r="E363" i="3"/>
  <c r="E155" i="3"/>
  <c r="E485" i="3"/>
  <c r="E50" i="3"/>
  <c r="E68" i="3"/>
  <c r="E109" i="3"/>
  <c r="E301" i="3"/>
  <c r="E103" i="3"/>
  <c r="E303" i="3"/>
  <c r="E98" i="3"/>
  <c r="E515" i="3"/>
  <c r="E324" i="3"/>
  <c r="E373" i="3"/>
  <c r="E142" i="3"/>
  <c r="E464" i="3"/>
  <c r="E375" i="3"/>
  <c r="E333" i="3"/>
  <c r="E307" i="3"/>
  <c r="E115" i="3"/>
  <c r="E413" i="3"/>
  <c r="E348" i="3"/>
  <c r="Z6" i="3"/>
  <c r="E587" i="3"/>
  <c r="E27" i="3"/>
  <c r="E293" i="3"/>
  <c r="E479" i="3"/>
  <c r="E546" i="3"/>
  <c r="E525" i="3"/>
  <c r="E35" i="3"/>
  <c r="E219" i="3"/>
  <c r="E274" i="3"/>
  <c r="E480" i="3"/>
  <c r="E26" i="3"/>
  <c r="E24" i="3"/>
  <c r="E575" i="3"/>
  <c r="E95" i="3"/>
  <c r="E139" i="3"/>
  <c r="E240" i="3"/>
  <c r="E421" i="3"/>
  <c r="E442" i="3"/>
  <c r="E113" i="3"/>
  <c r="E264" i="3"/>
  <c r="E339" i="3"/>
  <c r="E468" i="3"/>
  <c r="E76" i="3"/>
  <c r="E143" i="3"/>
  <c r="E405" i="3"/>
  <c r="E212" i="3"/>
  <c r="E467" i="3"/>
  <c r="AH6" i="3"/>
  <c r="E492" i="3"/>
  <c r="E298" i="3"/>
  <c r="E171" i="3"/>
  <c r="E510" i="3"/>
  <c r="E361" i="3"/>
  <c r="E533" i="3"/>
  <c r="E368" i="3"/>
  <c r="E258" i="3"/>
  <c r="E579" i="3"/>
  <c r="E452" i="3"/>
  <c r="E28" i="3"/>
  <c r="E395" i="3"/>
  <c r="E170" i="3"/>
  <c r="E487" i="3"/>
  <c r="E281" i="3"/>
  <c r="E23" i="3"/>
  <c r="E54" i="3"/>
  <c r="E81" i="3"/>
  <c r="E118" i="3"/>
  <c r="E410" i="3"/>
  <c r="E502" i="3"/>
  <c r="E187" i="3"/>
  <c r="E310" i="3"/>
  <c r="E161" i="3"/>
  <c r="E370" i="3"/>
  <c r="E383" i="3"/>
  <c r="E156" i="3"/>
  <c r="E180" i="3"/>
  <c r="E300" i="3"/>
  <c r="AQ6" i="3"/>
  <c r="E417" i="3"/>
  <c r="E195" i="3"/>
  <c r="E257" i="3"/>
  <c r="E528" i="3"/>
  <c r="E463" i="3"/>
  <c r="E409" i="3"/>
  <c r="E486" i="3"/>
  <c r="E473" i="3"/>
  <c r="E111" i="3"/>
  <c r="E469" i="3"/>
  <c r="E457" i="3"/>
  <c r="E316" i="3"/>
  <c r="E220" i="3"/>
  <c r="E542" i="3"/>
  <c r="E578" i="3"/>
  <c r="E456" i="3"/>
  <c r="E39" i="3"/>
  <c r="E114" i="3"/>
  <c r="E74" i="3"/>
  <c r="E552" i="3"/>
  <c r="E154" i="3"/>
  <c r="E191" i="3"/>
  <c r="E435" i="3"/>
  <c r="E75" i="3"/>
  <c r="E63" i="3"/>
  <c r="E325" i="3"/>
  <c r="E140" i="3"/>
  <c r="E72" i="3"/>
  <c r="E184" i="3"/>
  <c r="E524" i="3"/>
  <c r="E286" i="3"/>
  <c r="E211" i="3"/>
  <c r="E165" i="3"/>
  <c r="E559" i="3"/>
  <c r="E400" i="3"/>
  <c r="E306" i="3"/>
  <c r="E512" i="3"/>
  <c r="E386" i="3"/>
  <c r="E127" i="3"/>
  <c r="E584" i="3"/>
  <c r="E43" i="3"/>
  <c r="AD6" i="3"/>
  <c r="I6" i="3"/>
  <c r="E13" i="3"/>
  <c r="H6" i="3" l="1"/>
  <c r="AC6" i="3"/>
  <c r="BB13" i="3"/>
  <c r="BB5" i="3" s="1"/>
  <c r="C6" i="69"/>
  <c r="C7" i="69" s="1"/>
  <c r="BA13" i="3" l="1"/>
  <c r="BA5" i="3" s="1"/>
  <c r="E6" i="3"/>
  <c r="AZ13" i="3"/>
  <c r="AZ5" i="3" s="1"/>
  <c r="E3" i="6" s="1"/>
  <c r="E10" i="6"/>
  <c r="E11" i="6"/>
  <c r="E14" i="6"/>
  <c r="E15" i="6"/>
  <c r="E8" i="6"/>
  <c r="E13" i="6"/>
  <c r="E12" i="6"/>
  <c r="D1" i="43"/>
  <c r="H37" i="43"/>
  <c r="I37" i="43" s="1"/>
  <c r="E37" i="43"/>
  <c r="G27" i="6"/>
  <c r="G31" i="6" s="1"/>
  <c r="E19" i="6"/>
  <c r="AY6" i="3" l="1"/>
  <c r="E58" i="40"/>
  <c r="E62" i="39"/>
  <c r="F62" i="39" s="1"/>
  <c r="E16" i="6"/>
  <c r="F27" i="6"/>
  <c r="F31" i="6" s="1"/>
  <c r="E56" i="39"/>
  <c r="E51" i="40"/>
  <c r="E60" i="39"/>
  <c r="F60" i="39" s="1"/>
  <c r="E56" i="40"/>
  <c r="K6" i="1"/>
  <c r="E64" i="39"/>
  <c r="F64" i="39" s="1"/>
  <c r="E60" i="40"/>
  <c r="AY516" i="3"/>
  <c r="AY264" i="3"/>
  <c r="AY110" i="3"/>
  <c r="BE6" i="3"/>
  <c r="AY13" i="3"/>
  <c r="AY138" i="3"/>
  <c r="AY486" i="3"/>
  <c r="AY473" i="3"/>
  <c r="AY181" i="3"/>
  <c r="AY557" i="3"/>
  <c r="AY467" i="3"/>
  <c r="AY505" i="3"/>
  <c r="AY556" i="3"/>
  <c r="AY391" i="3"/>
  <c r="AY425" i="3"/>
  <c r="AY448" i="3"/>
  <c r="AY323" i="3"/>
  <c r="AY178" i="3"/>
  <c r="AY279" i="3"/>
  <c r="BA6" i="3"/>
  <c r="AY550" i="3"/>
  <c r="AY570" i="3"/>
  <c r="AY504" i="3"/>
  <c r="AY395" i="3"/>
  <c r="AY506" i="3"/>
  <c r="AY324" i="3"/>
  <c r="AY561" i="3"/>
  <c r="AY188" i="3"/>
  <c r="AY587" i="3"/>
  <c r="AY113" i="3"/>
  <c r="AY165" i="3"/>
  <c r="AY383" i="3"/>
  <c r="AY27" i="3"/>
  <c r="AY308" i="3"/>
  <c r="AY475" i="3"/>
  <c r="AY339" i="3"/>
  <c r="AY266" i="3"/>
  <c r="AY79" i="3"/>
  <c r="AY569" i="3"/>
  <c r="AY514" i="3"/>
  <c r="AY426" i="3"/>
  <c r="AY305" i="3"/>
  <c r="AY332" i="3"/>
  <c r="AY53" i="3"/>
  <c r="AY61" i="3"/>
  <c r="AY287" i="3"/>
  <c r="AY161" i="3"/>
  <c r="AY286" i="3"/>
  <c r="AY547" i="3"/>
  <c r="AY232" i="3"/>
  <c r="AY482" i="3"/>
  <c r="AY226" i="3"/>
  <c r="AY102" i="3"/>
  <c r="AY18" i="3"/>
  <c r="AY273" i="3"/>
  <c r="AY525" i="3"/>
  <c r="AY100" i="3"/>
  <c r="AY49" i="3"/>
  <c r="AY488" i="3"/>
  <c r="AY474" i="3"/>
  <c r="AY33" i="3"/>
  <c r="AY375" i="3"/>
  <c r="AY554" i="3"/>
  <c r="AY444" i="3"/>
  <c r="AY441" i="3"/>
  <c r="AY367" i="3"/>
  <c r="AY162" i="3"/>
  <c r="AY31" i="3"/>
  <c r="AY151" i="3"/>
  <c r="AY526" i="3"/>
  <c r="AY93" i="3"/>
  <c r="AY86" i="3"/>
  <c r="AY158" i="3"/>
  <c r="AY312" i="3"/>
  <c r="AY331" i="3"/>
  <c r="AY145" i="3"/>
  <c r="AY244" i="3"/>
  <c r="AY298" i="3"/>
  <c r="AY572" i="3"/>
  <c r="AY257" i="3"/>
  <c r="AY82" i="3"/>
  <c r="AY97" i="3"/>
  <c r="AY177" i="3"/>
  <c r="AY85" i="3"/>
  <c r="AY483" i="3"/>
  <c r="AY544" i="3"/>
  <c r="AY330" i="3"/>
  <c r="AY513" i="3"/>
  <c r="AY135" i="3"/>
  <c r="AY552" i="3"/>
  <c r="AY519" i="3"/>
  <c r="AY155" i="3"/>
  <c r="AY119" i="3"/>
  <c r="AY19" i="3"/>
  <c r="AY262" i="3"/>
  <c r="AY320" i="3"/>
  <c r="AY427" i="3"/>
  <c r="AY491" i="3"/>
  <c r="AY546" i="3"/>
  <c r="AY70" i="3"/>
  <c r="AY118" i="3"/>
  <c r="AY581" i="3"/>
  <c r="AY76" i="3"/>
  <c r="AY154" i="3"/>
  <c r="AY160" i="3"/>
  <c r="AY245" i="3"/>
  <c r="AY239" i="3"/>
  <c r="AY247" i="3"/>
  <c r="AY439" i="3"/>
  <c r="AY121" i="3"/>
  <c r="AY227" i="3"/>
  <c r="AY83" i="3"/>
  <c r="AY437" i="3"/>
  <c r="AY64" i="3"/>
  <c r="AY206" i="3"/>
  <c r="AY241" i="3"/>
  <c r="AY282" i="3"/>
  <c r="AY48" i="3"/>
  <c r="AY497" i="3"/>
  <c r="AY203" i="3"/>
  <c r="BK6" i="3"/>
  <c r="AY106" i="3"/>
  <c r="AY284" i="3"/>
  <c r="AY180" i="3"/>
  <c r="AY566" i="3"/>
  <c r="BO6" i="3"/>
  <c r="AY533" i="3"/>
  <c r="AY535" i="3"/>
  <c r="AY549" i="3"/>
  <c r="BC6" i="3"/>
  <c r="AY34" i="3"/>
  <c r="AY202" i="3"/>
  <c r="AY568" i="3"/>
  <c r="AY157" i="3"/>
  <c r="AY340" i="3"/>
  <c r="AY348" i="3"/>
  <c r="AY346" i="3"/>
  <c r="AY242" i="3"/>
  <c r="AY560" i="3"/>
  <c r="AY428" i="3"/>
  <c r="AY234" i="3"/>
  <c r="BQ6" i="3"/>
  <c r="AY124" i="3"/>
  <c r="AY21" i="3"/>
  <c r="AY539" i="3"/>
  <c r="AY237" i="3"/>
  <c r="AY37" i="3"/>
  <c r="AY313" i="3"/>
  <c r="AY58" i="3"/>
  <c r="AY277" i="3"/>
  <c r="AY500" i="3"/>
  <c r="BH6" i="3"/>
  <c r="AY545" i="3"/>
  <c r="AY334" i="3"/>
  <c r="AY254" i="3"/>
  <c r="AY230" i="3"/>
  <c r="AY418" i="3"/>
  <c r="AY73" i="3"/>
  <c r="AY390" i="3"/>
  <c r="AY372" i="3"/>
  <c r="AY503" i="3"/>
  <c r="AY359" i="3"/>
  <c r="AY551" i="3"/>
  <c r="AY485" i="3"/>
  <c r="AY216" i="3"/>
  <c r="AY496" i="3"/>
  <c r="AY387" i="3"/>
  <c r="AY498" i="3"/>
  <c r="AY29" i="3"/>
  <c r="AY404" i="3"/>
  <c r="AY341" i="3"/>
  <c r="AY580" i="3"/>
  <c r="AY536" i="3"/>
  <c r="AY406" i="3"/>
  <c r="AY419" i="3"/>
  <c r="AY51" i="3"/>
  <c r="AY532" i="3"/>
  <c r="AY112" i="3"/>
  <c r="AY299" i="3"/>
  <c r="AY142" i="3"/>
  <c r="AY328" i="3"/>
  <c r="AY167" i="3"/>
  <c r="AY183" i="3"/>
  <c r="AY403" i="3"/>
  <c r="AY90" i="3"/>
  <c r="AY16" i="3"/>
  <c r="AY335" i="3"/>
  <c r="AY176" i="3"/>
  <c r="AY136" i="3"/>
  <c r="AY134" i="3"/>
  <c r="AY445" i="3"/>
  <c r="AY72" i="3"/>
  <c r="AY385" i="3"/>
  <c r="AY382" i="3"/>
  <c r="AY388" i="3"/>
  <c r="AY107" i="3"/>
  <c r="BI6" i="3"/>
  <c r="AY518" i="3"/>
  <c r="AY495" i="3"/>
  <c r="AY128" i="3"/>
  <c r="AY194" i="3"/>
  <c r="AY487" i="3"/>
  <c r="AY168" i="3"/>
  <c r="AY499" i="3"/>
  <c r="AY529" i="3"/>
  <c r="AY275" i="3"/>
  <c r="AY400" i="3"/>
  <c r="AY344" i="3"/>
  <c r="AY32" i="3"/>
  <c r="AY140" i="3"/>
  <c r="AY378" i="3"/>
  <c r="AY416" i="3"/>
  <c r="AY103" i="3"/>
  <c r="AY490" i="3"/>
  <c r="AY87" i="3"/>
  <c r="BJ6" i="3"/>
  <c r="AY576" i="3"/>
  <c r="AY502" i="3"/>
  <c r="AY130" i="3"/>
  <c r="AY295" i="3"/>
  <c r="AY30" i="3"/>
  <c r="AY358" i="3"/>
  <c r="AY411" i="3"/>
  <c r="AY534" i="3"/>
  <c r="AY201" i="3"/>
  <c r="AY238" i="3"/>
  <c r="AY478" i="3"/>
  <c r="AY55" i="3"/>
  <c r="AY489" i="3"/>
  <c r="AY117" i="3"/>
  <c r="AY131" i="3"/>
  <c r="AY148" i="3"/>
  <c r="AY42" i="3"/>
  <c r="AY379" i="3"/>
  <c r="AY455" i="3"/>
  <c r="AY146" i="3"/>
  <c r="AY450" i="3"/>
  <c r="AY423" i="3"/>
  <c r="AY512" i="3"/>
  <c r="AY460" i="3"/>
  <c r="AY352" i="3"/>
  <c r="AY74" i="3"/>
  <c r="AY548" i="3"/>
  <c r="AY318" i="3"/>
  <c r="AY373" i="3"/>
  <c r="AY71" i="3"/>
  <c r="AY347" i="3"/>
  <c r="AY25" i="3"/>
  <c r="AY510" i="3"/>
  <c r="AY249" i="3"/>
  <c r="AY584" i="3"/>
  <c r="AY39" i="3"/>
  <c r="AY294" i="3"/>
  <c r="AY370" i="3"/>
  <c r="AY364" i="3"/>
  <c r="AY420" i="3"/>
  <c r="AY521" i="3"/>
  <c r="AY559" i="3"/>
  <c r="AY35" i="3"/>
  <c r="AY28" i="3"/>
  <c r="BR6" i="3"/>
  <c r="AY408" i="3"/>
  <c r="AY205" i="3"/>
  <c r="BG6" i="3"/>
  <c r="AY291" i="3"/>
  <c r="AY96" i="3"/>
  <c r="AY357" i="3"/>
  <c r="AY407" i="3"/>
  <c r="AY228" i="3"/>
  <c r="AY23" i="3"/>
  <c r="AY368" i="3"/>
  <c r="AY89" i="3"/>
  <c r="AY104" i="3"/>
  <c r="AY270" i="3"/>
  <c r="AY62" i="3"/>
  <c r="AY81" i="3"/>
  <c r="AY189" i="3"/>
  <c r="AY494" i="3"/>
  <c r="AY94" i="3"/>
  <c r="AY563" i="3"/>
  <c r="AY553" i="3"/>
  <c r="AY456" i="3"/>
  <c r="AY466" i="3"/>
  <c r="AY571" i="3"/>
  <c r="AY304" i="3"/>
  <c r="AY333" i="3"/>
  <c r="AY221" i="3"/>
  <c r="AY75" i="3"/>
  <c r="AY398" i="3"/>
  <c r="AY166" i="3"/>
  <c r="AY115" i="3"/>
  <c r="AY342" i="3"/>
  <c r="AY213" i="3"/>
  <c r="AY306" i="3"/>
  <c r="AY464" i="3"/>
  <c r="AY381" i="3"/>
  <c r="AY26" i="3"/>
  <c r="AY377" i="3"/>
  <c r="AY515" i="3"/>
  <c r="AY520" i="3"/>
  <c r="AY517" i="3"/>
  <c r="AY281" i="3"/>
  <c r="AY116" i="3"/>
  <c r="AY479" i="3"/>
  <c r="AY179" i="3"/>
  <c r="AY108" i="3"/>
  <c r="AY470" i="3"/>
  <c r="AY43" i="3"/>
  <c r="AY224" i="3"/>
  <c r="AY300" i="3"/>
  <c r="AY47" i="3"/>
  <c r="AY153" i="3"/>
  <c r="AY271" i="3"/>
  <c r="AY353" i="3"/>
  <c r="AY511" i="3"/>
  <c r="AY152" i="3"/>
  <c r="AY208" i="3"/>
  <c r="AY163" i="3"/>
  <c r="AY397" i="3"/>
  <c r="AY414" i="3"/>
  <c r="AY351" i="3"/>
  <c r="BD6" i="3"/>
  <c r="AY354" i="3"/>
  <c r="AY471" i="3"/>
  <c r="AY446" i="3"/>
  <c r="AY95" i="3"/>
  <c r="AY20" i="3"/>
  <c r="AY452" i="3"/>
  <c r="AY278" i="3"/>
  <c r="AY256" i="3"/>
  <c r="AY219" i="3"/>
  <c r="AY579" i="3"/>
  <c r="AY374" i="3"/>
  <c r="AY289" i="3"/>
  <c r="AY436" i="3"/>
  <c r="AY36" i="3"/>
  <c r="AY492" i="3"/>
  <c r="AY363" i="3"/>
  <c r="AY307" i="3"/>
  <c r="AY120" i="3"/>
  <c r="AY459" i="3"/>
  <c r="AY472" i="3"/>
  <c r="AY501" i="3"/>
  <c r="AY67" i="3"/>
  <c r="AY297" i="3"/>
  <c r="AY214" i="3"/>
  <c r="AY114" i="3"/>
  <c r="AY463" i="3"/>
  <c r="AY225" i="3"/>
  <c r="AY394" i="3"/>
  <c r="AY253" i="3"/>
  <c r="AY417" i="3"/>
  <c r="AY159" i="3"/>
  <c r="AY457" i="3"/>
  <c r="AY361" i="3"/>
  <c r="AY193" i="3"/>
  <c r="AY132" i="3"/>
  <c r="AY355" i="3"/>
  <c r="AY212" i="3"/>
  <c r="AY246" i="3"/>
  <c r="AY319" i="3"/>
  <c r="AY555" i="3"/>
  <c r="AY236" i="3"/>
  <c r="AY173" i="3"/>
  <c r="AY211" i="3"/>
  <c r="AY543" i="3"/>
  <c r="AY80" i="3"/>
  <c r="AY59" i="3"/>
  <c r="AY276" i="3"/>
  <c r="AY99" i="3"/>
  <c r="AY139" i="3"/>
  <c r="AY449" i="3"/>
  <c r="AY261" i="3"/>
  <c r="AY250" i="3"/>
  <c r="AY192" i="3"/>
  <c r="AY288" i="3"/>
  <c r="AY14" i="3"/>
  <c r="AY530" i="3"/>
  <c r="AY386" i="3"/>
  <c r="AY229" i="3"/>
  <c r="AY265" i="3"/>
  <c r="AY336" i="3"/>
  <c r="AY46" i="3"/>
  <c r="AY461" i="3"/>
  <c r="AY191" i="3"/>
  <c r="AY413" i="3"/>
  <c r="AY432" i="3"/>
  <c r="AY170" i="3"/>
  <c r="AY338" i="3"/>
  <c r="AY522" i="3"/>
  <c r="AY311" i="3"/>
  <c r="AY133" i="3"/>
  <c r="AY435" i="3"/>
  <c r="AY321" i="3"/>
  <c r="AY431" i="3"/>
  <c r="AY127" i="3"/>
  <c r="AY349" i="3"/>
  <c r="AY215" i="3"/>
  <c r="AY293" i="3"/>
  <c r="AY508" i="3"/>
  <c r="AY322" i="3"/>
  <c r="AY231" i="3"/>
  <c r="AY303" i="3"/>
  <c r="AY476" i="3"/>
  <c r="AY362" i="3"/>
  <c r="AY22" i="3"/>
  <c r="AY438" i="3"/>
  <c r="AY443" i="3"/>
  <c r="AY565" i="3"/>
  <c r="AY182" i="3"/>
  <c r="AY260" i="3"/>
  <c r="AY248" i="3"/>
  <c r="AY63" i="3"/>
  <c r="AY396" i="3"/>
  <c r="AY329" i="3"/>
  <c r="AY207" i="3"/>
  <c r="AY198" i="3"/>
  <c r="AY538" i="3"/>
  <c r="AY122" i="3"/>
  <c r="AY169" i="3"/>
  <c r="AY268" i="3"/>
  <c r="AY573" i="3"/>
  <c r="AY493" i="3"/>
  <c r="AY325" i="3"/>
  <c r="AY156" i="3"/>
  <c r="AY585" i="3"/>
  <c r="AY477" i="3"/>
  <c r="AY175" i="3"/>
  <c r="AY258" i="3"/>
  <c r="AY91" i="3"/>
  <c r="AY350" i="3"/>
  <c r="AY267" i="3"/>
  <c r="AY421" i="3"/>
  <c r="AY69" i="3"/>
  <c r="AY186" i="3"/>
  <c r="AY430" i="3"/>
  <c r="AY356" i="3"/>
  <c r="AY217" i="3"/>
  <c r="AY54" i="3"/>
  <c r="AY301" i="3"/>
  <c r="BB6" i="3"/>
  <c r="AY562" i="3"/>
  <c r="AY252" i="3"/>
  <c r="AY415" i="3"/>
  <c r="AY17" i="3"/>
  <c r="AY376" i="3"/>
  <c r="AY190" i="3"/>
  <c r="AY255" i="3"/>
  <c r="AY327" i="3"/>
  <c r="AY465" i="3"/>
  <c r="AY66" i="3"/>
  <c r="AY292" i="3"/>
  <c r="AY38" i="3"/>
  <c r="AY283" i="3"/>
  <c r="AY196" i="3"/>
  <c r="AY105" i="3"/>
  <c r="BN6" i="3"/>
  <c r="AY384" i="3"/>
  <c r="AY210" i="3"/>
  <c r="AY129" i="3"/>
  <c r="AY429" i="3"/>
  <c r="AY222" i="3"/>
  <c r="AY57" i="3"/>
  <c r="AY316" i="3"/>
  <c r="BS6" i="3"/>
  <c r="AY199" i="3"/>
  <c r="AY309" i="3"/>
  <c r="AY109" i="3"/>
  <c r="AY578" i="3"/>
  <c r="AY481" i="3"/>
  <c r="AY369" i="3"/>
  <c r="AY540" i="3"/>
  <c r="AY137" i="3"/>
  <c r="AY410" i="3"/>
  <c r="AY401" i="3"/>
  <c r="AY310" i="3"/>
  <c r="AY424" i="3"/>
  <c r="AY195" i="3"/>
  <c r="AY272" i="3"/>
  <c r="AY409" i="3"/>
  <c r="AY399" i="3"/>
  <c r="AY326" i="3"/>
  <c r="AY393" i="3"/>
  <c r="AY296" i="3"/>
  <c r="BM6" i="3"/>
  <c r="AY52" i="3"/>
  <c r="AY126" i="3"/>
  <c r="AY389" i="3"/>
  <c r="AY524" i="3"/>
  <c r="AY462" i="3"/>
  <c r="AY558" i="3"/>
  <c r="AY480" i="3"/>
  <c r="AY317" i="3"/>
  <c r="AY111" i="3"/>
  <c r="AY269" i="3"/>
  <c r="AY243" i="3"/>
  <c r="AY468" i="3"/>
  <c r="AY223" i="3"/>
  <c r="AY209" i="3"/>
  <c r="AY315" i="3"/>
  <c r="AY412" i="3"/>
  <c r="AY302" i="3"/>
  <c r="AY98" i="3"/>
  <c r="AY65" i="3"/>
  <c r="AY220" i="3"/>
  <c r="AY174" i="3"/>
  <c r="AY447" i="3"/>
  <c r="AY251" i="3"/>
  <c r="AY343" i="3"/>
  <c r="AY537" i="3"/>
  <c r="AY15" i="3"/>
  <c r="AY527" i="3"/>
  <c r="AY380" i="3"/>
  <c r="AY84" i="3"/>
  <c r="AY402" i="3"/>
  <c r="AY259" i="3"/>
  <c r="AY78" i="3"/>
  <c r="AY45" i="3"/>
  <c r="AY285" i="3"/>
  <c r="AY469" i="3"/>
  <c r="AY523" i="3"/>
  <c r="AY440" i="3"/>
  <c r="AY575" i="3"/>
  <c r="AY314" i="3"/>
  <c r="AY574" i="3"/>
  <c r="AY147" i="3"/>
  <c r="AY583" i="3"/>
  <c r="AY101" i="3"/>
  <c r="BT6" i="3"/>
  <c r="AY541" i="3"/>
  <c r="AY92" i="3"/>
  <c r="AY451" i="3"/>
  <c r="AY345" i="3"/>
  <c r="AY200" i="3"/>
  <c r="AY454" i="3"/>
  <c r="AY528" i="3"/>
  <c r="AY442" i="3"/>
  <c r="BP6" i="3"/>
  <c r="AY337" i="3"/>
  <c r="AY235" i="3"/>
  <c r="AY434" i="3"/>
  <c r="BF6" i="3"/>
  <c r="AY422" i="3"/>
  <c r="AY150" i="3"/>
  <c r="AY56" i="3"/>
  <c r="AY484" i="3"/>
  <c r="AY185" i="3"/>
  <c r="AY233" i="3"/>
  <c r="AY143" i="3"/>
  <c r="AY507" i="3"/>
  <c r="AY60" i="3"/>
  <c r="AY149" i="3"/>
  <c r="AY164" i="3"/>
  <c r="AY218" i="3"/>
  <c r="AY171" i="3"/>
  <c r="AY360" i="3"/>
  <c r="AY144" i="3"/>
  <c r="AY123" i="3"/>
  <c r="AY50" i="3"/>
  <c r="BL6" i="3"/>
  <c r="AY44" i="3"/>
  <c r="AY172" i="3"/>
  <c r="AY567" i="3"/>
  <c r="AY40" i="3"/>
  <c r="AY77" i="3"/>
  <c r="AY240" i="3"/>
  <c r="AY204" i="3"/>
  <c r="AY24" i="3"/>
  <c r="AY564" i="3"/>
  <c r="AY392" i="3"/>
  <c r="AY68" i="3"/>
  <c r="AY274" i="3"/>
  <c r="AY371" i="3"/>
  <c r="AY88" i="3"/>
  <c r="AY280" i="3"/>
  <c r="AY184" i="3"/>
  <c r="AY531" i="3"/>
  <c r="AY366" i="3"/>
  <c r="AY125" i="3"/>
  <c r="AY187" i="3"/>
  <c r="AY405" i="3"/>
  <c r="AY453" i="3"/>
  <c r="AY542" i="3"/>
  <c r="AY263" i="3"/>
  <c r="AY586" i="3"/>
  <c r="AY141" i="3"/>
  <c r="AY41" i="3"/>
  <c r="AY458" i="3"/>
  <c r="AY577" i="3"/>
  <c r="AY433" i="3"/>
  <c r="AY197" i="3"/>
  <c r="AY509" i="3"/>
  <c r="AY290" i="3"/>
  <c r="AY365" i="3"/>
  <c r="AY582" i="3"/>
  <c r="D3" i="6"/>
  <c r="E61" i="39"/>
  <c r="F61" i="39" s="1"/>
  <c r="E57" i="40"/>
  <c r="E59" i="40"/>
  <c r="E63" i="39"/>
  <c r="F63" i="39" s="1"/>
  <c r="C17" i="4"/>
  <c r="B4" i="52" s="1"/>
  <c r="B43" i="72" s="1"/>
  <c r="D37" i="11"/>
  <c r="C37" i="11" s="1"/>
  <c r="L18" i="9"/>
  <c r="M18" i="9"/>
  <c r="B118" i="9" s="1"/>
  <c r="D14" i="12"/>
  <c r="E6" i="6"/>
  <c r="D19" i="11"/>
  <c r="C19" i="11" s="1"/>
  <c r="D3" i="37"/>
  <c r="B3" i="37" s="1"/>
  <c r="D3" i="33"/>
  <c r="B3" i="33" s="1"/>
  <c r="D3" i="34"/>
  <c r="B3" i="34" s="1"/>
  <c r="D3" i="21"/>
  <c r="B3" i="21" s="1"/>
  <c r="F43" i="15"/>
  <c r="F7" i="67"/>
  <c r="F7" i="15"/>
  <c r="F43" i="67"/>
  <c r="M29" i="15"/>
  <c r="M29" i="67"/>
  <c r="F71" i="15" l="1"/>
  <c r="F50" i="15"/>
  <c r="C49" i="15" s="1"/>
  <c r="M7" i="15"/>
  <c r="J6" i="15" s="1"/>
  <c r="C6" i="15"/>
  <c r="C10" i="15" s="1"/>
  <c r="E27" i="6"/>
  <c r="K19" i="6" s="1"/>
  <c r="M19" i="6" s="1"/>
  <c r="F71" i="67"/>
  <c r="M7" i="67"/>
  <c r="J6" i="67" s="1"/>
  <c r="F50" i="67"/>
  <c r="C49" i="67" s="1"/>
  <c r="C6" i="67"/>
  <c r="D10" i="11"/>
  <c r="C10" i="11" s="1"/>
  <c r="D20" i="12"/>
  <c r="C20" i="12" s="1"/>
  <c r="D10" i="69"/>
  <c r="D15" i="6"/>
  <c r="D14" i="6"/>
  <c r="D24" i="6"/>
  <c r="D23" i="6"/>
  <c r="D5" i="6"/>
  <c r="D12" i="6"/>
  <c r="D28" i="6"/>
  <c r="D22" i="6"/>
  <c r="D25" i="6"/>
  <c r="C18" i="4"/>
  <c r="D11" i="6"/>
  <c r="D9" i="6"/>
  <c r="D13" i="6"/>
  <c r="D6" i="6"/>
  <c r="C34" i="40" s="1"/>
  <c r="M19" i="9"/>
  <c r="C118" i="9" s="1"/>
  <c r="D20" i="6"/>
  <c r="D26" i="6"/>
  <c r="D21" i="6"/>
  <c r="D29" i="6"/>
  <c r="L19" i="9"/>
  <c r="D8" i="6"/>
  <c r="D10" i="6"/>
  <c r="D19" i="6"/>
  <c r="E61" i="40"/>
  <c r="D17" i="12"/>
  <c r="C17" i="12" s="1"/>
  <c r="C14" i="12"/>
  <c r="C16" i="12" s="1"/>
  <c r="E65" i="39"/>
  <c r="F56" i="39"/>
  <c r="F65" i="39" s="1"/>
  <c r="B2" i="39" s="1"/>
  <c r="B3" i="39" s="1"/>
  <c r="H16" i="1"/>
  <c r="K16" i="1"/>
  <c r="G16" i="1"/>
  <c r="Q16" i="1"/>
  <c r="C34" i="69"/>
  <c r="M6" i="1"/>
  <c r="C20" i="11"/>
  <c r="C25" i="11" s="1"/>
  <c r="C24" i="11"/>
  <c r="E31" i="6"/>
  <c r="K23" i="6"/>
  <c r="M23" i="6" s="1"/>
  <c r="I23" i="6" s="1"/>
  <c r="S23" i="6" s="1"/>
  <c r="K25" i="6"/>
  <c r="M25" i="6" s="1"/>
  <c r="I25" i="6" s="1"/>
  <c r="S25" i="6" s="1"/>
  <c r="K24" i="6"/>
  <c r="M24" i="6" s="1"/>
  <c r="I24" i="6" s="1"/>
  <c r="S24" i="6" s="1"/>
  <c r="K22" i="6"/>
  <c r="M22" i="6" s="1"/>
  <c r="I22" i="6" s="1"/>
  <c r="S22" i="6" s="1"/>
  <c r="K26" i="6"/>
  <c r="M26" i="6" s="1"/>
  <c r="I26" i="6" s="1"/>
  <c r="S26" i="6" s="1"/>
  <c r="D10" i="68"/>
  <c r="C16" i="67"/>
  <c r="C16" i="15"/>
  <c r="C17" i="67"/>
  <c r="C14" i="67"/>
  <c r="S6" i="1" l="1"/>
  <c r="AR6" i="1" s="1"/>
  <c r="K21" i="6"/>
  <c r="M21" i="6" s="1"/>
  <c r="I21" i="6" s="1"/>
  <c r="S21" i="6" s="1"/>
  <c r="K20" i="6"/>
  <c r="M20" i="6" s="1"/>
  <c r="I20" i="6" s="1"/>
  <c r="S20" i="6" s="1"/>
  <c r="H34" i="40"/>
  <c r="F34" i="40"/>
  <c r="J34" i="40"/>
  <c r="C32" i="15"/>
  <c r="C5" i="15"/>
  <c r="C38" i="15" s="1"/>
  <c r="C33" i="15"/>
  <c r="J18" i="15"/>
  <c r="J5" i="15"/>
  <c r="J24" i="15" s="1"/>
  <c r="J19" i="15"/>
  <c r="E6" i="70"/>
  <c r="E2" i="70" s="1"/>
  <c r="C48" i="15"/>
  <c r="C61" i="15"/>
  <c r="K27" i="6"/>
  <c r="C22" i="11"/>
  <c r="D16" i="6"/>
  <c r="C18" i="67"/>
  <c r="C15" i="67"/>
  <c r="C19" i="67" s="1"/>
  <c r="H22" i="6"/>
  <c r="R22" i="6" s="1"/>
  <c r="H25" i="6"/>
  <c r="R25" i="6" s="1"/>
  <c r="D19" i="69"/>
  <c r="D37" i="69" s="1"/>
  <c r="C37" i="69" s="1"/>
  <c r="C10" i="69"/>
  <c r="C10" i="67"/>
  <c r="C5" i="67" s="1"/>
  <c r="C33" i="67"/>
  <c r="C32" i="67"/>
  <c r="I19" i="6"/>
  <c r="D27" i="6"/>
  <c r="D30" i="6"/>
  <c r="H23" i="6"/>
  <c r="R23" i="6" s="1"/>
  <c r="H26" i="6"/>
  <c r="D19" i="68"/>
  <c r="D37" i="68" s="1"/>
  <c r="C37" i="68" s="1"/>
  <c r="C10" i="68"/>
  <c r="B29" i="1" s="1"/>
  <c r="C61" i="67"/>
  <c r="C48" i="67"/>
  <c r="F27" i="69"/>
  <c r="F28" i="12"/>
  <c r="C29" i="12" s="1"/>
  <c r="D28" i="12" s="1"/>
  <c r="F27" i="11"/>
  <c r="M16" i="1"/>
  <c r="N16" i="1" s="1"/>
  <c r="F10" i="40"/>
  <c r="H10" i="40"/>
  <c r="F10" i="39"/>
  <c r="J10" i="40"/>
  <c r="H10" i="39"/>
  <c r="J10" i="39"/>
  <c r="AQ6" i="1"/>
  <c r="T6" i="1"/>
  <c r="S16" i="1"/>
  <c r="R26" i="6"/>
  <c r="H24" i="6"/>
  <c r="R24" i="6" s="1"/>
  <c r="C4" i="52"/>
  <c r="B45" i="72" s="1"/>
  <c r="A10" i="51"/>
  <c r="B9" i="72" s="1"/>
  <c r="A7" i="51"/>
  <c r="B7" i="72" s="1"/>
  <c r="J19" i="67"/>
  <c r="J18" i="67"/>
  <c r="J5" i="67"/>
  <c r="C38" i="69"/>
  <c r="C35" i="69"/>
  <c r="F27" i="68"/>
  <c r="C17" i="15"/>
  <c r="C14" i="15"/>
  <c r="H21" i="6" l="1"/>
  <c r="R21" i="6" s="1"/>
  <c r="H20" i="6"/>
  <c r="R20" i="6" s="1"/>
  <c r="AC34" i="40"/>
  <c r="W34" i="40"/>
  <c r="AB34" i="40"/>
  <c r="U34" i="40"/>
  <c r="M27" i="6"/>
  <c r="AA34" i="40"/>
  <c r="S34" i="40"/>
  <c r="C18" i="15"/>
  <c r="C15" i="15"/>
  <c r="C66" i="15"/>
  <c r="C60" i="15"/>
  <c r="T16" i="1"/>
  <c r="C33" i="69"/>
  <c r="C39" i="69" s="1"/>
  <c r="C43" i="69" s="1"/>
  <c r="F50" i="69"/>
  <c r="F50" i="68"/>
  <c r="F50" i="11"/>
  <c r="J24" i="67"/>
  <c r="J26" i="67"/>
  <c r="J29" i="67" s="1"/>
  <c r="C38" i="67"/>
  <c r="F45" i="69"/>
  <c r="C29" i="69"/>
  <c r="D27" i="69" s="1"/>
  <c r="C47" i="69"/>
  <c r="D45" i="69" s="1"/>
  <c r="C20" i="67"/>
  <c r="C26" i="67" s="1"/>
  <c r="AC10" i="40"/>
  <c r="V42" i="40" s="1"/>
  <c r="I42" i="40" s="1"/>
  <c r="W10" i="40"/>
  <c r="AA10" i="39"/>
  <c r="S10" i="39"/>
  <c r="W10" i="39"/>
  <c r="AC10" i="39"/>
  <c r="AB10" i="40"/>
  <c r="U10" i="40"/>
  <c r="C29" i="11"/>
  <c r="D27" i="11" s="1"/>
  <c r="C47" i="11"/>
  <c r="D45" i="11" s="1"/>
  <c r="C28" i="11"/>
  <c r="C27" i="11" s="1"/>
  <c r="C66" i="67"/>
  <c r="C60" i="67"/>
  <c r="I27" i="6"/>
  <c r="S19" i="6"/>
  <c r="S27" i="6" s="1"/>
  <c r="H19" i="6"/>
  <c r="L16" i="1"/>
  <c r="C34" i="11"/>
  <c r="D31" i="6"/>
  <c r="C8" i="69"/>
  <c r="C5" i="69" s="1"/>
  <c r="AB10" i="39"/>
  <c r="U10" i="39"/>
  <c r="S10" i="40"/>
  <c r="AA10" i="40"/>
  <c r="F45" i="68"/>
  <c r="C47" i="68"/>
  <c r="D45" i="68" s="1"/>
  <c r="C29" i="68"/>
  <c r="D27" i="68" s="1"/>
  <c r="C34" i="68"/>
  <c r="R42" i="40" l="1"/>
  <c r="E42" i="40" s="1"/>
  <c r="I46" i="40"/>
  <c r="J46" i="40" s="1"/>
  <c r="T42" i="40"/>
  <c r="G42" i="40" s="1"/>
  <c r="C42" i="69"/>
  <c r="C41" i="69" s="1"/>
  <c r="C19" i="15"/>
  <c r="C20" i="15" s="1"/>
  <c r="C26" i="15" s="1"/>
  <c r="C23" i="67"/>
  <c r="C29" i="67" s="1"/>
  <c r="C31" i="11"/>
  <c r="C46" i="69"/>
  <c r="C45" i="69" s="1"/>
  <c r="C23" i="69"/>
  <c r="C20" i="69"/>
  <c r="C25" i="69" s="1"/>
  <c r="C38" i="11"/>
  <c r="C35" i="11"/>
  <c r="C8" i="68"/>
  <c r="C18" i="12"/>
  <c r="C21" i="12" s="1"/>
  <c r="I6" i="6"/>
  <c r="G3" i="43" s="1"/>
  <c r="I5" i="6"/>
  <c r="H27" i="6"/>
  <c r="R19" i="6"/>
  <c r="C35" i="68"/>
  <c r="C38" i="68"/>
  <c r="E47" i="40" l="1"/>
  <c r="F47" i="40" s="1"/>
  <c r="E46" i="40"/>
  <c r="F46" i="40" s="1"/>
  <c r="G46" i="40"/>
  <c r="H46" i="40" s="1"/>
  <c r="G47" i="40"/>
  <c r="H47" i="40" s="1"/>
  <c r="I47" i="40"/>
  <c r="J47" i="40" s="1"/>
  <c r="R43" i="40"/>
  <c r="B116" i="43"/>
  <c r="E26" i="43"/>
  <c r="H26" i="43"/>
  <c r="Z7" i="43"/>
  <c r="N370" i="46"/>
  <c r="F26" i="43"/>
  <c r="G26" i="43"/>
  <c r="N94" i="46"/>
  <c r="J26" i="43"/>
  <c r="C22" i="69"/>
  <c r="C23" i="15"/>
  <c r="C29" i="15" s="1"/>
  <c r="Q49" i="67"/>
  <c r="J59" i="67"/>
  <c r="J60" i="67" s="1"/>
  <c r="L46" i="67" s="1"/>
  <c r="C49" i="69"/>
  <c r="C51" i="69" s="1"/>
  <c r="C36" i="67"/>
  <c r="J14" i="67"/>
  <c r="J22" i="67" s="1"/>
  <c r="C33" i="11"/>
  <c r="C42" i="11" s="1"/>
  <c r="C28" i="69"/>
  <c r="C27" i="69" s="1"/>
  <c r="C13" i="67"/>
  <c r="Q70" i="67" s="1"/>
  <c r="C57" i="67"/>
  <c r="C64" i="67" s="1"/>
  <c r="C33" i="68"/>
  <c r="C42" i="68" s="1"/>
  <c r="R27" i="6"/>
  <c r="R6" i="1"/>
  <c r="C22" i="12"/>
  <c r="C30" i="12" s="1"/>
  <c r="C28" i="12" s="1"/>
  <c r="M21" i="15"/>
  <c r="M21" i="67"/>
  <c r="F35" i="67"/>
  <c r="F35" i="15"/>
  <c r="C31" i="69" l="1"/>
  <c r="C52" i="69" s="1"/>
  <c r="C57" i="69" s="1"/>
  <c r="C56" i="69" s="1"/>
  <c r="C43" i="40"/>
  <c r="C42" i="40"/>
  <c r="J13" i="67"/>
  <c r="J23" i="67" s="1"/>
  <c r="D26" i="43"/>
  <c r="C25" i="43" s="1"/>
  <c r="D121" i="43"/>
  <c r="E121" i="43" s="1"/>
  <c r="F121" i="43" s="1"/>
  <c r="I118" i="43"/>
  <c r="J118" i="43" s="1"/>
  <c r="K118" i="43" s="1"/>
  <c r="L118" i="43" s="1"/>
  <c r="M118" i="43" s="1"/>
  <c r="B121" i="43"/>
  <c r="C121" i="43" s="1"/>
  <c r="B122" i="43"/>
  <c r="C122" i="43" s="1"/>
  <c r="I122" i="43"/>
  <c r="J122" i="43" s="1"/>
  <c r="K122" i="43" s="1"/>
  <c r="L122" i="43" s="1"/>
  <c r="M122" i="43" s="1"/>
  <c r="D118" i="43"/>
  <c r="E118" i="43" s="1"/>
  <c r="F118" i="43" s="1"/>
  <c r="G118" i="43" s="1"/>
  <c r="H118" i="43" s="1"/>
  <c r="D122" i="43"/>
  <c r="E122" i="43" s="1"/>
  <c r="F122" i="43" s="1"/>
  <c r="G122" i="43" s="1"/>
  <c r="H122" i="43" s="1"/>
  <c r="G121" i="43"/>
  <c r="H121" i="43" s="1"/>
  <c r="D120" i="43"/>
  <c r="E120" i="43" s="1"/>
  <c r="F120" i="43" s="1"/>
  <c r="G120" i="43" s="1"/>
  <c r="H120" i="43" s="1"/>
  <c r="D119" i="43"/>
  <c r="E119" i="43" s="1"/>
  <c r="F119" i="43" s="1"/>
  <c r="G119" i="43" s="1"/>
  <c r="H119" i="43" s="1"/>
  <c r="B118" i="43"/>
  <c r="B119" i="43"/>
  <c r="C119" i="43" s="1"/>
  <c r="B120" i="43"/>
  <c r="C120" i="43" s="1"/>
  <c r="I121" i="43"/>
  <c r="J121" i="43" s="1"/>
  <c r="K121" i="43" s="1"/>
  <c r="L121" i="43" s="1"/>
  <c r="M121" i="43" s="1"/>
  <c r="I120" i="43"/>
  <c r="J120" i="43" s="1"/>
  <c r="K120" i="43" s="1"/>
  <c r="L120" i="43" s="1"/>
  <c r="M120" i="43" s="1"/>
  <c r="I119" i="43"/>
  <c r="J119" i="43" s="1"/>
  <c r="K119" i="43" s="1"/>
  <c r="L119" i="43" s="1"/>
  <c r="M119" i="43" s="1"/>
  <c r="C56" i="67"/>
  <c r="C65" i="67" s="1"/>
  <c r="F63" i="15"/>
  <c r="C62" i="15" s="1"/>
  <c r="C59" i="15" s="1"/>
  <c r="C34" i="15"/>
  <c r="C31" i="15" s="1"/>
  <c r="J20" i="15"/>
  <c r="J17" i="15" s="1"/>
  <c r="Q49" i="15"/>
  <c r="C36" i="15"/>
  <c r="C57" i="15"/>
  <c r="C64" i="15" s="1"/>
  <c r="J59" i="15"/>
  <c r="J60" i="15" s="1"/>
  <c r="J14" i="15"/>
  <c r="C13" i="15"/>
  <c r="Q48" i="67"/>
  <c r="C39" i="11"/>
  <c r="C43" i="11" s="1"/>
  <c r="C41" i="11" s="1"/>
  <c r="C39" i="68"/>
  <c r="C43" i="68" s="1"/>
  <c r="C41" i="68" s="1"/>
  <c r="C75" i="67"/>
  <c r="C37" i="67"/>
  <c r="B2" i="69"/>
  <c r="B3" i="69" s="1"/>
  <c r="C34" i="67"/>
  <c r="C31" i="67" s="1"/>
  <c r="F63" i="67"/>
  <c r="C62" i="67" s="1"/>
  <c r="C59" i="67" s="1"/>
  <c r="J20" i="67"/>
  <c r="J17" i="67" s="1"/>
  <c r="C27" i="12"/>
  <c r="C25" i="12" s="1"/>
  <c r="C32" i="12" s="1"/>
  <c r="B2" i="12" s="1"/>
  <c r="B3" i="12" s="1"/>
  <c r="R16" i="1"/>
  <c r="C46" i="11" l="1"/>
  <c r="C45" i="11" s="1"/>
  <c r="B58" i="40"/>
  <c r="F58" i="40" s="1"/>
  <c r="B52" i="40"/>
  <c r="F52" i="40" s="1"/>
  <c r="B51" i="40"/>
  <c r="F51" i="40" s="1"/>
  <c r="B56" i="40"/>
  <c r="F56" i="40" s="1"/>
  <c r="B53" i="40"/>
  <c r="F53" i="40" s="1"/>
  <c r="B59" i="40"/>
  <c r="F59" i="40" s="1"/>
  <c r="B54" i="40"/>
  <c r="F54" i="40" s="1"/>
  <c r="B60" i="40"/>
  <c r="F60" i="40" s="1"/>
  <c r="B57" i="40"/>
  <c r="F57" i="40" s="1"/>
  <c r="J16" i="67"/>
  <c r="J25" i="67" s="1"/>
  <c r="C58" i="67"/>
  <c r="C67" i="67" s="1"/>
  <c r="C68" i="67" s="1"/>
  <c r="C71" i="67" s="1"/>
  <c r="C118" i="43"/>
  <c r="D116" i="43" s="1"/>
  <c r="C33" i="43"/>
  <c r="J13" i="15"/>
  <c r="J23" i="15" s="1"/>
  <c r="J22" i="15"/>
  <c r="Q48" i="15"/>
  <c r="L46" i="15"/>
  <c r="C46" i="68"/>
  <c r="C45" i="68" s="1"/>
  <c r="C49" i="68" s="1"/>
  <c r="C51" i="68" s="1"/>
  <c r="Q70" i="15"/>
  <c r="C56" i="15"/>
  <c r="C65" i="15" s="1"/>
  <c r="C58" i="15" s="1"/>
  <c r="C67" i="15" s="1"/>
  <c r="C68" i="15" s="1"/>
  <c r="C71" i="15" s="1"/>
  <c r="C75" i="15"/>
  <c r="C37" i="15"/>
  <c r="C30" i="15" s="1"/>
  <c r="C39" i="15" s="1"/>
  <c r="C30" i="67"/>
  <c r="C39" i="67" s="1"/>
  <c r="C40" i="67" s="1"/>
  <c r="C49" i="11"/>
  <c r="C51" i="11" s="1"/>
  <c r="C52" i="11" s="1"/>
  <c r="B2" i="11" s="1"/>
  <c r="B3" i="11" s="1"/>
  <c r="L51" i="67"/>
  <c r="L51" i="15"/>
  <c r="F61" i="40" l="1"/>
  <c r="B2" i="40" s="1"/>
  <c r="B3" i="40" s="1"/>
  <c r="E33" i="43"/>
  <c r="C34" i="43"/>
  <c r="E34" i="43" s="1"/>
  <c r="C31" i="43" s="1"/>
  <c r="J16" i="15"/>
  <c r="J25" i="15" s="1"/>
  <c r="J26" i="15" s="1"/>
  <c r="J29" i="15" s="1"/>
  <c r="C80" i="15"/>
  <c r="C79" i="15" s="1"/>
  <c r="Q67" i="15"/>
  <c r="Q69" i="67"/>
  <c r="Q68" i="67" s="1"/>
  <c r="C80" i="67"/>
  <c r="C79" i="67" s="1"/>
  <c r="H37" i="67"/>
  <c r="Q69" i="15"/>
  <c r="Q68" i="15" s="1"/>
  <c r="C40" i="15"/>
  <c r="Q67" i="67"/>
  <c r="C56" i="11"/>
  <c r="C57" i="11" s="1"/>
  <c r="Q56" i="67"/>
  <c r="Q62" i="67" s="1"/>
  <c r="Q47" i="67"/>
  <c r="Q53" i="67" s="1"/>
  <c r="C43" i="67"/>
  <c r="Q65" i="67"/>
  <c r="Q75" i="67" s="1"/>
  <c r="D2" i="67"/>
  <c r="C83" i="67"/>
  <c r="C82" i="67" s="1"/>
  <c r="C45" i="67"/>
  <c r="C46" i="67" s="1"/>
  <c r="C30" i="43" l="1"/>
  <c r="B2" i="43" s="1"/>
  <c r="C6" i="68"/>
  <c r="B2" i="15"/>
  <c r="B3" i="15" s="1"/>
  <c r="C46" i="15"/>
  <c r="Q65" i="15"/>
  <c r="Q75" i="15" s="1"/>
  <c r="C43" i="15"/>
  <c r="Q47" i="15"/>
  <c r="Q53" i="15" s="1"/>
  <c r="Q56" i="15"/>
  <c r="Q62" i="15" s="1"/>
  <c r="C83" i="15"/>
  <c r="C82" i="15" s="1"/>
  <c r="B2" i="67"/>
  <c r="B3" i="67"/>
  <c r="E6" i="76"/>
  <c r="AO6" i="1"/>
  <c r="D19" i="9"/>
  <c r="B6" i="76"/>
  <c r="D20" i="9"/>
  <c r="E2" i="76" l="1"/>
  <c r="B2" i="76"/>
  <c r="B3" i="43"/>
  <c r="D21" i="9"/>
  <c r="D102" i="9"/>
  <c r="B6" i="70"/>
  <c r="B2" i="70" s="1"/>
  <c r="B3" i="70" s="1"/>
  <c r="D103" i="9"/>
  <c r="B3" i="76" l="1"/>
  <c r="C7" i="68"/>
  <c r="C5" i="68" s="1"/>
  <c r="C23" i="68" l="1"/>
  <c r="C20" i="68"/>
  <c r="C25" i="68" s="1"/>
  <c r="C22" i="68" l="1"/>
  <c r="C28" i="68"/>
  <c r="C27" i="68" s="1"/>
  <c r="C31" i="68" l="1"/>
  <c r="C52" i="68" s="1"/>
  <c r="C57" i="68" s="1"/>
  <c r="C56" i="68" s="1"/>
  <c r="B2" i="68" l="1"/>
  <c r="C19" i="9"/>
  <c r="C102" i="9" l="1"/>
  <c r="C21" i="9"/>
  <c r="G19" i="9"/>
  <c r="G21" i="9" s="1"/>
  <c r="D22" i="9"/>
  <c r="B3" i="68"/>
  <c r="D34" i="9"/>
  <c r="D35" i="9"/>
  <c r="C20" i="9"/>
  <c r="C103" i="9" l="1"/>
  <c r="G20" i="9"/>
  <c r="R24" i="31" l="1"/>
  <c r="C32" i="9"/>
  <c r="D14" i="74" s="1"/>
  <c r="G14" i="74" l="1"/>
  <c r="B6" i="74" s="1"/>
  <c r="D6" i="74" s="1"/>
  <c r="C35" i="9"/>
  <c r="R29" i="31"/>
  <c r="R26" i="31"/>
  <c r="R28" i="31"/>
  <c r="R27" i="31"/>
  <c r="T24" i="31"/>
  <c r="T22" i="31" s="1"/>
  <c r="R25" i="31"/>
  <c r="S24" i="31"/>
  <c r="S22" i="31" s="1"/>
  <c r="T29" i="31" l="1"/>
  <c r="S29" i="31"/>
  <c r="T27" i="31"/>
  <c r="S27" i="31"/>
  <c r="C34" i="9"/>
  <c r="B20" i="31"/>
  <c r="B21" i="31" s="1"/>
  <c r="R22" i="31"/>
  <c r="S28" i="31"/>
  <c r="T28" i="31"/>
  <c r="F118" i="9"/>
  <c r="G118" i="9" s="1"/>
  <c r="G4" i="52" s="1"/>
  <c r="B52" i="72" s="1"/>
  <c r="S25" i="31"/>
  <c r="T25" i="31"/>
  <c r="S26" i="31"/>
  <c r="T26" i="31"/>
  <c r="H118" i="9"/>
  <c r="I118" i="9" s="1"/>
  <c r="H102" i="9" s="1"/>
  <c r="D7" i="53" s="1"/>
  <c r="B21" i="72" s="1"/>
  <c r="C105" i="9" l="1"/>
  <c r="I4" i="52"/>
  <c r="E118" i="9"/>
  <c r="E4" i="52" s="1"/>
  <c r="B48" i="72" s="1"/>
  <c r="F4" i="52"/>
  <c r="B51" i="72" s="1"/>
  <c r="F119" i="9"/>
  <c r="F5" i="52" s="1"/>
  <c r="B53" i="72" s="1"/>
  <c r="F14" i="74"/>
  <c r="E14" i="74"/>
  <c r="B5" i="74"/>
  <c r="H4" i="52"/>
  <c r="H119" i="9"/>
  <c r="H5" i="52" s="1"/>
  <c r="C104" i="9"/>
  <c r="H101" i="9"/>
  <c r="D118" i="9"/>
  <c r="D119" i="9" l="1"/>
  <c r="D5" i="52" s="1"/>
  <c r="B49" i="72" s="1"/>
  <c r="D4" i="52"/>
  <c r="B47" i="72" s="1"/>
  <c r="D45" i="9"/>
  <c r="D5" i="53"/>
  <c r="M48" i="9"/>
  <c r="H107" i="9"/>
  <c r="C5" i="74"/>
  <c r="D5" i="74"/>
  <c r="D6" i="53" l="1"/>
  <c r="B22" i="72" s="1"/>
  <c r="B20" i="72"/>
  <c r="C64" i="9"/>
  <c r="C63" i="9" s="1"/>
  <c r="C67" i="9" s="1"/>
  <c r="D55" i="9"/>
  <c r="M53" i="9" s="1"/>
  <c r="C93" i="9"/>
  <c r="C86" i="9" s="1"/>
  <c r="D52" i="9"/>
  <c r="C85" i="9"/>
  <c r="C78" i="9"/>
  <c r="C73" i="9" s="1"/>
  <c r="D53" i="9"/>
  <c r="C72" i="9"/>
  <c r="D122" i="9"/>
  <c r="D13" i="53"/>
  <c r="H108" i="9"/>
  <c r="M49" i="9"/>
  <c r="C79" i="9" l="1"/>
  <c r="D15" i="53"/>
  <c r="B31" i="72" s="1"/>
  <c r="C6" i="74"/>
  <c r="B30" i="72"/>
  <c r="D14" i="53"/>
  <c r="B32" i="72" s="1"/>
  <c r="D123" i="9"/>
  <c r="D9" i="52" s="1"/>
  <c r="D8" i="52"/>
  <c r="C95" i="9"/>
  <c r="C68" i="9"/>
  <c r="D54" i="9" s="1"/>
  <c r="D59" i="9"/>
  <c r="M55" i="9" s="1"/>
  <c r="L65" i="9"/>
  <c r="M65" i="9" s="1"/>
  <c r="L68" i="9"/>
  <c r="M68" i="9" s="1"/>
  <c r="L64" i="9"/>
  <c r="M64" i="9" s="1"/>
  <c r="L67" i="9"/>
  <c r="M67" i="9" s="1"/>
  <c r="L66" i="9"/>
  <c r="M66" i="9" s="1"/>
  <c r="L63" i="9"/>
  <c r="M63" i="9" s="1"/>
  <c r="C80" i="9"/>
  <c r="E80" i="9" s="1"/>
  <c r="E81" i="9" s="1"/>
  <c r="M69" i="9" l="1"/>
  <c r="N69" i="9" s="1"/>
  <c r="C96" i="9"/>
  <c r="E96" i="9" s="1"/>
  <c r="E97" i="9" s="1"/>
  <c r="C81" i="9"/>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<sst xmlns="http://schemas.openxmlformats.org/spreadsheetml/2006/main" count="8377" uniqueCount="3635">
  <si>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</si>
  <si>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</si>
  <si>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</si>
  <si>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</si>
  <si>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</si>
  <si>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</si>
  <si>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</si>
  <si>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</si>
  <si>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</si>
  <si>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</si>
  <si>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</si>
  <si>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</si>
  <si>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</si>
  <si>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</si>
  <si>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</si>
  <si>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</si>
  <si>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</si>
  <si>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</si>
  <si>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</si>
  <si>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</si>
  <si>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</si>
  <si>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</si>
  <si>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</si>
  <si>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</si>
  <si>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</si>
  <si>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</si>
  <si>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</si>
  <si>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</si>
  <si>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</si>
  <si>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</si>
  <si>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</si>
  <si>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</si>
  <si>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</si>
  <si>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</si>
  <si>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</si>
  <si>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</si>
  <si>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</si>
  <si>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</si>
  <si>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</si>
  <si>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</si>
  <si>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</si>
  <si>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</si>
  <si>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</si>
  <si>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</si>
  <si>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</si>
  <si>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</si>
  <si>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</si>
  <si>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</si>
  <si>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</si>
  <si>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</si>
  <si>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</si>
  <si>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</si>
  <si>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</si>
  <si>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</si>
  <si>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</si>
  <si>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</si>
  <si>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</si>
  <si>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</si>
  <si>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</si>
  <si>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</si>
  <si>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</si>
  <si>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</si>
  <si>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</si>
  <si>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</si>
  <si>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</si>
  <si>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</si>
  <si>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</si>
  <si>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</si>
  <si>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</si>
  <si>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</si>
  <si>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</si>
  <si>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</si>
  <si>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</si>
  <si>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</si>
  <si>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</si>
  <si>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</si>
  <si>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</si>
  <si>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</si>
  <si>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</si>
  <si>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</si>
  <si>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</si>
  <si>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</si>
  <si>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</si>
  <si>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</si>
  <si>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</si>
  <si>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</si>
  <si>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</si>
  <si>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</si>
  <si>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</si>
  <si>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</si>
  <si>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</si>
  <si>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</si>
  <si>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</si>
  <si>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</si>
  <si>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</si>
  <si>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</si>
  <si>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</si>
  <si>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</si>
  <si>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</si>
  <si>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</si>
  <si>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</si>
  <si>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</si>
  <si>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</si>
  <si>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</si>
  <si>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</si>
  <si>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</si>
  <si>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</si>
  <si>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</si>
  <si>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</si>
  <si>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</si>
  <si>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</si>
  <si>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</si>
  <si>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</si>
  <si>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</si>
  <si>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</si>
  <si>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</si>
  <si>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</si>
  <si>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</si>
  <si>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</si>
  <si>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</si>
  <si>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</si>
  <si>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</si>
  <si>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</si>
  <si>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</si>
  <si>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</si>
  <si>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</si>
  <si>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</si>
  <si>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</si>
  <si>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</si>
  <si>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</si>
  <si>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</si>
  <si>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</si>
  <si>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</si>
  <si>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</si>
  <si>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</si>
  <si>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</si>
  <si>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</si>
  <si>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</si>
  <si>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</si>
  <si>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</si>
  <si>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</si>
  <si>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</si>
  <si>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</si>
  <si>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</si>
  <si>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</si>
  <si>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</si>
  <si>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</si>
  <si>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</si>
  <si>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</si>
  <si>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</si>
  <si>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</si>
  <si>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</si>
  <si>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</si>
  <si>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</si>
  <si>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</si>
  <si>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</si>
  <si>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</si>
  <si>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</si>
  <si>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</si>
  <si>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</si>
  <si>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</si>
  <si>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</si>
  <si>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</si>
  <si>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</si>
  <si>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</si>
  <si>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</si>
  <si>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</si>
  <si>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</si>
  <si>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</si>
  <si>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</si>
  <si>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</si>
  <si>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</si>
  <si>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</si>
  <si>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</si>
  <si>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</si>
  <si>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</si>
  <si>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</si>
  <si>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</si>
  <si>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</si>
  <si>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</si>
  <si>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</si>
  <si>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</si>
  <si>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</si>
  <si>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</si>
  <si>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</si>
  <si>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</si>
  <si>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</si>
  <si>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</si>
  <si>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</si>
  <si>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</si>
  <si>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</si>
  <si>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</si>
  <si>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</si>
  <si>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</si>
  <si>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</si>
  <si>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</si>
  <si>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</si>
  <si>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</si>
  <si>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</si>
  <si>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</si>
  <si>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</si>
  <si>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</si>
  <si>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</si>
  <si>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</si>
  <si>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</si>
  <si>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</si>
  <si>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</si>
  <si>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</si>
  <si>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</si>
  <si>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</si>
  <si>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</si>
  <si>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</si>
  <si>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</si>
  <si>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</si>
  <si>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</si>
  <si>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</si>
  <si>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</si>
  <si>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</si>
  <si>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</si>
  <si>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</si>
  <si>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</si>
  <si>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</si>
  <si>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</si>
  <si>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</si>
  <si>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</si>
  <si>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</si>
  <si>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</si>
  <si>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</si>
  <si>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</si>
  <si>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</si>
  <si>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</si>
  <si>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</si>
  <si>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</si>
  <si>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</si>
  <si>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</si>
  <si>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</si>
  <si>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</si>
  <si>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</si>
  <si>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</si>
  <si>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</si>
  <si>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</si>
  <si>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</si>
  <si>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</si>
  <si>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</si>
  <si>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</si>
  <si>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</si>
  <si>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</si>
  <si>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</si>
  <si>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</si>
  <si>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</si>
  <si>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</si>
  <si>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</si>
  <si>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</si>
  <si>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</si>
  <si>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</si>
  <si>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</si>
  <si>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</si>
  <si>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</si>
  <si>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</si>
  <si>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</si>
  <si>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</si>
  <si>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</si>
  <si>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</si>
  <si>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</si>
  <si>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</si>
  <si>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</si>
  <si>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</si>
  <si>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</si>
  <si>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</si>
  <si>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</si>
  <si>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</si>
  <si>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</si>
  <si>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</si>
  <si>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</si>
  <si>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</si>
  <si>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</si>
  <si>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</si>
  <si>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</si>
  <si>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</si>
  <si>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</si>
  <si>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</si>
  <si>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</si>
  <si>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</si>
  <si>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</si>
  <si>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</si>
  <si>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</si>
  <si>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</si>
  <si>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</si>
  <si>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</si>
  <si>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</si>
  <si>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</si>
  <si>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</si>
  <si>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</si>
  <si>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</si>
  <si>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</si>
  <si>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</si>
  <si>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</si>
  <si>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</si>
  <si>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</si>
  <si>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</si>
  <si>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</si>
  <si>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</si>
  <si>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</si>
  <si>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</si>
  <si>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</si>
  <si>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</si>
  <si>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</si>
  <si>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</si>
  <si>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</si>
  <si>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</si>
  <si>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</si>
  <si>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</si>
  <si>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</si>
  <si>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</si>
  <si>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</si>
  <si>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</si>
  <si>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</si>
  <si>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</si>
  <si>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</si>
  <si>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</si>
  <si>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</si>
  <si>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</si>
  <si>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</si>
  <si>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</si>
  <si>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</si>
  <si>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</si>
  <si>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</si>
  <si>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</si>
  <si>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</si>
  <si>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</si>
  <si>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</si>
  <si>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</si>
  <si>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</si>
  <si>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</si>
  <si>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</si>
  <si>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</si>
  <si>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</si>
  <si>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</si>
  <si>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</si>
  <si>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</si>
  <si>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</si>
  <si>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</si>
  <si>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</si>
  <si>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</si>
  <si>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</si>
  <si>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</si>
  <si>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</si>
  <si>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</si>
  <si>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</si>
  <si>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</si>
  <si>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</si>
  <si>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</si>
  <si>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</si>
  <si>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</si>
  <si>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</si>
  <si>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</si>
  <si>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</si>
  <si>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</si>
  <si>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</si>
  <si>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</si>
  <si>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</si>
  <si>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</si>
  <si>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</si>
  <si>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</si>
  <si>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</si>
  <si>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</si>
  <si>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</si>
  <si>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</si>
  <si>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</si>
  <si>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</si>
  <si>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</si>
  <si>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</si>
  <si>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</si>
  <si>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</si>
  <si>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</si>
  <si>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</si>
  <si>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</si>
  <si>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</si>
  <si>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</si>
  <si>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</si>
  <si>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</si>
  <si>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</si>
  <si>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</si>
  <si>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</si>
  <si>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</si>
  <si>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</si>
  <si>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</si>
  <si>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</si>
  <si>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</si>
  <si>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</si>
  <si>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</si>
  <si>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</si>
  <si>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</si>
  <si>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</si>
  <si>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</si>
  <si>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</si>
  <si>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</si>
  <si>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</si>
  <si>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</si>
  <si>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</si>
  <si>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</si>
  <si>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</si>
  <si>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</si>
  <si>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</si>
  <si>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</si>
  <si>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</si>
  <si>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</si>
  <si>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</si>
  <si>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</si>
  <si>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</si>
  <si>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</si>
  <si>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</si>
  <si>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</si>
  <si>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</si>
  <si>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</si>
  <si>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</si>
  <si>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</si>
  <si>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</si>
  <si>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</si>
  <si>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</si>
  <si>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</si>
  <si>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</si>
  <si>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</si>
  <si>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</si>
  <si>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</si>
  <si>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</si>
  <si>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</si>
  <si>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</si>
  <si>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</si>
  <si>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</si>
  <si>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</si>
  <si>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</si>
  <si>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</si>
  <si>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</si>
  <si>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</si>
  <si>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</si>
  <si>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</si>
  <si>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</si>
  <si>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</si>
  <si>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</si>
  <si>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</si>
  <si>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</si>
  <si>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</si>
  <si>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</si>
  <si>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</si>
  <si>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</si>
  <si>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</si>
  <si>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</si>
  <si>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</si>
  <si>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</si>
  <si>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</si>
  <si>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</si>
  <si>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</si>
  <si>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</si>
  <si>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</si>
  <si>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</si>
  <si>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</si>
  <si>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</si>
  <si>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</si>
  <si>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</si>
  <si>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</si>
  <si>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</si>
  <si>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</si>
  <si>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</si>
  <si>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</si>
  <si>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</si>
  <si>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</si>
  <si>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</si>
  <si>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</si>
  <si>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</si>
  <si>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</si>
  <si>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</si>
  <si>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</si>
  <si>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</si>
  <si>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</si>
  <si>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</si>
  <si>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</si>
  <si>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</si>
  <si>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</si>
  <si>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</si>
  <si>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</si>
  <si>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</si>
  <si>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</si>
  <si>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</si>
  <si>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</si>
  <si>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</si>
  <si>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</si>
  <si>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</si>
  <si>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</si>
  <si>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</si>
  <si>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</si>
  <si>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</si>
  <si>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</si>
  <si>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</si>
  <si>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</si>
  <si>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</si>
  <si>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</si>
  <si>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</si>
  <si>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</si>
  <si>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</si>
  <si>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</si>
  <si>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</si>
  <si>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</si>
  <si>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</si>
  <si>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</si>
  <si>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</si>
  <si>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</si>
  <si>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</si>
  <si>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</si>
  <si>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</si>
  <si>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</si>
  <si>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</si>
  <si>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</si>
  <si>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</si>
  <si>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</si>
  <si>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</si>
  <si>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</si>
  <si>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</si>
  <si>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</si>
  <si>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</si>
  <si>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</si>
  <si>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</si>
  <si>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</si>
  <si>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</si>
  <si>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</si>
  <si>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</si>
  <si>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</si>
  <si>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</si>
  <si>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</si>
  <si>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</si>
  <si>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</si>
  <si>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</si>
  <si>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</si>
  <si>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</si>
  <si>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</si>
  <si>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</si>
  <si>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</si>
  <si>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</si>
  <si>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</si>
  <si>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</si>
  <si>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</si>
  <si>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</si>
  <si>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</si>
  <si>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</si>
  <si>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</si>
  <si>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</si>
  <si>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</si>
  <si>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</si>
  <si>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</si>
  <si>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</si>
  <si>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</si>
  <si>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</si>
  <si>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</si>
  <si>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</si>
  <si>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</si>
  <si>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</si>
  <si>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</si>
  <si>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</si>
  <si>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</si>
  <si>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</si>
  <si>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</si>
  <si>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</si>
  <si>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</si>
  <si>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</si>
  <si>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</si>
  <si>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</si>
  <si>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</si>
  <si>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</si>
  <si>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</si>
  <si>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</si>
  <si>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</si>
  <si>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</si>
  <si>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</si>
  <si>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</si>
  <si>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</si>
  <si>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</si>
  <si>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</si>
  <si>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</si>
  <si>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</si>
  <si>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</si>
  <si>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</si>
  <si>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</si>
  <si>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</si>
  <si>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</si>
  <si>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</si>
  <si>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</si>
  <si>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</si>
  <si>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</si>
  <si>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</si>
  <si>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</si>
  <si>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</si>
  <si>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</si>
  <si>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</si>
  <si>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</si>
  <si>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</si>
  <si>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</si>
  <si>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</si>
  <si>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</si>
  <si>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</si>
  <si>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</si>
  <si>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</si>
  <si>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</si>
  <si>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</si>
  <si>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</si>
  <si>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</si>
  <si>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</si>
  <si>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</si>
  <si>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</si>
  <si>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</si>
  <si>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</si>
  <si>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</si>
  <si>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</si>
  <si>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</si>
  <si>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</si>
  <si>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</si>
  <si>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</si>
  <si>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</si>
  <si>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</si>
  <si>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</si>
  <si>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</si>
  <si>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</si>
  <si>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</si>
  <si>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</si>
  <si>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</si>
  <si>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</si>
  <si>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</si>
  <si>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</si>
  <si>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</si>
  <si>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</si>
  <si>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</si>
  <si>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</si>
  <si>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</si>
  <si>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</si>
  <si>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</si>
  <si>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</si>
  <si>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</si>
  <si>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</si>
  <si>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</si>
  <si>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</si>
  <si>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</si>
  <si>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</si>
  <si>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</si>
  <si>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</si>
  <si>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</si>
  <si>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</si>
  <si>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</si>
  <si>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</si>
  <si>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</si>
  <si>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</si>
  <si>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</si>
  <si>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</si>
  <si>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</si>
  <si>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</si>
  <si>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</si>
  <si>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</si>
  <si>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</si>
  <si>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</si>
  <si>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</si>
  <si>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</si>
  <si>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</si>
  <si>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</si>
  <si>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</si>
  <si>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</si>
  <si>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</si>
  <si>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</si>
  <si>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</si>
  <si>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</si>
  <si>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</si>
  <si>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</si>
  <si>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</si>
  <si>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</si>
  <si>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</si>
  <si>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</si>
  <si>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</si>
  <si>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</si>
  <si>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</si>
  <si>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</si>
  <si>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</si>
  <si>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</si>
  <si>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</si>
  <si>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</si>
  <si>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</si>
  <si>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</si>
  <si>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</si>
  <si>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</si>
  <si>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</si>
  <si>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</si>
  <si>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</si>
  <si>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</si>
  <si>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</si>
  <si>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</si>
  <si>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</si>
  <si>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</si>
  <si>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</si>
  <si>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</si>
  <si>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</si>
  <si>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</si>
  <si>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</si>
  <si>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</si>
  <si>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</si>
  <si>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</si>
  <si>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</si>
  <si>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</si>
  <si>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</si>
  <si>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</si>
  <si>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</si>
  <si>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</si>
  <si>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</si>
  <si>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</si>
  <si>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</si>
  <si>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</si>
  <si>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</si>
  <si>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</si>
  <si>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</si>
  <si>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</si>
  <si>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</si>
  <si>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</si>
  <si>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</si>
  <si>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</si>
  <si>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</si>
  <si>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</si>
  <si>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</si>
  <si>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</si>
  <si>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</si>
  <si>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</si>
  <si>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</si>
  <si>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</si>
  <si>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</si>
  <si>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</si>
  <si>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</si>
  <si>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</si>
  <si>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</si>
  <si>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</si>
  <si>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</si>
  <si>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</si>
  <si>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</si>
  <si>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</si>
  <si>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</si>
  <si>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</si>
  <si>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</si>
  <si>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</si>
  <si>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</si>
  <si>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</si>
  <si>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</si>
  <si>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</si>
  <si>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</si>
  <si>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</si>
  <si>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</si>
  <si>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</si>
  <si>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</si>
  <si>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</si>
  <si>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</si>
  <si>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</si>
  <si>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</si>
  <si>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</si>
  <si>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</si>
  <si>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</si>
  <si>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</si>
  <si>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</si>
  <si>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</si>
  <si>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</si>
  <si>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</si>
  <si>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</si>
  <si>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</si>
  <si>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</si>
  <si>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</si>
  <si>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</si>
  <si>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</si>
  <si>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</si>
  <si>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</si>
  <si>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</si>
  <si>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</si>
  <si>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</si>
  <si>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</si>
  <si>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</si>
  <si>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</si>
  <si>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</si>
  <si>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</si>
  <si>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</si>
  <si>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</si>
  <si>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</si>
  <si>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</si>
  <si>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</si>
  <si>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</si>
  <si>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</si>
  <si>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</si>
  <si>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</si>
  <si>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</si>
  <si>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</si>
  <si>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</si>
  <si>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</si>
  <si>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</si>
  <si>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</si>
  <si>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</si>
  <si>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</si>
  <si>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</si>
  <si>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</si>
  <si>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</si>
  <si>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</si>
  <si>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</si>
  <si>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</si>
  <si>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</si>
  <si>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</si>
  <si>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</si>
  <si>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</si>
  <si>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</si>
  <si>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</si>
  <si>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</si>
  <si>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</si>
  <si>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</si>
  <si>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</si>
  <si>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</si>
  <si>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</si>
  <si>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</si>
  <si>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</si>
  <si>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</si>
  <si>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</si>
  <si>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</si>
  <si>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</si>
  <si>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</si>
  <si>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</si>
  <si>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</si>
  <si>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</si>
  <si>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</si>
  <si>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</si>
  <si>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</si>
  <si>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</si>
  <si>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</si>
  <si>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</si>
  <si>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</si>
  <si>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</si>
  <si>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</si>
  <si>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</si>
  <si>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</si>
  <si>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</si>
  <si>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</si>
  <si>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</si>
  <si>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</si>
  <si>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</si>
  <si>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</si>
  <si>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</si>
  <si>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</si>
  <si>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</si>
  <si>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</si>
  <si>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</si>
  <si>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</si>
  <si>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</si>
  <si>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</si>
  <si>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</si>
  <si>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</si>
  <si>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</si>
  <si>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</si>
  <si>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</si>
  <si>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</si>
  <si>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</si>
  <si>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</si>
  <si>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</si>
  <si>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</si>
  <si>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</si>
  <si>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</si>
  <si>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</si>
  <si>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</si>
  <si>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</si>
  <si>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</si>
  <si>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</si>
  <si>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</si>
  <si>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</si>
  <si>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</si>
  <si>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</si>
  <si>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</si>
  <si>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</si>
  <si>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</si>
  <si>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</si>
  <si>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</si>
  <si>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</si>
  <si>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</si>
  <si>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</si>
  <si>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</si>
  <si>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</si>
  <si>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</si>
  <si>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</si>
  <si>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</si>
  <si>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</si>
  <si>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</si>
  <si>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</si>
  <si>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</si>
  <si>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</si>
  <si>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</si>
  <si>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</si>
  <si>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</si>
  <si>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</si>
  <si>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</si>
  <si>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</si>
  <si>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</si>
  <si>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</si>
  <si>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</si>
  <si>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</si>
  <si>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</si>
  <si>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</si>
  <si>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</si>
  <si>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</si>
  <si>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</si>
  <si>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</si>
  <si>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</si>
  <si>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</si>
  <si>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</si>
  <si>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</si>
  <si>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</si>
  <si>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</si>
  <si>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</si>
  <si>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</si>
  <si>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</si>
  <si>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</si>
  <si>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</si>
  <si>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</si>
  <si>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</si>
  <si>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</si>
  <si>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</si>
  <si>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</si>
  <si>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</si>
  <si>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</si>
  <si>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</si>
  <si>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</si>
  <si>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</si>
  <si>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</si>
  <si>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</si>
  <si>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</si>
  <si>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</si>
  <si>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</si>
  <si>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</si>
  <si>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</si>
  <si>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</si>
  <si>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</si>
  <si>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</si>
  <si>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</si>
  <si>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</si>
  <si>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</si>
  <si>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</si>
  <si>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</si>
  <si>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</si>
  <si>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</si>
  <si>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</si>
  <si>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</si>
  <si>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</si>
  <si>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</si>
  <si>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</si>
  <si>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</si>
  <si>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</si>
  <si>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</si>
  <si>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</si>
  <si>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</si>
  <si>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</si>
  <si>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</si>
  <si>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</si>
  <si>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</si>
  <si>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</si>
  <si>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</si>
  <si>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</si>
  <si>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</si>
  <si>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</si>
  <si>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</si>
  <si>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</si>
  <si>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</si>
  <si>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</si>
  <si>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</si>
  <si>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</si>
  <si>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</si>
  <si>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</si>
  <si>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</si>
  <si>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</si>
  <si>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</si>
  <si>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</si>
  <si>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</si>
  <si>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</si>
  <si>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</si>
  <si>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</si>
  <si>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</si>
  <si>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</si>
  <si>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</si>
  <si>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</si>
  <si>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</si>
  <si>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</si>
  <si>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</si>
  <si>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</si>
  <si>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</si>
  <si>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</si>
  <si>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</si>
  <si>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</si>
  <si>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</si>
  <si>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</si>
  <si>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</si>
  <si>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</si>
  <si>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</si>
  <si>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</si>
  <si>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</si>
  <si>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</si>
  <si>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</si>
  <si>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</si>
  <si>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</si>
  <si>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</si>
  <si>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</si>
  <si>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</si>
  <si>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</si>
  <si>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</si>
  <si>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</si>
  <si>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</si>
  <si>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</si>
  <si>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</si>
  <si>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</si>
  <si>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</si>
  <si>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</si>
  <si>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</si>
  <si>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</si>
  <si>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</si>
  <si>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</si>
  <si>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</si>
  <si>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</si>
  <si>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</si>
  <si>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</si>
  <si>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</si>
  <si>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</si>
  <si>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</si>
  <si>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</si>
  <si>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</si>
  <si>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</si>
  <si>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</si>
  <si>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</si>
  <si>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</si>
  <si>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</si>
  <si>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</si>
  <si>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</si>
  <si>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</si>
  <si>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</si>
  <si>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</si>
  <si>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</si>
  <si>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</si>
  <si>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</si>
  <si>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</si>
  <si>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</si>
  <si>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</si>
  <si>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</si>
  <si>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</si>
  <si>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</si>
  <si>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</si>
  <si>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</si>
  <si>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</si>
  <si>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</si>
  <si>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</si>
  <si>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</si>
  <si>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</si>
  <si>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</si>
  <si>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</si>
  <si>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</si>
  <si>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</si>
  <si>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</si>
  <si>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</si>
  <si>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</si>
  <si>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</si>
  <si>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</si>
  <si>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</si>
  <si>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</si>
  <si>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</si>
  <si>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</si>
  <si>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</si>
  <si>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</si>
  <si>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</si>
  <si>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</si>
  <si>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</si>
  <si>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</si>
  <si>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</si>
  <si>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</si>
  <si>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</si>
  <si>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</si>
  <si>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</si>
  <si>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</si>
  <si>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</si>
  <si>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</si>
  <si>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</si>
  <si>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</si>
  <si>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</si>
  <si>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</si>
  <si>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</si>
  <si>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</si>
  <si>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</si>
  <si>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</si>
  <si>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</si>
  <si>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</si>
  <si>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</si>
  <si>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</si>
  <si>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</si>
  <si>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</si>
  <si>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</si>
  <si>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</si>
  <si>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</si>
  <si>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</si>
  <si>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</si>
  <si>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</si>
  <si>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</si>
  <si>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</si>
  <si>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</si>
  <si>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</si>
  <si>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</si>
  <si>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</si>
  <si>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</si>
  <si>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</si>
  <si>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</si>
  <si>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</si>
  <si>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</si>
  <si>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</si>
  <si>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</si>
  <si>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</si>
  <si>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</si>
  <si>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</si>
  <si>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</si>
  <si>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</si>
  <si>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</si>
  <si>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</si>
  <si>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</si>
  <si>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</si>
  <si>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</si>
  <si>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</si>
  <si>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</si>
  <si>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</si>
  <si>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</si>
  <si>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</si>
  <si>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</si>
  <si>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</si>
  <si>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</si>
  <si>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</si>
  <si>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</si>
  <si>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</si>
  <si>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</si>
  <si>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</si>
  <si>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</si>
  <si>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</si>
  <si>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</si>
  <si>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</si>
  <si>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</si>
  <si>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</si>
  <si>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</si>
  <si>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</si>
  <si>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</si>
  <si>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</si>
  <si>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</si>
  <si>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</si>
  <si>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</si>
  <si>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</si>
  <si>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</si>
  <si>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</si>
  <si>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</si>
  <si>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</si>
  <si>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</si>
  <si>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</si>
  <si>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</si>
  <si>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</si>
  <si>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</si>
  <si>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</si>
  <si>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</si>
  <si>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</si>
  <si>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</si>
  <si>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</si>
  <si>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</si>
  <si>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</si>
  <si>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</si>
  <si>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</si>
  <si>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</si>
  <si>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</si>
  <si>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</si>
  <si>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</si>
  <si>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</si>
  <si>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</si>
  <si>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</si>
  <si>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</si>
  <si>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</si>
  <si>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</si>
  <si>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</si>
  <si>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</si>
  <si>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</si>
  <si>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</si>
  <si>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</si>
  <si>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</si>
  <si>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</si>
  <si>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</si>
  <si>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</si>
  <si>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</si>
  <si>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</si>
  <si>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</si>
  <si>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</si>
  <si>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</si>
  <si>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</si>
  <si>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</si>
  <si>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</si>
  <si>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</si>
  <si>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</si>
  <si>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</si>
  <si>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</si>
  <si>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</si>
  <si>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</si>
  <si>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</si>
  <si>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</si>
  <si>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</si>
  <si>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</si>
  <si>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</si>
  <si>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</si>
  <si>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</si>
  <si>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</si>
  <si>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</si>
  <si>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</si>
  <si>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</si>
  <si>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</si>
  <si>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</si>
  <si>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</si>
  <si>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</si>
  <si>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</si>
  <si>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</si>
  <si>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</si>
  <si>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</si>
  <si>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</si>
  <si>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</si>
  <si>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</si>
  <si>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</si>
  <si>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</si>
  <si>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</si>
  <si>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</si>
  <si>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</si>
  <si>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</si>
  <si>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</si>
  <si>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</si>
  <si>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</si>
  <si>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</si>
  <si>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</si>
  <si>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</si>
  <si>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</si>
  <si>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</si>
  <si>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</si>
  <si>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</si>
  <si>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</si>
  <si>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</si>
  <si>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</si>
  <si>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</si>
  <si>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</si>
  <si>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</si>
  <si>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</si>
  <si>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</si>
  <si>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</si>
  <si>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</si>
  <si>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</si>
  <si>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</si>
  <si>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</si>
  <si>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</si>
  <si>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</si>
  <si>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</si>
  <si>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</si>
  <si>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</si>
  <si>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</si>
  <si>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</si>
  <si>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</si>
  <si>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</si>
  <si>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</si>
  <si>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</si>
  <si>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</si>
  <si>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</si>
  <si>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</si>
  <si>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</si>
  <si>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</si>
  <si>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</si>
  <si>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</si>
  <si>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</si>
  <si>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</si>
  <si>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</si>
  <si>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</si>
  <si>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</si>
  <si>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</si>
  <si>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</si>
  <si>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</si>
  <si>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</si>
  <si>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</si>
  <si>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</si>
  <si>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</si>
  <si>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</si>
  <si>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</si>
  <si>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</si>
  <si>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</si>
  <si>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</si>
  <si>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</si>
  <si>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</si>
  <si>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</si>
  <si>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</si>
  <si>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</si>
  <si>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</si>
  <si>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</si>
  <si>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</si>
  <si>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</si>
  <si>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</si>
  <si>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</si>
  <si>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</si>
  <si>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</si>
  <si>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</si>
  <si>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</si>
  <si>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</si>
  <si>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</si>
  <si>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</si>
  <si>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</si>
  <si>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</si>
  <si>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</si>
  <si>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</si>
  <si>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</si>
  <si>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</si>
  <si>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</si>
  <si>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</si>
  <si>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</si>
  <si>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</si>
  <si>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</si>
  <si>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</si>
  <si>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</si>
  <si>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</si>
  <si>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</si>
  <si>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</si>
  <si>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</si>
  <si>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</si>
  <si>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</si>
  <si>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</si>
  <si>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</si>
  <si>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</si>
  <si>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</si>
  <si>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</si>
  <si>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</si>
  <si>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</si>
  <si>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</si>
  <si>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</si>
  <si>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</si>
  <si>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</si>
  <si>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</si>
  <si>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</si>
  <si>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</si>
  <si>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</si>
  <si>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</si>
  <si>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</si>
  <si>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</si>
  <si>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</si>
  <si>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</si>
  <si>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</si>
  <si>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</si>
  <si>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</si>
  <si>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</si>
  <si>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</si>
  <si>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</si>
  <si>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</si>
  <si>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</si>
  <si>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</si>
  <si>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</si>
  <si>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</si>
  <si>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</si>
  <si>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</si>
  <si>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</si>
  <si>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</si>
  <si>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</si>
  <si>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</si>
  <si>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</si>
  <si>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</si>
  <si>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</si>
  <si>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</si>
  <si>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</si>
  <si>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</si>
  <si>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</si>
  <si>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</si>
  <si>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</si>
  <si>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</si>
  <si>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</si>
  <si>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</si>
  <si>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</si>
  <si>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</si>
  <si>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</si>
  <si>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</si>
  <si>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</si>
  <si>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</si>
  <si>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</si>
  <si>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</si>
  <si>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</si>
  <si>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</si>
  <si>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</si>
  <si>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</si>
  <si>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</si>
  <si>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</si>
  <si>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</si>
  <si>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</si>
  <si>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</si>
  <si>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</si>
  <si>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</si>
  <si>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</si>
  <si>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</si>
  <si>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</si>
  <si>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</si>
  <si>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</si>
  <si>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</si>
  <si>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</si>
  <si>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</si>
  <si>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</si>
  <si>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</si>
  <si>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</si>
  <si>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</si>
  <si>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</si>
  <si>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</si>
  <si>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</si>
  <si>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</si>
  <si>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</si>
  <si>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</si>
  <si>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</si>
  <si>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</si>
  <si>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</si>
  <si>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</si>
  <si>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</si>
  <si>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</si>
  <si>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</si>
  <si>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</si>
  <si>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</si>
  <si>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</si>
  <si>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</si>
  <si>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</si>
  <si>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</si>
  <si>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</si>
  <si>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</si>
  <si>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</si>
  <si>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</si>
  <si>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</si>
  <si>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</si>
  <si>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</si>
  <si>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</si>
  <si>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</si>
  <si>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</si>
  <si>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</si>
  <si>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</si>
  <si>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</si>
  <si>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</si>
  <si>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</si>
  <si>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</si>
  <si>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</si>
  <si>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</si>
  <si>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</si>
  <si>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</si>
  <si>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</si>
  <si>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</si>
  <si>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</si>
  <si>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</si>
  <si>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</si>
  <si>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</si>
  <si>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</si>
  <si>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</si>
  <si>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</si>
  <si>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</si>
  <si>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</si>
  <si>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</si>
  <si>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</si>
  <si>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</si>
  <si>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</si>
  <si>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</si>
  <si>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</si>
  <si>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</si>
  <si>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</si>
  <si>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</si>
  <si>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</si>
  <si>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</si>
  <si>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</si>
  <si>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</si>
  <si>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</si>
  <si>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</si>
  <si>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</si>
  <si>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</si>
  <si>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</si>
  <si>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</si>
  <si>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</si>
  <si>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</si>
  <si>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</si>
  <si>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</si>
  <si>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</si>
  <si>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</si>
  <si>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</si>
  <si>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</si>
  <si>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</si>
  <si>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</si>
  <si>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</si>
  <si>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</si>
  <si>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</si>
  <si>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</si>
  <si>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</si>
  <si>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</si>
  <si>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</si>
  <si>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</si>
  <si>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</si>
  <si>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</si>
  <si>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</si>
  <si>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</si>
  <si>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</si>
  <si>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</si>
  <si>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</si>
  <si>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</si>
  <si>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</si>
  <si>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</si>
  <si>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</si>
  <si>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</si>
  <si>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</si>
  <si>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</si>
  <si>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</si>
  <si>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</si>
  <si>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</si>
  <si>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</si>
  <si>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</si>
  <si>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</si>
  <si>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</si>
  <si>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</si>
  <si>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</si>
  <si>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</si>
  <si>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</si>
  <si>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</si>
  <si>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</si>
  <si>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</si>
  <si>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</si>
  <si>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</si>
  <si>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</si>
  <si>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</si>
  <si>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</si>
  <si>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</si>
  <si>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</si>
  <si>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</si>
  <si>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</si>
  <si>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</si>
  <si>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</si>
  <si>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</si>
  <si>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</si>
  <si>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</si>
  <si>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</si>
  <si>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</si>
  <si>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</si>
  <si>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</si>
  <si>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</si>
  <si>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</si>
  <si>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</si>
  <si>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</si>
  <si>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</si>
  <si>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</si>
  <si>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</si>
  <si>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</si>
  <si>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</si>
  <si>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</si>
  <si>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</si>
  <si>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</si>
  <si>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</si>
  <si>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</si>
  <si>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</si>
  <si>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</si>
  <si>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</si>
  <si>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</si>
  <si>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</si>
  <si>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</si>
  <si>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</si>
  <si>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</si>
  <si>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</si>
  <si>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</si>
  <si>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</si>
  <si>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</si>
  <si>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</si>
  <si>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</si>
  <si>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</si>
  <si>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</si>
  <si>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</si>
  <si>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</si>
  <si>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</si>
  <si>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</si>
  <si>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</si>
  <si>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</si>
  <si>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</si>
  <si>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</si>
  <si>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</si>
  <si>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</si>
  <si>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</si>
  <si>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</si>
  <si>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</si>
  <si>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</si>
  <si>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</si>
  <si>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</si>
  <si>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</si>
  <si>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</si>
  <si>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</si>
  <si>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</si>
  <si>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</si>
  <si>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</si>
  <si>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</si>
  <si>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</si>
  <si>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</si>
  <si>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</si>
  <si>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</si>
  <si>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</si>
  <si>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</si>
  <si>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</si>
  <si>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</si>
  <si>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</si>
  <si>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</si>
  <si>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</si>
  <si>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</si>
  <si>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</si>
  <si>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</si>
  <si>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</si>
  <si>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</si>
  <si>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</si>
  <si>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</si>
  <si>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</si>
  <si>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</si>
  <si>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</si>
  <si>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</si>
  <si>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</si>
  <si>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</si>
  <si>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</si>
  <si>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</si>
  <si>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</si>
  <si>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</si>
  <si>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</si>
  <si>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</si>
  <si>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</si>
  <si>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</si>
  <si>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</si>
  <si>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</si>
  <si>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</si>
  <si>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</si>
  <si>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</si>
  <si>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</si>
  <si>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</si>
  <si>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</si>
  <si>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</si>
  <si>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</si>
  <si>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</si>
  <si>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</si>
  <si>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</si>
  <si>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</si>
  <si>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</si>
  <si>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</si>
  <si>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</si>
  <si>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</si>
  <si>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</si>
  <si>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</si>
  <si>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</si>
  <si>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</si>
  <si>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</si>
  <si>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</si>
  <si>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</si>
  <si>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</si>
  <si>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</si>
  <si>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</si>
  <si>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</si>
  <si>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</si>
  <si>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</si>
  <si>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</si>
  <si>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</si>
  <si>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</si>
  <si>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</si>
  <si>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</si>
  <si>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</si>
  <si>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</si>
  <si>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</si>
  <si>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</si>
  <si>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</si>
  <si>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</si>
  <si>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</si>
  <si>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</si>
  <si>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</si>
  <si>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</si>
  <si>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</si>
  <si>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</si>
  <si>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</si>
  <si>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</si>
  <si>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</si>
  <si>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</si>
  <si>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</si>
  <si>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</si>
  <si>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</si>
  <si>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</si>
  <si>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</si>
  <si>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</si>
  <si>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</si>
  <si>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</si>
  <si>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</si>
  <si>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</si>
  <si>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</si>
  <si>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</si>
  <si>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</si>
  <si>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</si>
  <si>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</si>
  <si>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</si>
  <si>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</si>
  <si>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</si>
  <si>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</si>
  <si>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</si>
  <si>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</si>
  <si>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</si>
  <si>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</si>
  <si>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</si>
  <si>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</si>
  <si>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</si>
  <si>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</si>
  <si>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</si>
  <si>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</si>
  <si>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</si>
  <si>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</si>
  <si>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</si>
  <si>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</si>
  <si>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</si>
  <si>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</si>
  <si>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</si>
  <si>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</si>
  <si>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</si>
  <si>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</si>
  <si>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</si>
  <si>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</si>
  <si>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</si>
  <si>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</si>
  <si>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</si>
  <si>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</si>
  <si>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</si>
  <si>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</si>
  <si>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</si>
  <si>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</si>
  <si>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</si>
  <si>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</si>
  <si>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</si>
  <si>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</si>
  <si>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</si>
  <si>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</si>
  <si>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</si>
  <si>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</si>
  <si>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</si>
  <si>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</si>
  <si>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</si>
  <si>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</si>
  <si>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</si>
  <si>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</si>
  <si>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</si>
  <si>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</si>
  <si>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</si>
  <si>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</si>
  <si>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</si>
  <si>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</si>
  <si>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</si>
  <si>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</si>
  <si>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</si>
  <si>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</si>
  <si>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</si>
  <si>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</si>
  <si>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</si>
  <si>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</si>
  <si>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</si>
  <si>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</si>
  <si>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</si>
  <si>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</si>
  <si>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</si>
  <si>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</si>
  <si>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</si>
  <si>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</si>
  <si>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</si>
  <si>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</si>
  <si>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</si>
  <si>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</si>
  <si>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</si>
  <si>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</si>
  <si>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</si>
  <si>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</si>
  <si>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</si>
  <si>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</si>
  <si>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</si>
  <si>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</si>
  <si>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</si>
  <si>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</si>
  <si>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</si>
  <si>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</si>
  <si>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</si>
  <si>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</si>
  <si>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</si>
  <si>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</si>
  <si>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</si>
  <si>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</si>
  <si>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</si>
  <si>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</si>
  <si>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</si>
  <si>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</si>
  <si>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</si>
  <si>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</si>
  <si>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</si>
  <si>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</si>
  <si>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</si>
  <si>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</si>
  <si>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</si>
  <si>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</si>
  <si>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</si>
  <si>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</si>
  <si>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</si>
  <si>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</si>
  <si>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</si>
  <si>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</si>
  <si>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</si>
  <si>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</si>
  <si>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</si>
  <si>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</si>
  <si>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</si>
  <si>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</si>
  <si>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</si>
  <si>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</si>
  <si>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</si>
  <si>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</si>
  <si>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</si>
  <si>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</si>
  <si>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</si>
  <si>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</si>
  <si>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</si>
  <si>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</si>
  <si>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</si>
  <si>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</si>
  <si>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</si>
  <si>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</si>
  <si>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</si>
  <si>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</si>
  <si>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</si>
  <si>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</si>
  <si>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</si>
  <si>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</si>
  <si>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</si>
  <si>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</si>
  <si>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</si>
  <si>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</si>
  <si>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</si>
  <si>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</si>
  <si>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</si>
  <si>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</si>
  <si>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</si>
  <si>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</si>
  <si>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</si>
  <si>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</si>
  <si>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</si>
  <si>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</si>
  <si>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</si>
  <si>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</si>
  <si>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</si>
  <si>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</si>
  <si>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</si>
  <si>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</si>
  <si>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</si>
  <si>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</si>
  <si>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</si>
  <si>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</si>
  <si>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</si>
  <si>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</si>
  <si>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</si>
  <si>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</si>
  <si>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</si>
  <si>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</si>
  <si>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</si>
  <si>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</si>
  <si>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</si>
  <si>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</si>
  <si>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</si>
  <si>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</si>
  <si>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</si>
  <si>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</si>
  <si>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</si>
  <si>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</si>
  <si>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</si>
  <si>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</si>
  <si>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</si>
  <si>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</si>
  <si>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</si>
  <si>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</si>
  <si>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</si>
  <si>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</si>
  <si>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</si>
  <si>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</si>
  <si>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</si>
  <si>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</si>
  <si>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</si>
  <si>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</si>
  <si>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</si>
  <si>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</si>
  <si>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</si>
  <si>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</si>
  <si>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</si>
  <si>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</si>
  <si>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</si>
  <si>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</si>
  <si>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</si>
  <si>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</si>
  <si>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</si>
  <si>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</si>
  <si>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</si>
  <si>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</si>
  <si>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</si>
  <si>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</si>
  <si>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</si>
  <si>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</si>
  <si>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</si>
  <si>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</si>
  <si>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</si>
  <si>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</si>
  <si>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</si>
  <si>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</si>
  <si>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</si>
  <si>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</si>
  <si>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</si>
  <si>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</si>
  <si>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</si>
  <si>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</si>
  <si>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</si>
  <si>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</si>
  <si>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</si>
  <si>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</si>
  <si>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</si>
  <si>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</si>
  <si>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</si>
  <si>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</si>
  <si>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</si>
  <si>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</si>
  <si>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</si>
  <si>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</si>
  <si>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</si>
  <si>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</si>
  <si>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</si>
  <si>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</si>
  <si>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</si>
  <si>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</si>
  <si>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</si>
  <si>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</si>
  <si>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</si>
  <si>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</si>
  <si>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</si>
  <si>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</si>
  <si>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</si>
  <si>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</si>
  <si>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</si>
  <si>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</si>
  <si>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</si>
  <si>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</si>
  <si>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</si>
  <si>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</si>
  <si>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</si>
  <si>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</si>
  <si>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</si>
  <si>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</si>
  <si>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</si>
  <si>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</si>
  <si>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</si>
  <si>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</si>
  <si>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</si>
  <si>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</si>
  <si>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</si>
  <si>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</si>
  <si>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</si>
  <si>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</si>
  <si>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</si>
  <si>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</si>
  <si>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</si>
  <si>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</si>
  <si>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</si>
  <si>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</si>
  <si>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</si>
  <si>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</si>
  <si>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</si>
  <si>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</si>
  <si>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</si>
  <si>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</si>
  <si>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</si>
  <si>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</si>
  <si>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</si>
  <si>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</si>
  <si>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</si>
  <si>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</si>
  <si>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</si>
  <si>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</si>
  <si>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</si>
  <si>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</si>
  <si>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</si>
  <si>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</si>
  <si>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</si>
  <si>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</si>
  <si>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</si>
  <si>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</si>
  <si>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</si>
  <si>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</si>
  <si>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</si>
  <si>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</si>
  <si>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</si>
  <si>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</si>
  <si>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</si>
  <si>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</si>
  <si>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</si>
  <si>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</si>
  <si>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</si>
  <si>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</si>
  <si>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</si>
  <si>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</si>
  <si>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</si>
  <si>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</si>
  <si>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</si>
  <si>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</si>
  <si>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</si>
  <si>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</si>
  <si>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</si>
  <si>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</si>
  <si>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</si>
  <si>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</si>
  <si>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</si>
  <si>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</si>
  <si>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</si>
  <si>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</si>
  <si>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</si>
  <si>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</si>
  <si>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</si>
  <si>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</si>
  <si>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</si>
  <si>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</si>
  <si>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</si>
  <si>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</si>
  <si>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</si>
  <si>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</si>
  <si>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</si>
  <si>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</si>
  <si>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</si>
  <si>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</si>
  <si>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</si>
  <si>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</si>
  <si>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</si>
  <si>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</si>
  <si>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</si>
  <si>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</si>
  <si>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</si>
  <si>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</si>
  <si>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</si>
  <si>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</si>
  <si>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</si>
  <si>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</si>
  <si>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</si>
  <si>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</si>
  <si>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</si>
  <si>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</si>
  <si>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</si>
  <si>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</si>
  <si>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</si>
  <si>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</si>
  <si>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</si>
  <si>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</si>
  <si>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</si>
  <si>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</si>
  <si>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</si>
  <si>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</si>
  <si>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</si>
  <si>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</si>
  <si>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</si>
  <si>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</si>
  <si>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</si>
  <si>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</si>
  <si>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</si>
  <si>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</si>
  <si>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</si>
  <si>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</si>
  <si>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</si>
  <si>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</si>
  <si>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</si>
  <si>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</si>
  <si>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</si>
  <si>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</si>
  <si>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</si>
  <si>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</si>
  <si>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</si>
  <si>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</si>
  <si>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</si>
  <si>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</si>
  <si>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</si>
  <si>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</si>
  <si>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</si>
  <si>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</si>
  <si>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</si>
  <si>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</si>
  <si>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</si>
  <si>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</si>
  <si>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</si>
  <si>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</si>
  <si>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</si>
  <si>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</si>
  <si>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</si>
  <si>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</si>
  <si>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</si>
  <si>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</si>
  <si>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</si>
  <si>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</si>
  <si>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</si>
  <si>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</si>
  <si>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</si>
  <si>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</si>
  <si>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</si>
  <si>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</si>
  <si>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</si>
  <si>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</si>
  <si>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</si>
  <si>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</si>
  <si>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</si>
  <si>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</si>
  <si>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</si>
  <si>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</si>
  <si>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</si>
  <si>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</si>
  <si>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</si>
  <si>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</si>
  <si>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</si>
  <si>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</si>
  <si>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</si>
  <si>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</si>
  <si>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</si>
  <si>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</si>
  <si>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</si>
  <si>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</si>
  <si>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</si>
  <si>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</si>
  <si>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</si>
  <si>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</si>
  <si>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</si>
  <si>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</si>
  <si>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</si>
  <si>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</si>
  <si>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</si>
  <si>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</si>
  <si>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</si>
  <si>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</si>
  <si>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</si>
  <si>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</si>
  <si>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</si>
  <si>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</si>
  <si>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</si>
  <si>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</si>
  <si>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</si>
  <si>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</si>
  <si>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</si>
  <si>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</si>
  <si>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</si>
  <si>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</si>
  <si>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</si>
  <si>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</si>
  <si>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</si>
  <si>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</si>
  <si>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</si>
  <si>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</si>
  <si>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</si>
  <si>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</si>
  <si>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</si>
  <si>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</si>
  <si>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</si>
  <si>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</si>
  <si>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</si>
  <si>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</si>
  <si>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</si>
  <si>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</si>
  <si>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</si>
  <si>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</si>
  <si>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</si>
  <si>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</si>
  <si>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</si>
  <si>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</si>
  <si>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</si>
  <si>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</si>
  <si>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</si>
  <si>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</si>
  <si>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</si>
  <si>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</si>
  <si>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</si>
  <si>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</si>
  <si>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</si>
  <si>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</si>
  <si>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</si>
  <si>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</si>
  <si>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</si>
  <si>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</si>
  <si>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</si>
  <si>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</si>
  <si>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</si>
  <si>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</si>
  <si>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</si>
  <si>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</si>
  <si>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</si>
  <si>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</si>
  <si>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</si>
  <si>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</si>
  <si>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</si>
  <si>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</si>
  <si>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</si>
  <si>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</si>
  <si>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</si>
  <si>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</si>
  <si>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</si>
  <si>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</si>
  <si>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</si>
  <si>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</si>
  <si>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</si>
  <si>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</si>
  <si>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</si>
  <si>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</si>
  <si>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</si>
  <si>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</si>
  <si>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</si>
  <si>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</si>
  <si>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</si>
  <si>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</si>
  <si>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</si>
  <si>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</si>
  <si>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</si>
  <si>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</si>
  <si>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</si>
  <si>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</si>
  <si>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</si>
  <si>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</si>
  <si>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</si>
  <si>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</si>
  <si>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</si>
  <si>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</si>
  <si>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</si>
  <si>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</si>
  <si>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</si>
  <si>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</si>
  <si>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</si>
  <si>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</si>
  <si>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</si>
  <si>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</si>
  <si>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</si>
  <si>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</si>
  <si>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</si>
  <si>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</si>
  <si>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</si>
  <si>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</si>
  <si>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</si>
  <si>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</si>
  <si>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</si>
  <si>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</si>
  <si>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</si>
  <si>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</si>
  <si>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</si>
  <si>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</si>
  <si>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</si>
  <si>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</si>
  <si>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</si>
  <si>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</si>
  <si>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</si>
  <si>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</si>
  <si>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</si>
  <si>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</si>
  <si>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</si>
  <si>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</si>
  <si>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</si>
  <si>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</si>
  <si>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</si>
  <si>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</si>
  <si>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</si>
  <si>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</si>
  <si>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</si>
  <si>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</si>
  <si>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</si>
  <si>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</si>
  <si>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</si>
  <si>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</si>
  <si>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</si>
  <si>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</si>
  <si>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</si>
  <si>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</si>
  <si>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</si>
  <si>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</si>
  <si>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</si>
  <si>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</si>
  <si>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</si>
  <si>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</si>
  <si>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</si>
  <si>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</si>
  <si>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</si>
  <si>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</si>
  <si>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</si>
  <si>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</si>
  <si>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</si>
  <si>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</si>
  <si>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</si>
  <si>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</si>
  <si>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</si>
  <si>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</si>
  <si>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</si>
  <si>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</si>
  <si>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</si>
  <si>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</si>
  <si>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</si>
  <si>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</si>
  <si>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</si>
  <si>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</si>
  <si>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</si>
  <si>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</si>
  <si>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</si>
  <si>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</si>
  <si>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</si>
  <si>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</si>
  <si>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</si>
  <si>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</si>
  <si>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</si>
  <si>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</si>
  <si>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</si>
  <si>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</si>
  <si>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</si>
  <si>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</si>
  <si>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</si>
  <si>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</si>
  <si>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</si>
  <si>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</si>
  <si>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</si>
  <si>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</si>
  <si>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</si>
  <si>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</si>
  <si>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</si>
  <si>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</si>
  <si>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</si>
  <si>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</si>
  <si>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</si>
  <si>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</si>
  <si>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</si>
  <si>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</si>
  <si>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</si>
  <si>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</si>
  <si>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</si>
  <si>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</si>
  <si>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</si>
  <si>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</si>
  <si>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</si>
  <si>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</si>
  <si>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</si>
  <si>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</si>
  <si>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</si>
  <si>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</si>
  <si>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</si>
  <si>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</si>
  <si>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</si>
  <si>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</si>
  <si>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</si>
  <si>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</si>
  <si>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</si>
  <si>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</si>
  <si>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</si>
  <si>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</si>
  <si>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</si>
  <si>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</si>
  <si>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</si>
  <si>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</si>
  <si>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</si>
  <si>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</si>
  <si>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</si>
  <si>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</si>
  <si>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</si>
  <si>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</si>
  <si>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</si>
  <si>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</si>
  <si>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</si>
  <si>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</si>
  <si>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</si>
  <si>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</si>
  <si>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</si>
  <si>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</si>
  <si>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</si>
  <si>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</si>
  <si>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</si>
  <si>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</si>
  <si>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</si>
  <si>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</si>
  <si>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</si>
  <si>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</si>
  <si>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</si>
  <si>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</si>
  <si>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</si>
  <si>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</si>
  <si>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</si>
  <si>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</si>
  <si>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</si>
  <si>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</si>
  <si>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</si>
  <si>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</si>
  <si>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</si>
  <si>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</si>
  <si>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</si>
  <si>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</si>
  <si>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</si>
  <si>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</si>
  <si>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</si>
  <si>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</si>
  <si>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</si>
  <si>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</si>
  <si>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</si>
  <si>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</si>
  <si>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</si>
  <si>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</si>
  <si>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</si>
  <si>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</si>
  <si>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</si>
  <si>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</si>
  <si>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</si>
  <si>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</si>
  <si>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</si>
  <si>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</si>
  <si>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</si>
  <si>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</si>
  <si>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</si>
  <si>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</si>
  <si>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</si>
  <si>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</si>
  <si>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</si>
  <si>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</si>
  <si>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</si>
  <si>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</si>
  <si>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</si>
  <si>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</si>
  <si>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</si>
  <si>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</si>
  <si>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</si>
  <si>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</si>
  <si>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</si>
  <si>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</si>
  <si>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</si>
  <si>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</si>
  <si>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</si>
  <si>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</si>
  <si>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</si>
  <si>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</si>
  <si>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</si>
  <si>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</si>
  <si>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</si>
  <si>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</si>
  <si>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</si>
  <si>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</si>
  <si>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</si>
  <si>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</si>
  <si>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</si>
  <si>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</si>
  <si>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</si>
  <si>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</si>
  <si>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</si>
  <si>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</si>
  <si>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</si>
  <si>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</si>
  <si>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</si>
  <si>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</si>
  <si>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</si>
  <si>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</si>
  <si>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</si>
  <si>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</si>
  <si>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</si>
  <si>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</si>
  <si>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</si>
  <si>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</si>
  <si>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</si>
  <si>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</si>
  <si>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</si>
  <si>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</si>
  <si>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</si>
  <si>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</si>
  <si>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</si>
  <si>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</si>
  <si>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</si>
  <si>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</si>
  <si>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</si>
  <si>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</si>
  <si>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</si>
  <si>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</si>
  <si>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</si>
  <si>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</si>
  <si>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</si>
  <si>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</si>
  <si>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</si>
  <si>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</si>
  <si>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</si>
  <si>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</si>
  <si>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</si>
  <si>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</si>
  <si>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</si>
  <si>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</si>
  <si>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</si>
  <si>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</si>
  <si>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</si>
  <si>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</si>
  <si>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</si>
  <si>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</si>
  <si>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</si>
  <si>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</si>
  <si>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</si>
  <si>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</si>
  <si>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</si>
  <si>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</si>
  <si>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</si>
  <si>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</si>
  <si>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</si>
  <si>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</si>
  <si>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</si>
  <si>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</si>
  <si>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</si>
  <si>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</si>
  <si>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</si>
  <si>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</si>
  <si>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</si>
  <si>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</si>
  <si>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</si>
  <si>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</si>
  <si>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</si>
  <si>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</si>
  <si>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</si>
  <si>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</si>
  <si>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</si>
  <si>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</si>
  <si>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</si>
  <si>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</si>
  <si>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</si>
  <si>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</si>
  <si>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</si>
  <si>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</si>
  <si>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</si>
  <si>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</si>
  <si>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</si>
  <si>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</si>
  <si>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</si>
  <si>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</si>
  <si>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</si>
  <si>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</si>
  <si>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</si>
  <si>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</si>
  <si>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</si>
  <si>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</si>
  <si>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</si>
  <si>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</si>
  <si>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</si>
  <si>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</si>
  <si>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</si>
  <si>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</si>
  <si>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</si>
  <si>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</si>
  <si>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</si>
  <si>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</si>
  <si>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</si>
  <si>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</si>
  <si>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</si>
  <si>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</si>
  <si>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</si>
  <si>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</si>
  <si>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</si>
  <si>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</si>
  <si>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</si>
  <si>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</si>
  <si>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</si>
  <si>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</si>
  <si>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</si>
  <si>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</si>
  <si>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</si>
  <si>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</si>
  <si>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</si>
  <si>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</si>
  <si>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</si>
  <si>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</si>
  <si>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</si>
  <si>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</si>
  <si>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</si>
  <si>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</si>
  <si>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</si>
  <si>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</si>
  <si>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</si>
  <si>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</si>
  <si>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</si>
  <si>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</si>
  <si>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</si>
  <si>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</si>
  <si>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</si>
  <si>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</si>
  <si>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</si>
  <si>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</si>
  <si>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</si>
  <si>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</si>
  <si>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</si>
  <si>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</si>
  <si>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</si>
  <si>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</si>
  <si>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</si>
  <si>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</si>
  <si>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</si>
  <si>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</si>
  <si>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</si>
  <si>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</si>
  <si>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</si>
  <si>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</si>
  <si>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</si>
  <si>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</si>
  <si>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</si>
  <si>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</si>
  <si>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</si>
  <si>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</si>
  <si>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</si>
  <si>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</si>
  <si>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</si>
  <si>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</si>
  <si>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</si>
  <si>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</si>
  <si>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</si>
  <si>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</si>
  <si>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</si>
  <si>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</si>
  <si>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</si>
  <si>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</si>
  <si>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</si>
  <si>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</si>
  <si>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</si>
  <si>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</si>
  <si>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</si>
  <si>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</si>
  <si>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</si>
  <si>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</si>
  <si>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</si>
  <si>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</si>
  <si>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</si>
  <si>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</si>
  <si>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</si>
  <si>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</si>
  <si>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</si>
  <si>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</si>
  <si>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</si>
  <si>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</si>
  <si>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</si>
  <si>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</si>
  <si>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</si>
  <si>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</si>
  <si>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</si>
  <si>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</si>
  <si>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</si>
  <si>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</si>
  <si>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</si>
  <si>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</si>
  <si>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</si>
  <si>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</si>
  <si>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</si>
  <si>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</si>
  <si>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</si>
  <si>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</si>
  <si>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</si>
  <si>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</si>
  <si>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</si>
  <si>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</si>
  <si>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</si>
  <si>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</si>
  <si>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</si>
  <si>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</si>
  <si>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</si>
  <si>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</si>
  <si>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</si>
  <si>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</si>
  <si>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</si>
  <si>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</si>
  <si>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</si>
  <si>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</si>
  <si>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</si>
  <si>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</si>
  <si>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</si>
  <si>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</si>
  <si>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</si>
  <si>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</si>
  <si>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</si>
  <si>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</si>
  <si>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</si>
  <si>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</si>
  <si>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</si>
  <si>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</si>
  <si>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</si>
  <si>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</si>
  <si>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</si>
  <si>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</si>
  <si>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</si>
  <si>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</si>
  <si>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</si>
  <si>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</si>
  <si>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</si>
  <si>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</si>
  <si>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</si>
  <si>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</si>
  <si>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</si>
  <si>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</si>
  <si>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</si>
  <si>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</si>
  <si>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</si>
  <si>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</si>
  <si>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</si>
  <si>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</si>
  <si>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</si>
  <si>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</si>
  <si>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</si>
  <si>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</si>
  <si>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</si>
  <si>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</si>
  <si>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</si>
  <si>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</si>
  <si>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</si>
  <si>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</si>
  <si>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</si>
  <si>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</si>
  <si>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</si>
  <si>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</si>
  <si>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</si>
  <si>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</si>
  <si>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</si>
  <si>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</si>
  <si>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</si>
  <si>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</si>
  <si>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</si>
  <si>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</si>
  <si>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</si>
  <si>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</si>
  <si>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</si>
  <si>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</si>
  <si>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</si>
  <si>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</si>
  <si>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</si>
  <si>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</si>
  <si>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</si>
  <si>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</si>
  <si>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</si>
  <si>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</si>
  <si>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</si>
  <si>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</si>
  <si>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</si>
  <si>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</si>
  <si>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</si>
  <si>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</si>
  <si>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</si>
  <si>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</si>
  <si>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</si>
  <si>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</si>
  <si>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</si>
  <si>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</si>
  <si>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</si>
  <si>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</si>
  <si>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</si>
  <si>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</si>
  <si>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</si>
  <si>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</si>
  <si>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</si>
  <si>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</si>
  <si>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</si>
  <si>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</si>
  <si>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</si>
  <si>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</si>
  <si>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</si>
  <si>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</si>
  <si>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</si>
  <si>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</si>
  <si>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</si>
  <si>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</si>
  <si>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</si>
  <si>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</si>
  <si>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</si>
  <si>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</si>
  <si>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</si>
  <si>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</si>
  <si>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</si>
  <si>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</si>
  <si>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</si>
  <si>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</si>
  <si>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</si>
  <si>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</si>
  <si>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</si>
  <si>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</si>
  <si>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</si>
  <si>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</si>
  <si>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</si>
  <si>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</si>
  <si>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</si>
  <si>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</si>
  <si>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</si>
  <si>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</si>
  <si>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</si>
  <si>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</si>
  <si>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</si>
  <si>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</si>
  <si>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</si>
  <si>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</si>
  <si>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</si>
  <si>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</si>
  <si>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</si>
  <si>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</si>
  <si>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</si>
  <si>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</si>
  <si>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</si>
  <si>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</si>
  <si>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</si>
  <si>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</si>
  <si>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</si>
  <si>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</si>
  <si>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</si>
  <si>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</si>
  <si>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</si>
  <si>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</si>
  <si>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</si>
  <si>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</si>
  <si>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</si>
  <si>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</si>
  <si>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</si>
  <si>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</si>
  <si>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</si>
  <si>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</si>
  <si>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</si>
  <si>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</si>
  <si>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</si>
  <si>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</si>
  <si>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</si>
  <si>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</si>
  <si>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</si>
  <si>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</si>
  <si>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</si>
  <si>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</si>
  <si>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</si>
  <si>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</si>
  <si>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</si>
  <si>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</si>
  <si>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</si>
  <si>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</si>
  <si>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</si>
  <si>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</si>
  <si>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</si>
  <si>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</si>
  <si>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</si>
  <si>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</si>
  <si>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</si>
  <si>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</si>
  <si>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</si>
  <si>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</si>
  <si>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</si>
  <si>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</si>
  <si>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</si>
  <si>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</si>
  <si>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</si>
  <si>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</si>
  <si>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</si>
  <si>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</si>
  <si>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</si>
  <si>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</si>
  <si>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</si>
  <si>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</si>
  <si>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</si>
  <si>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</si>
  <si>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</si>
  <si>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</si>
  <si>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</si>
  <si>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</si>
  <si>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</si>
  <si>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</si>
  <si>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</si>
  <si>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</si>
  <si>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</si>
  <si>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</si>
  <si>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</si>
  <si>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</si>
  <si>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</si>
  <si>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</si>
  <si>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</si>
  <si>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</si>
  <si>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</si>
  <si>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</si>
  <si>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</si>
  <si>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</si>
  <si>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</si>
  <si>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</si>
  <si>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</si>
  <si>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</si>
  <si>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</si>
  <si>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</si>
  <si>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</si>
  <si>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</si>
  <si>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</si>
  <si>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</si>
  <si>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</si>
  <si>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</si>
  <si>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</si>
  <si>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</si>
  <si>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</si>
  <si>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</si>
  <si>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</si>
  <si>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</si>
  <si>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</si>
  <si>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</si>
  <si>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</si>
  <si>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</si>
  <si>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</si>
  <si>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</si>
  <si>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</si>
  <si>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</si>
  <si>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</si>
  <si>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</si>
  <si>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</si>
  <si>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</si>
  <si>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</si>
  <si>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</si>
  <si>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</si>
  <si>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</si>
  <si>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</si>
  <si>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</si>
  <si>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</si>
  <si>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</si>
  <si>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</si>
  <si>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</si>
  <si>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</si>
  <si>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</si>
  <si>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</si>
  <si>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</si>
  <si>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</si>
  <si>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</si>
  <si>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</si>
  <si>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</si>
  <si>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</si>
  <si>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</si>
  <si>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</si>
  <si>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</si>
  <si>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</si>
  <si>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</si>
  <si>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</si>
  <si>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</si>
  <si>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</si>
  <si>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</si>
  <si>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</si>
  <si>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</si>
  <si>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</si>
  <si>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</si>
  <si>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</si>
  <si>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</si>
  <si>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</si>
  <si>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</si>
  <si>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</si>
  <si>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</si>
  <si>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</si>
  <si>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</si>
  <si>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</si>
  <si>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</si>
  <si>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</si>
  <si>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</si>
  <si>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</si>
  <si>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</si>
  <si>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</si>
  <si>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</si>
  <si>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</si>
  <si>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</si>
  <si>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</si>
  <si>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</si>
  <si>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</si>
  <si>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</si>
  <si>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</si>
  <si>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</si>
  <si>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</si>
  <si>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</si>
  <si>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</si>
  <si>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</si>
  <si>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</si>
  <si>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</si>
  <si>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</si>
  <si>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</si>
  <si>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</si>
  <si>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</si>
  <si>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</si>
  <si>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</si>
  <si>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</si>
  <si>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</si>
  <si>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</si>
  <si>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</si>
  <si>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</si>
  <si>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</si>
  <si>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</si>
  <si>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</si>
  <si>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</si>
  <si>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</si>
  <si>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</si>
  <si>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</si>
  <si>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</si>
  <si>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</si>
  <si>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</si>
  <si>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</si>
  <si>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</si>
  <si>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</si>
  <si>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</si>
  <si>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</si>
  <si>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</si>
  <si>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</si>
  <si>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</si>
  <si>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</si>
  <si>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</si>
  <si>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</si>
  <si>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</si>
  <si>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</si>
  <si>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</si>
  <si>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</si>
  <si>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</si>
  <si>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</si>
  <si>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</si>
  <si>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</si>
  <si>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</si>
  <si>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</si>
  <si>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</si>
  <si>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</si>
  <si>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</si>
  <si>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</si>
  <si>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</si>
  <si>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</si>
  <si>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</si>
  <si>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</si>
  <si>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</si>
  <si>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</si>
  <si>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</si>
  <si>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</si>
  <si>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</si>
  <si>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</si>
  <si>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</si>
  <si>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</si>
  <si>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</si>
  <si>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</si>
  <si>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</si>
  <si>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</si>
  <si>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</si>
  <si>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</si>
  <si>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</si>
  <si>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</si>
  <si>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</si>
  <si>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</si>
  <si>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</si>
  <si>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</si>
  <si>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</si>
  <si>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</si>
  <si>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</si>
  <si>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</si>
  <si>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</si>
  <si>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</si>
  <si>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</si>
  <si>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</si>
  <si>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</si>
  <si>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</si>
  <si>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</si>
  <si>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</si>
  <si>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</si>
  <si>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</si>
  <si>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</si>
  <si>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</si>
  <si>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</si>
  <si>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</si>
  <si>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</si>
  <si>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</si>
  <si>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</si>
  <si>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</si>
  <si>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</si>
  <si>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</si>
  <si>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</si>
  <si>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</si>
  <si>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</si>
  <si>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</si>
  <si>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</si>
  <si>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</si>
  <si>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</si>
  <si>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</si>
  <si>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</si>
  <si>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</si>
  <si>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</si>
  <si>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</si>
  <si>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</si>
  <si>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</si>
  <si>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</si>
  <si>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</si>
  <si>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</si>
  <si>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</si>
  <si>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</si>
  <si>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</si>
  <si>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</si>
  <si>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</si>
  <si>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</si>
  <si>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</si>
  <si>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</si>
  <si>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</si>
  <si>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</si>
  <si>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</si>
  <si>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</si>
  <si>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</si>
  <si>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</si>
  <si>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</si>
  <si>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</si>
  <si>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</si>
  <si>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</si>
  <si>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</si>
  <si>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</si>
  <si>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</si>
  <si>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</si>
  <si>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</si>
  <si>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</si>
  <si>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</si>
  <si>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</si>
  <si>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</si>
  <si>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</si>
  <si>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</si>
  <si>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</si>
  <si>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</si>
  <si>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</si>
  <si>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</si>
  <si>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</si>
  <si>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</si>
  <si>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</si>
  <si>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</si>
  <si>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</si>
  <si>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</si>
  <si>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</si>
  <si>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</si>
  <si>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</si>
  <si>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</si>
  <si>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</si>
  <si>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</si>
  <si>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</si>
  <si>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</si>
  <si>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</si>
  <si>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</si>
  <si>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</si>
  <si>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</si>
  <si>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</si>
  <si>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</si>
  <si>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</si>
  <si>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</si>
  <si>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</si>
  <si>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</si>
  <si>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</si>
  <si>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</si>
  <si>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</si>
  <si>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</si>
  <si>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</si>
  <si>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</si>
  <si>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</si>
  <si>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</si>
  <si>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</si>
  <si>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</si>
  <si>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</si>
  <si>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</si>
  <si>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</si>
  <si>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</si>
  <si>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</si>
  <si>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</si>
  <si>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</si>
  <si>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</si>
  <si>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</si>
  <si>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</si>
  <si>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</si>
  <si>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</si>
  <si>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</si>
  <si>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</si>
  <si>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</si>
  <si>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</si>
  <si>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</si>
  <si>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</si>
  <si>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</si>
  <si>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</si>
  <si>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</si>
  <si>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</si>
  <si>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</si>
  <si>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</si>
  <si>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</si>
  <si>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</si>
  <si>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</si>
  <si>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</si>
  <si>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</si>
  <si>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</si>
  <si>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</si>
  <si>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</si>
  <si>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</si>
  <si>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</si>
  <si>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</si>
  <si>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</si>
  <si>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</si>
  <si>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</si>
  <si>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</si>
  <si>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</si>
  <si>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</si>
  <si>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</si>
  <si>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</si>
  <si>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</si>
  <si>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</si>
  <si>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</si>
  <si>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</si>
  <si>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</si>
  <si>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</si>
  <si>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</si>
  <si>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</si>
  <si>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</si>
  <si>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</si>
  <si>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</si>
  <si>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</si>
  <si>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</si>
  <si>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</si>
  <si>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</si>
  <si>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</si>
  <si>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</si>
  <si>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</si>
  <si>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</si>
  <si>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</si>
  <si>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</si>
  <si>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</si>
  <si>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</si>
  <si>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</si>
  <si>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</si>
  <si>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</si>
  <si>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</si>
  <si>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</si>
  <si>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</si>
  <si>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</si>
  <si>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</si>
  <si>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</si>
  <si>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</si>
  <si>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</si>
  <si>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</si>
  <si>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</si>
  <si>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</si>
  <si>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</si>
  <si>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</si>
  <si>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</si>
  <si>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</si>
  <si>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</si>
  <si>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</si>
  <si>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</si>
  <si>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</si>
  <si>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</si>
  <si>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</si>
  <si>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</si>
  <si>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</si>
  <si>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</si>
  <si>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</si>
  <si>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</si>
  <si>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</si>
  <si>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</si>
  <si>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</si>
  <si>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</si>
  <si>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</si>
  <si>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</si>
  <si>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</si>
  <si>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</si>
  <si>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</si>
  <si>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</si>
  <si>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</si>
  <si>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</si>
  <si>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</si>
  <si>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</si>
  <si>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</si>
  <si>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</si>
  <si>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</si>
  <si>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</si>
  <si>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</si>
  <si>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</si>
  <si>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</si>
  <si>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</si>
  <si>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</si>
  <si>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</si>
  <si>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</si>
  <si>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</si>
  <si>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</si>
  <si>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</si>
  <si>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</si>
  <si>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</si>
  <si>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</si>
  <si>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</si>
  <si>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</si>
  <si>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</si>
  <si>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</si>
  <si>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</si>
  <si>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</si>
  <si>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</si>
  <si>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</si>
  <si>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</si>
  <si>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</si>
  <si>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</si>
  <si>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</si>
  <si>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</si>
  <si>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</si>
  <si>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</si>
  <si>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</si>
  <si>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</si>
  <si>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</si>
  <si>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</si>
  <si>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</si>
  <si>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</si>
  <si>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</si>
  <si>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</si>
  <si>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</si>
  <si>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</si>
  <si>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</si>
  <si>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</si>
  <si>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</si>
  <si>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</si>
  <si>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</si>
  <si>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</si>
  <si>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</si>
  <si>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</si>
  <si>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</si>
  <si>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</si>
  <si>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</si>
  <si>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</si>
  <si>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</si>
  <si>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</si>
  <si>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</si>
  <si>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</si>
  <si>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</si>
  <si>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</si>
  <si>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</si>
  <si>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</si>
  <si>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</si>
  <si>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</si>
  <si>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</si>
  <si>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</si>
  <si>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</si>
  <si>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</si>
  <si>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</si>
  <si>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</si>
  <si>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</si>
  <si>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</si>
  <si>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</si>
  <si>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</si>
  <si>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</si>
  <si>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</si>
  <si>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</si>
  <si>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</si>
  <si>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</si>
  <si>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</si>
  <si>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</si>
  <si>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</si>
  <si>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</si>
  <si>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</si>
  <si>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</si>
  <si>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</si>
  <si>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</si>
  <si>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</si>
  <si>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</si>
  <si>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</si>
  <si>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</si>
  <si>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</si>
  <si>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</si>
  <si>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</si>
  <si>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</si>
  <si>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</si>
  <si>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</si>
  <si>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</si>
  <si>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</si>
  <si>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</si>
  <si>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</si>
  <si>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</si>
  <si>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</si>
  <si>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</si>
  <si>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</si>
  <si>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</si>
  <si>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</si>
  <si>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</si>
  <si>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</si>
  <si>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</si>
  <si>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</si>
  <si>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</si>
  <si>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</si>
  <si>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</si>
  <si>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</si>
  <si>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</si>
  <si>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</si>
  <si>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</si>
  <si>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</si>
  <si>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</si>
  <si>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</si>
  <si>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</si>
  <si>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</si>
  <si>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</si>
  <si>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</si>
  <si>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</si>
  <si>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</si>
  <si>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</si>
  <si>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</si>
  <si>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</si>
  <si>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</si>
  <si>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</si>
  <si>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</si>
  <si>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</si>
  <si>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</si>
  <si>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</si>
  <si>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</si>
  <si>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</si>
  <si>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</si>
  <si>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</si>
  <si>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</si>
  <si>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现房</t>
  </si>
  <si>
    <t>是</t>
  </si>
  <si>
    <t>地下</t>
  </si>
  <si>
    <t>未包含在土地购买价格中</t>
  </si>
  <si>
    <t>全部缴纳</t>
  </si>
  <si>
    <t>已包含在土地取得成本中</t>
  </si>
  <si>
    <t>不临65条商业街</t>
  </si>
  <si>
    <t>通路</t>
  </si>
  <si>
    <t>通电</t>
  </si>
  <si>
    <t>通讯</t>
  </si>
  <si>
    <t>通上水</t>
  </si>
  <si>
    <t>通下水</t>
  </si>
  <si>
    <t>平整</t>
  </si>
  <si>
    <t>成新度</t>
  </si>
  <si>
    <t>钢混</t>
  </si>
  <si>
    <t>非生产用房</t>
  </si>
  <si>
    <t>否</t>
  </si>
  <si>
    <t>成本法</t>
  </si>
  <si>
    <t>成本比率</t>
  </si>
  <si>
    <t>商业项目</t>
  </si>
  <si>
    <t>地下商业</t>
  </si>
  <si>
    <t>押一</t>
  </si>
  <si>
    <t>与级别开发程度不一致</t>
  </si>
  <si>
    <t>较好</t>
  </si>
  <si>
    <t>一般</t>
  </si>
  <si>
    <t>北京市</t>
  </si>
  <si>
    <t>企业</t>
  </si>
  <si>
    <t>郑燚</t>
  </si>
  <si>
    <t>地上</t>
  </si>
  <si>
    <t>工业</t>
    <phoneticPr fontId="7" type="noConversion"/>
  </si>
  <si>
    <t>Ⅶ-兴2</t>
  </si>
  <si>
    <t>容积率修正</t>
  </si>
  <si>
    <t>较差</t>
  </si>
  <si>
    <t>收益法</t>
  </si>
  <si>
    <t>地块名称</t>
  </si>
  <si>
    <t>城市</t>
  </si>
  <si>
    <t>地块编号</t>
  </si>
  <si>
    <t>用地性质</t>
  </si>
  <si>
    <t>建设用地面积(㎡)</t>
  </si>
  <si>
    <t>规划建筑面积(㎡)</t>
  </si>
  <si>
    <t>容积率</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</si>
  <si>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</si>
  <si>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</si>
  <si>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</si>
  <si>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</si>
  <si>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</si>
  <si>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</si>
  <si>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</si>
  <si>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</si>
  <si>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</si>
  <si>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</si>
  <si>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</si>
  <si>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</si>
  <si>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</si>
  <si>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</si>
  <si>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</si>
  <si>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</si>
  <si>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</si>
  <si>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</si>
  <si>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</si>
  <si>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</si>
  <si>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</si>
  <si>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</si>
  <si>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</si>
  <si>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</si>
  <si>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</si>
  <si>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</si>
  <si>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</si>
  <si>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</si>
  <si>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</si>
  <si>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</si>
  <si>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</si>
  <si>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</si>
  <si>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</si>
  <si>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</si>
  <si>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</si>
  <si>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</si>
  <si>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</si>
  <si>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</si>
  <si>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</si>
  <si>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</si>
  <si>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</si>
  <si>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</si>
  <si>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</si>
  <si>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</si>
  <si>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</si>
  <si>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</si>
  <si>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</si>
  <si>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</si>
  <si>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</si>
  <si>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</si>
  <si>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</si>
  <si>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</si>
  <si>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</si>
  <si>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</si>
  <si>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</si>
  <si>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</si>
  <si>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</si>
  <si>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</si>
  <si>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</si>
  <si>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</si>
  <si>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</si>
  <si>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</si>
  <si>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</si>
  <si>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</si>
  <si>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</si>
  <si>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</si>
  <si>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</si>
  <si>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</si>
  <si>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</si>
  <si>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</si>
  <si>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</si>
  <si>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</si>
  <si>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</si>
  <si>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</si>
  <si>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</si>
  <si>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</si>
  <si>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</si>
  <si>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</si>
  <si>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</si>
  <si>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</si>
  <si>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</si>
  <si>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</si>
  <si>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</si>
  <si>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</si>
  <si>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</si>
  <si>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</si>
  <si>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</si>
  <si>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</si>
  <si>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</si>
  <si>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</si>
  <si>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</si>
  <si>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</si>
  <si>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</si>
  <si>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</si>
  <si>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</si>
  <si>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</si>
  <si>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</si>
  <si>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</si>
  <si>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</si>
  <si>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</si>
  <si>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</si>
  <si>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</si>
  <si>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</si>
  <si>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</si>
  <si>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</si>
  <si>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</si>
  <si>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</si>
  <si>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</si>
  <si>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</si>
  <si>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</si>
  <si>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</si>
  <si>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</si>
  <si>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</si>
  <si>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</si>
  <si>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</si>
  <si>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</si>
  <si>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</si>
  <si>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</si>
  <si>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</si>
  <si>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</si>
  <si>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</si>
  <si>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</si>
  <si>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</si>
  <si>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</si>
  <si>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</si>
  <si>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</si>
  <si>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</si>
  <si>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</si>
  <si>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</si>
  <si>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</si>
  <si>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</si>
  <si>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</si>
  <si>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</si>
  <si>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</si>
  <si>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</si>
  <si>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</si>
  <si>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</si>
  <si>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</si>
  <si>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</si>
  <si>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</si>
  <si>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</si>
  <si>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</si>
  <si>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</si>
  <si>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</si>
  <si>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</si>
  <si>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</si>
  <si>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</si>
  <si>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</si>
  <si>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</si>
  <si>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</si>
  <si>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</si>
  <si>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</si>
  <si>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</si>
  <si>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</si>
  <si>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</si>
  <si>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</si>
  <si>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</si>
  <si>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</si>
  <si>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</si>
  <si>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</si>
  <si>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</si>
  <si>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</si>
  <si>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</si>
  <si>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</si>
  <si>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</si>
  <si>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</si>
  <si>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</si>
  <si>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</si>
  <si>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</si>
  <si>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</si>
  <si>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</si>
  <si>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</si>
  <si>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</si>
  <si>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</si>
  <si>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</si>
  <si>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</si>
  <si>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</si>
  <si>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</si>
  <si>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</si>
  <si>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</si>
  <si>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</si>
  <si>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</si>
  <si>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</si>
  <si>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</si>
  <si>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</si>
  <si>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</si>
  <si>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</si>
  <si>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</si>
  <si>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</si>
  <si>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</si>
  <si>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</si>
  <si>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</si>
  <si>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</si>
  <si>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</si>
  <si>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</si>
  <si>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</si>
  <si>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32" type="noConversion"/>
  </si>
  <si>
    <t>高速路</t>
    <phoneticPr fontId="32" type="noConversion"/>
  </si>
  <si>
    <t>城市快速路</t>
    <phoneticPr fontId="32" type="noConversion"/>
  </si>
  <si>
    <t>城市主干道</t>
    <phoneticPr fontId="32" type="noConversion"/>
  </si>
  <si>
    <t>城市次干道</t>
    <phoneticPr fontId="32" type="noConversion"/>
  </si>
  <si>
    <t>支路</t>
    <phoneticPr fontId="32" type="noConversion"/>
  </si>
  <si>
    <t>楼面地价</t>
  </si>
  <si>
    <t>七通</t>
  </si>
  <si>
    <t>正常</t>
  </si>
  <si>
    <t>五通</t>
  </si>
  <si>
    <t>四通</t>
  </si>
  <si>
    <t>三通</t>
  </si>
  <si>
    <t>车间</t>
    <phoneticPr fontId="3" type="noConversion"/>
  </si>
  <si>
    <t>厂房</t>
    <phoneticPr fontId="3" type="noConversion"/>
  </si>
  <si>
    <t>总价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</si>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</sst>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100" fillId="2" borderId="6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4/&#39033;&#30446;/2024-1-0236-&#20013;&#40718;&#21271;&#36335;&#24037;&#19994;/&#35745;&#31639;&#34920;-&#24503;&#36890;&#21270;&#32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24503;&#36890;&#21270;&#324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8">
          <cell r="C18">
            <v>1.4167000000000001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736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估价对象为北京市房地产，为所有。根据《国有土地使用证》[]，估价对象（分摊）出让国有建设用地使用权面积为929.76平方米，建筑面积为1384.18平方米。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估价对象为北京市房地产,属开发建设的商业项目，该项目尚在开发建设中。根据《国有土地使用证》[]，估价对象（分摊）出让国有建设用地使用权面积为929.76平方米，规划建筑面积为1384.18平方米。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2024年3月27日（评估专业人员实地查勘之日）</v>
      </c>
    </row>
    <row r="13" spans="1:2" s="1202" customFormat="1">
      <c r="A13" s="1200" t="s">
        <v>529</v>
      </c>
      <c r="B13" s="1201"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1126</v>
      </c>
    </row>
    <row r="21" spans="1:2" s="1202" customFormat="1">
      <c r="A21" s="1200" t="s">
        <v>537</v>
      </c>
      <c r="B21" s="1201">
        <f ca="1">'预评函-2'!D7</f>
        <v>8135</v>
      </c>
    </row>
    <row r="22" spans="1:2" s="1202" customFormat="1">
      <c r="A22" s="1200" t="s">
        <v>538</v>
      </c>
      <c r="B22" s="1201" t="str">
        <f ca="1">'预评函-2'!D6</f>
        <v>壹仟壹佰贰拾陆万元整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1126</v>
      </c>
    </row>
    <row r="31" spans="1:2" s="1202" customFormat="1">
      <c r="A31" s="1200" t="s">
        <v>576</v>
      </c>
      <c r="B31" s="1201">
        <f ca="1">'预评函-2'!D15</f>
        <v>8135</v>
      </c>
    </row>
    <row r="32" spans="1:2" s="1202" customFormat="1">
      <c r="A32" s="1200" t="s">
        <v>543</v>
      </c>
      <c r="B32" s="1201" t="str">
        <f ca="1">'预评函-2'!D14</f>
        <v>壹仟壹佰贰拾陆万元整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1384.1800000000003</v>
      </c>
    </row>
    <row r="44" spans="1:2" s="1202" customFormat="1">
      <c r="A44" s="1200" t="s">
        <v>575</v>
      </c>
      <c r="B44" s="1201" t="str">
        <f>'预评函-3'!C2</f>
        <v>(分摊)土地面积</v>
      </c>
    </row>
    <row r="45" spans="1:2" s="1202" customFormat="1">
      <c r="A45" s="1200" t="s">
        <v>547</v>
      </c>
      <c r="B45" s="1201">
        <f>'预评函-3'!C4</f>
        <v>929.76</v>
      </c>
    </row>
    <row r="46" spans="1:2" s="1202" customFormat="1">
      <c r="A46" s="1200" t="s">
        <v>573</v>
      </c>
      <c r="B46" s="1201" t="str">
        <f>'预评函-3'!D2</f>
        <v>出让国有建设用地使用权价值</v>
      </c>
    </row>
    <row r="47" spans="1:2" s="1202" customFormat="1">
      <c r="A47" s="1200" t="s">
        <v>548</v>
      </c>
      <c r="B47" s="1201">
        <f ca="1">'预评函-3'!D4</f>
        <v>776</v>
      </c>
    </row>
    <row r="48" spans="1:2" s="1202" customFormat="1">
      <c r="A48" s="1200" t="s">
        <v>549</v>
      </c>
      <c r="B48" s="1201">
        <f ca="1">'预评函-3'!E4</f>
        <v>5606</v>
      </c>
    </row>
    <row r="49" spans="1:2" s="1202" customFormat="1">
      <c r="A49" s="1200" t="s">
        <v>550</v>
      </c>
      <c r="B49" s="1201" t="str">
        <f ca="1">'预评函-3'!D5</f>
        <v>柒佰柒拾陆万元整</v>
      </c>
    </row>
    <row r="50" spans="1:2" s="1202" customFormat="1">
      <c r="A50" s="1200" t="s">
        <v>574</v>
      </c>
      <c r="B50" s="1201" t="str">
        <f>'预评函-3'!F2</f>
        <v>在建建筑物价值</v>
      </c>
    </row>
    <row r="51" spans="1:2" s="1202" customFormat="1">
      <c r="A51" s="1200" t="s">
        <v>551</v>
      </c>
      <c r="B51" s="1201">
        <f ca="1">'预评函-3'!F4</f>
        <v>350</v>
      </c>
    </row>
    <row r="52" spans="1:2" s="1202" customFormat="1">
      <c r="A52" s="1200" t="s">
        <v>552</v>
      </c>
      <c r="B52" s="1201">
        <f ca="1">'预评函-3'!G4</f>
        <v>2529</v>
      </c>
    </row>
    <row r="53" spans="1:2" s="1202" customFormat="1">
      <c r="A53" s="1200" t="s">
        <v>580</v>
      </c>
      <c r="B53" s="1201" t="str">
        <f ca="1">'预评函-3'!F5</f>
        <v>叁佰伍拾万元整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2579</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2580</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6" t="s">
        <v>2582</v>
      </c>
      <c r="J2" s="3496"/>
      <c r="K2" s="3496"/>
      <c r="L2" s="3496"/>
      <c r="M2" s="3496"/>
      <c r="N2" s="3496"/>
      <c r="O2" s="3496"/>
      <c r="P2" s="3496"/>
      <c r="Q2" s="3496"/>
      <c r="R2" s="3496"/>
    </row>
    <row r="3" spans="1:18">
      <c r="A3" s="3019" t="s">
        <v>2503</v>
      </c>
      <c r="B3" s="3020">
        <f>项目基本情况!D3</f>
        <v>45378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2.73</v>
      </c>
      <c r="D5" s="3024">
        <f>IF(ISERROR(ROUND(POWER(1+E5,A5-C5)*(POWER(1+E5,C5)-1)/(POWER(1+E5,A5)-1),3)),0,ROUND(POWER(1+E5,A5-C5)*(POWER(1+E5,C5)-1)/(POWER(1+E5,A5)-1),4))</f>
        <v>0.1283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12.73</v>
      </c>
      <c r="D6" s="3024">
        <f>IF(ISERROR(ROUND(POWER(1+E6,A6-C6)*(POWER(1+E6,C6)-1)/(POWER(1+E6,A6)-1),3)),0,ROUND(POWER(1+E6,A6-C6)*(POWER(1+E6,C6)-1)/(POWER(1+E6,A6)-1),4))</f>
        <v>0.45739999999999997</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32.75</v>
      </c>
      <c r="D7" s="3024">
        <f>IF(ISERROR(ROUND(POWER(1+E7,A7-C7)*(POWER(1+E7,C7)-1)/(POWER(1+E7,A7)-1),3)),0,ROUND(POWER(1+E7,A7-C7)*(POWER(1+E7,C7)-1)/(POWER(1+E7,A7)-1),4))</f>
        <v>0.77280000000000004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f>D3</f>
        <v>45378</v>
      </c>
      <c r="C3" s="2373" t="s">
        <v>2169</v>
      </c>
      <c r="D3" s="2372">
        <v>45378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3409</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508" t="s">
        <v>2175</v>
      </c>
      <c r="E8" s="2390" t="s">
        <v>3381</v>
      </c>
      <c r="F8" s="2391"/>
      <c r="G8" s="2662"/>
      <c r="H8" s="2662"/>
      <c r="I8" s="2662"/>
      <c r="J8" s="2438"/>
      <c r="K8" s="2613"/>
      <c r="L8" s="2612"/>
      <c r="M8" s="2612"/>
      <c r="N8" s="2438"/>
      <c r="O8" s="2449"/>
      <c r="P8" s="2438"/>
      <c r="Q8" s="2438"/>
      <c r="R8" s="2438"/>
    </row>
    <row r="9" spans="1:30" ht="13.5" thickBot="1">
      <c r="A9" s="2392" t="s">
        <v>2176</v>
      </c>
      <c r="B9" s="2393" t="s">
        <v>3381</v>
      </c>
      <c r="C9" s="2394"/>
      <c r="D9" s="3509"/>
      <c r="E9" s="2393"/>
      <c r="F9" s="2395"/>
      <c r="G9" s="2664"/>
      <c r="H9" s="2664"/>
      <c r="I9" s="2664"/>
      <c r="J9" s="2438"/>
      <c r="K9" s="2615"/>
      <c r="L9" s="2612"/>
      <c r="M9" s="2612"/>
      <c r="N9" s="2438"/>
      <c r="O9" s="2449"/>
      <c r="P9" s="2438"/>
      <c r="Q9" s="2438"/>
      <c r="R9" s="2438"/>
    </row>
    <row r="10" spans="1:30" ht="13.5" thickTop="1">
      <c r="A10" s="2396" t="s">
        <v>2177</v>
      </c>
      <c r="B10" s="2397" t="s">
        <v>3407</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3408</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3334</v>
      </c>
      <c r="B13" s="2406" t="s">
        <v>2188</v>
      </c>
      <c r="C13" s="855"/>
      <c r="D13" s="855"/>
      <c r="E13" s="855"/>
      <c r="F13" s="855"/>
      <c r="G13" s="855"/>
      <c r="H13" s="855">
        <v>59557</v>
      </c>
      <c r="I13" s="855"/>
      <c r="J13" s="3061"/>
      <c r="K13" s="2612"/>
      <c r="L13" s="2612"/>
      <c r="M13" s="2438"/>
      <c r="N13" s="2449"/>
      <c r="O13" s="2438"/>
      <c r="P13" s="2438"/>
      <c r="Q13" s="2438"/>
      <c r="AD13" s="1744"/>
    </row>
    <row r="14" spans="1:30">
      <c r="A14" s="1080"/>
      <c r="B14" s="2406" t="s">
        <v>2189</v>
      </c>
      <c r="C14" s="2407"/>
      <c r="D14" s="2407"/>
      <c r="E14" s="2407"/>
      <c r="F14" s="2407"/>
      <c r="G14" s="2407"/>
      <c r="H14" s="2407">
        <v>50</v>
      </c>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38.840000000000003</v>
      </c>
      <c r="I15" s="2409" t="str">
        <f>IF(A13="出让",IF(I13="","",ROUNDDOWN(MIN((I13-$D$3)/365,I14),2)),I14)</f>
        <v/>
      </c>
      <c r="J15" s="3063"/>
      <c r="K15" s="2450"/>
      <c r="L15" s="2450"/>
      <c r="M15" s="2508"/>
      <c r="N15" s="2450"/>
      <c r="O15" s="2508"/>
      <c r="P15" s="2438"/>
      <c r="Q15" s="2438"/>
      <c r="AD15" s="1744"/>
    </row>
    <row r="16" spans="1:30">
      <c r="A16" s="2399" t="s">
        <v>2191</v>
      </c>
      <c r="B16" s="3515"/>
      <c r="C16" s="3516"/>
      <c r="D16" s="3517"/>
      <c r="E16" s="2412" t="s">
        <v>2192</v>
      </c>
      <c r="F16" s="3518"/>
      <c r="G16" s="3519"/>
      <c r="H16" s="3519"/>
      <c r="I16" s="3520"/>
      <c r="J16" s="2438"/>
      <c r="K16" s="2616"/>
      <c r="L16" s="2450"/>
      <c r="M16" s="2450"/>
      <c r="N16" s="2508"/>
      <c r="O16" s="2450"/>
      <c r="P16" s="2508"/>
      <c r="Q16" s="2438"/>
      <c r="R16" s="2438"/>
    </row>
    <row r="17" spans="1:28">
      <c r="A17" s="312" t="s">
        <v>2193</v>
      </c>
      <c r="B17" s="301" t="s">
        <v>2194</v>
      </c>
      <c r="C17" s="8">
        <f>'数据-汇总表'!E3</f>
        <v>1384.1800000000003</v>
      </c>
      <c r="D17" s="2321" t="s">
        <v>2195</v>
      </c>
      <c r="E17" s="3521" t="s">
        <v>2196</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929.76</v>
      </c>
      <c r="D18" s="1091" t="s">
        <v>2199</v>
      </c>
      <c r="E18" s="3524" t="s">
        <v>2200</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1" t="s">
        <v>2204</v>
      </c>
      <c r="C20" s="3512"/>
      <c r="D20" s="3513" t="s">
        <v>2205</v>
      </c>
      <c r="E20" s="3514"/>
      <c r="F20" s="2646" t="s">
        <v>1056</v>
      </c>
      <c r="G20" s="2663"/>
      <c r="H20" s="2663"/>
      <c r="I20" s="2663"/>
      <c r="J20" s="2438"/>
      <c r="K20" s="3510"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8" t="s">
        <v>2212</v>
      </c>
      <c r="B27" s="319" t="s">
        <v>2213</v>
      </c>
      <c r="C27" s="2415" t="s">
        <v>3401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8"/>
      <c r="B28" s="301"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8"/>
      <c r="B29" s="301"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9"/>
      <c r="B30" s="301" t="s">
        <v>2216</v>
      </c>
      <c r="C30" s="3500"/>
      <c r="D30" s="3501"/>
      <c r="E30" s="2663"/>
      <c r="F30" s="2663"/>
      <c r="G30" s="2663"/>
      <c r="H30" s="2663"/>
      <c r="I30" s="2663"/>
      <c r="J30" s="2438"/>
      <c r="K30" s="2615"/>
      <c r="L30" s="2612"/>
      <c r="M30" s="2612"/>
      <c r="N30" s="2438"/>
      <c r="O30" s="2449"/>
      <c r="P30" s="2438"/>
      <c r="Q30" s="2438"/>
      <c r="R30" s="2438"/>
      <c r="S30" s="2438"/>
      <c r="T30" s="2438"/>
      <c r="U30" s="2438"/>
      <c r="V30" s="2438"/>
    </row>
    <row r="31" spans="1:28">
      <c r="A31" s="3502" t="s">
        <v>2217</v>
      </c>
      <c r="B31" s="2421" t="s">
        <v>3382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t="s">
        <v>3389</v>
      </c>
      <c r="C34" s="2025" t="s">
        <v>3390</v>
      </c>
      <c r="D34" s="2025" t="s">
        <v>3391</v>
      </c>
      <c r="E34" s="2025" t="s">
        <v>3392</v>
      </c>
      <c r="F34" s="2025" t="s">
        <v>3393</v>
      </c>
      <c r="G34" s="2025"/>
      <c r="H34" s="2025" t="s">
        <v>3394</v>
      </c>
      <c r="I34" s="2663"/>
      <c r="J34" s="2438"/>
      <c r="K34" s="2426">
        <f>COUNTIF(B34:H34,"——")</f>
        <v>0</v>
      </c>
      <c r="L34" s="322" t="s">
        <v>2219</v>
      </c>
      <c r="M34" s="322" t="s">
        <v>2220</v>
      </c>
      <c r="N34" s="322" t="s">
        <v>2221</v>
      </c>
      <c r="O34" s="322" t="s">
        <v>2222</v>
      </c>
      <c r="P34" s="322" t="s">
        <v>2223</v>
      </c>
      <c r="Q34" s="322" t="s">
        <v>2224</v>
      </c>
      <c r="R34" s="322" t="s">
        <v>2225</v>
      </c>
      <c r="S34" s="3497" t="s">
        <v>2226</v>
      </c>
      <c r="T34" s="2427" t="str">
        <f>NUMBERSTRING(7-K34,1)&amp;"通"</f>
        <v>七通</v>
      </c>
      <c r="U34" s="2438"/>
      <c r="V34" s="2438"/>
    </row>
    <row r="35" spans="1:30">
      <c r="A35" s="2428"/>
      <c r="B35" s="3504" t="s">
        <v>2227</v>
      </c>
      <c r="C35" s="3504"/>
      <c r="D35" s="3504"/>
      <c r="E35" s="3504"/>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通路、通电、通讯、通上水、通下水、、平整</v>
      </c>
      <c r="S35" s="3497"/>
      <c r="T35" s="328" t="str">
        <f>IF(T34="一通",L35,IF(T34="二通",M35,IF(T34="三通",N35,IF(T34="四通",O35,IF(T34="五通",P35,IF(T34="六通",Q35,R35))))))</f>
        <v>通路、通电、通讯、通上水、通下水、、平整</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3412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5189.7</v>
      </c>
      <c r="B3" s="11">
        <f>IF(C3="否",G5-AT5,G5)</f>
        <v>7726.1900000000005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7726.1900000000005</v>
      </c>
      <c r="H5" s="13">
        <f t="shared" ref="H5:AT5" si="0">SUM(H13:H656)</f>
        <v>7726.1900000000005</v>
      </c>
      <c r="I5" s="13">
        <f t="shared" si="0"/>
        <v>5643.4100000000008</v>
      </c>
      <c r="J5" s="13">
        <f t="shared" si="0"/>
        <v>0</v>
      </c>
      <c r="K5" s="13">
        <f t="shared" si="0"/>
        <v>2082.7800000000002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1384.1800000000003</v>
      </c>
      <c r="BA5" s="15">
        <f t="shared" si="1"/>
        <v>1384.1800000000003</v>
      </c>
      <c r="BB5" s="15">
        <f t="shared" si="1"/>
        <v>1124.3000000000002</v>
      </c>
      <c r="BC5" s="15">
        <f t="shared" si="1"/>
        <v>259.88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5189.7</v>
      </c>
      <c r="F6" s="13" t="s">
        <v>0</v>
      </c>
      <c r="G6" s="13" t="s">
        <v>1</v>
      </c>
      <c r="H6" s="17">
        <f>SUMIF(I$12:AB$12,"总值",I6:AB6)</f>
        <v>5189.7</v>
      </c>
      <c r="I6" s="13">
        <f t="shared" ref="I6:AB6" si="2">ROUND($A$3*I5/$B$3,2)</f>
        <v>3790.69</v>
      </c>
      <c r="J6" s="13">
        <f t="shared" si="2"/>
        <v>0</v>
      </c>
      <c r="K6" s="13">
        <f t="shared" si="2"/>
        <v>1399.01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929.76</v>
      </c>
      <c r="AZ6" s="13" t="s">
        <v>2</v>
      </c>
      <c r="BA6" s="13">
        <f>ROUND($AY$6*BA5/$AZ$5,2)</f>
        <v>929.76</v>
      </c>
      <c r="BB6" s="13">
        <f>ROUND($AY$6*BB5/$AZ$5,2)</f>
        <v>755.2</v>
      </c>
      <c r="BC6" s="13">
        <f t="shared" ref="BC6:BH6" si="4">ROUND($AY$6*BC5/$AZ$5,2)</f>
        <v>174.56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t="s">
        <v>3384</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794" t="s">
        <v>3631</v>
      </c>
      <c r="D13" s="1624" t="s">
        <v>3383</v>
      </c>
      <c r="E13" s="13">
        <f>IF($C$3="是",ROUND($A$3*G13/$B$3,2),ROUND($A$3*(G13-AT13)/$B$3,2))</f>
        <v>929.76</v>
      </c>
      <c r="F13" s="29"/>
      <c r="G13" s="30">
        <f>H13+AC13+AT13</f>
        <v>1384.1800000000003</v>
      </c>
      <c r="H13" s="17">
        <f>SUMIF(I$12:AB$12,"总值",I13:AB13)</f>
        <v>1384.1800000000003</v>
      </c>
      <c r="I13" s="1625">
        <f>1384.18-K13</f>
        <v>1124.3000000000002</v>
      </c>
      <c r="J13" s="1625"/>
      <c r="K13" s="1625">
        <v>259.88</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车间</v>
      </c>
      <c r="AY13" s="1348">
        <f>ROUND($AY$6*AZ13/$AZ$5,2)</f>
        <v>929.76</v>
      </c>
      <c r="AZ13" s="13">
        <f>BA13+BL13</f>
        <v>1384.1800000000003</v>
      </c>
      <c r="BA13" s="13">
        <f>SUM(BB13:BK13)</f>
        <v>1384.1800000000003</v>
      </c>
      <c r="BB13" s="13">
        <f>IF($D13="是",I13-J13,0)</f>
        <v>1124.3000000000002</v>
      </c>
      <c r="BC13" s="13">
        <f>IF($D13="是",K13-L13,0)</f>
        <v>259.88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795" t="s">
        <v>3632</v>
      </c>
      <c r="D14" s="1624" t="s">
        <v>3398</v>
      </c>
      <c r="E14" s="13">
        <f>IF($C$3="是",ROUND($A$3*G14/$B$3,2),ROUND($A$3*(G14-AT14)/$B$3,2))</f>
        <v>4259.9399999999996</v>
      </c>
      <c r="F14" s="29"/>
      <c r="G14" s="30">
        <f>H14+AC14+AT14</f>
        <v>6342.01</v>
      </c>
      <c r="H14" s="17">
        <f>SUMIF(I$12:AB$12,"总值",I14:AB14)</f>
        <v>6342.01</v>
      </c>
      <c r="I14" s="1625">
        <f>6342.01-K14</f>
        <v>4519.1100000000006</v>
      </c>
      <c r="J14" s="1625"/>
      <c r="K14" s="1625">
        <v>1822.9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厂房</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4"/>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1625"/>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6" t="s">
        <v>1131</v>
      </c>
      <c r="B2" s="3536"/>
      <c r="C2" s="3536"/>
      <c r="D2" s="795" t="s">
        <v>1107</v>
      </c>
      <c r="E2" s="1638" t="s">
        <v>1108</v>
      </c>
      <c r="F2" s="2658"/>
      <c r="G2" s="2649"/>
      <c r="H2" s="2650"/>
      <c r="I2" s="2324" t="s">
        <v>1132</v>
      </c>
      <c r="J2" s="2658"/>
      <c r="K2" s="2658"/>
      <c r="L2" s="2658"/>
      <c r="M2" s="2658"/>
      <c r="N2" s="2660"/>
      <c r="O2" s="2658"/>
      <c r="P2" s="2658"/>
    </row>
    <row r="3" spans="1:16" ht="15.75" thickBot="1">
      <c r="A3" s="3537" t="s">
        <v>1105</v>
      </c>
      <c r="B3" s="3537"/>
      <c r="C3" s="3537"/>
      <c r="D3" s="43">
        <f>'数据-基础表'!AY6</f>
        <v>929.76</v>
      </c>
      <c r="E3" s="43">
        <f>'数据-基础表'!AZ5</f>
        <v>1384.1800000000003</v>
      </c>
      <c r="F3" s="2658"/>
      <c r="G3" s="1144"/>
      <c r="H3" s="1025" t="s">
        <v>1106</v>
      </c>
      <c r="I3" s="854">
        <f>ROUND('数据-基础表'!B3/'数据-基础表'!A3,2)</f>
        <v>1.49</v>
      </c>
      <c r="J3" s="2658"/>
      <c r="K3" s="2658"/>
      <c r="L3" s="2658"/>
      <c r="M3" s="2658"/>
      <c r="N3" s="2660"/>
      <c r="O3" s="2658"/>
      <c r="P3" s="2658"/>
    </row>
    <row r="4" spans="1:16" ht="15">
      <c r="A4" s="3538"/>
      <c r="B4" s="3539"/>
      <c r="C4" s="3540"/>
      <c r="D4" s="1640" t="s">
        <v>1107</v>
      </c>
      <c r="E4" s="1641" t="s">
        <v>1108</v>
      </c>
      <c r="F4" s="2658"/>
      <c r="G4" s="2651" t="s">
        <v>1133</v>
      </c>
      <c r="H4" s="1025" t="s">
        <v>1113</v>
      </c>
      <c r="I4" s="854">
        <f>ROUND(SUMIF('数据-基础表'!I9:AS9,"地上",'数据-基础表'!I5:AS5)/'数据-基础表'!A3,2)</f>
        <v>1.0900000000000001</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4"/>
      <c r="H5" s="1025" t="s">
        <v>1106</v>
      </c>
      <c r="I5" s="854">
        <f>ROUND(E31/D31,2)</f>
        <v>1.49</v>
      </c>
      <c r="J5" s="2658"/>
      <c r="K5" s="2658"/>
      <c r="L5" s="2658"/>
      <c r="M5" s="2658"/>
      <c r="N5" s="2658"/>
      <c r="O5" s="2658"/>
      <c r="P5" s="2658"/>
    </row>
    <row r="6" spans="1:16" ht="15" thickBot="1">
      <c r="A6" s="1643"/>
      <c r="B6" s="3541" t="s">
        <v>1111</v>
      </c>
      <c r="C6" s="3541"/>
      <c r="D6" s="45">
        <f>ROUND($D$3*E6/$E$3,2)</f>
        <v>929.76</v>
      </c>
      <c r="E6" s="46">
        <f>E3-E5</f>
        <v>1384.1800000000003</v>
      </c>
      <c r="F6" s="2658"/>
      <c r="G6" s="2652" t="s">
        <v>1112</v>
      </c>
      <c r="H6" s="1145" t="s">
        <v>1113</v>
      </c>
      <c r="I6" s="2653">
        <f>ROUND(F31/D31,2)</f>
        <v>1.21</v>
      </c>
      <c r="J6" s="2658"/>
      <c r="K6" s="2658"/>
      <c r="L6" s="2658"/>
      <c r="M6" s="2658"/>
      <c r="N6" s="2658"/>
      <c r="O6" s="2658"/>
      <c r="P6" s="2658"/>
    </row>
    <row r="7" spans="1:16" ht="15.75" thickBot="1">
      <c r="A7" s="3533"/>
      <c r="B7" s="3534"/>
      <c r="C7" s="3535"/>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755.2</v>
      </c>
      <c r="E8" s="48">
        <f>SUMIF('数据-基础表'!BB10:BK10,"地上",'数据-基础表'!BB5:BK5)</f>
        <v>1124.3000000000002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755.2</v>
      </c>
      <c r="E16" s="50">
        <f>SUM(E8:E15)</f>
        <v>1124.3000000000002</v>
      </c>
      <c r="F16" s="2658"/>
      <c r="G16" s="2659"/>
      <c r="H16" s="1647" t="s">
        <v>1135</v>
      </c>
      <c r="I16" s="1648"/>
      <c r="J16" s="1138"/>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8"/>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3411</v>
      </c>
      <c r="D19" s="45">
        <f>ROUND($D$3*E19/$E$3,2)</f>
        <v>929.76</v>
      </c>
      <c r="E19" s="53">
        <f t="shared" ref="E19:E26" si="1">SUM(F19:G19)</f>
        <v>1384.1800000000003</v>
      </c>
      <c r="F19" s="2794">
        <f>'数据-基础表'!I13</f>
        <v>1124.3000000000002</v>
      </c>
      <c r="G19" s="2795">
        <f>'数据-基础表'!K13</f>
        <v>259.88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929.76</v>
      </c>
      <c r="S19" s="1026">
        <f t="shared" si="5"/>
        <v>1384.1800000000003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929.76</v>
      </c>
      <c r="E27" s="1140">
        <f>IF(SUM(E19:E26)='数据-基础表'!BA5,SUM(E19:E26),IF(F27="地上面积有误","面积有误","地下面积有误"))</f>
        <v>1384.1800000000003</v>
      </c>
      <c r="F27" s="1139">
        <f>IF(SUM(F19:F26)=E8,SUM(F19:F26),"地上面积有误")</f>
        <v>1124.3000000000002</v>
      </c>
      <c r="G27" s="1141">
        <f>SUM(G19:G26)</f>
        <v>259.88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929.76</v>
      </c>
      <c r="S27" s="1025">
        <f>IF(SUM(S19:S26)=$E$3,SUM(S19:S26),SUM(S19:S26)&amp;"误差"&amp;ROUND(SUM(S19:S26)-E3,2))</f>
        <v>1384.1800000000003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929.76</v>
      </c>
      <c r="E31" s="675">
        <f>E27+E30</f>
        <v>1384.1800000000003</v>
      </c>
      <c r="F31" s="676">
        <f>F27+F30</f>
        <v>1124.3000000000002</v>
      </c>
      <c r="G31" s="677">
        <f>G27+G30</f>
        <v>259.88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59557</v>
      </c>
      <c r="F6" s="64">
        <f>SUMIF(项目基本情况!C$12:I$12,C6,项目基本情况!C$15:I$15)</f>
        <v>38.840000000000003</v>
      </c>
      <c r="G6" s="65">
        <f>IF(ISERROR(ROUND(POWER(1+H6,D6-F6)*(POWER(1+H6,F6)-1)/(POWER(1+H6,D6)-1),3)),0,ROUND(POWER(1+H6,D6-F6)*(POWER(1+H6,F6)-1)/(POWER(1+H6,D6)-1),3))</f>
        <v>0.93100000000000005</v>
      </c>
      <c r="H6" s="731">
        <v>0.05</v>
      </c>
      <c r="I6" s="731">
        <v>5.5E-2</v>
      </c>
      <c r="J6" s="66">
        <v>7.0000000000000007E-2</v>
      </c>
      <c r="K6" s="1029">
        <f>SUMIF('数据-汇总表'!C$19:C$33,A6,'数据-汇总表'!E$19:E$33)</f>
        <v>1384.1800000000003</v>
      </c>
      <c r="L6" s="732">
        <v>3200</v>
      </c>
      <c r="M6" s="67">
        <f t="shared" ref="M6:M14" si="0">ROUND(K6*L6/10000,0)</f>
        <v>443</v>
      </c>
      <c r="N6" s="730">
        <f>N20</f>
        <v>0.85</v>
      </c>
      <c r="O6" s="67" t="str">
        <f>IF($N$5="成新度","——",ROUND(M6*N6,0))</f>
        <v>——</v>
      </c>
      <c r="P6" s="68" t="str">
        <f>IF($N$5="成新度","——",M6-O6)</f>
        <v>——</v>
      </c>
      <c r="Q6" s="733">
        <v>0.05</v>
      </c>
      <c r="R6" s="69">
        <f ca="1">SUMIF('数据-汇总表'!C$19:C$33,A6,'数据-汇总表'!R$19:R$27)</f>
        <v>929.76</v>
      </c>
      <c r="S6" s="51">
        <f>IF('数据-汇总表'!$I$17="按面积比例",SUMIF('数据-汇总表'!C$19:C$33,A6,'数据-汇总表'!K$19:K$33),SUMIF('数据-汇总表'!C$19:C$33,A6,'数据-汇总表'!N$19:N$33))</f>
        <v>0</v>
      </c>
      <c r="T6" s="1171">
        <f>ROUND($L$14*S6/10000,0)</f>
        <v>0</v>
      </c>
      <c r="U6" s="3427">
        <v>1.2</v>
      </c>
      <c r="V6" s="70">
        <v>0.02</v>
      </c>
      <c r="W6" s="70">
        <v>0.15</v>
      </c>
      <c r="X6" s="1039"/>
      <c r="Y6" s="71">
        <f>N6</f>
        <v>0.85</v>
      </c>
      <c r="Z6" s="72"/>
      <c r="AA6" s="66"/>
      <c r="AB6" s="66"/>
      <c r="AC6" s="1039"/>
      <c r="AD6" s="73"/>
      <c r="AE6" s="1040">
        <f ca="1">IF(AN6="",0,SUMIF(INDIRECT("'"&amp;AN6&amp;"'"&amp;"!E:E"),$AE$5,INDIRECT("'"&amp;AN6&amp;"'"&amp;"!F:F")))</f>
        <v>38.840000000000003</v>
      </c>
      <c r="AF6" s="1347"/>
      <c r="AG6" s="137">
        <f>IF(AF6="",0,AE6-AF6)</f>
        <v>0</v>
      </c>
      <c r="AH6" s="74"/>
      <c r="AI6" s="76">
        <v>365</v>
      </c>
      <c r="AJ6" s="77"/>
      <c r="AK6" s="78">
        <v>5.0000000000000001E-3</v>
      </c>
      <c r="AL6" s="79">
        <v>1.5E-3</v>
      </c>
      <c r="AM6" s="80">
        <v>5.0000000000000001E-3</v>
      </c>
      <c r="AN6" s="1714" t="s">
        <v>3415</v>
      </c>
      <c r="AO6" s="52">
        <f ca="1">SUMIF(INDIRECT("'"&amp;AN6&amp;"'"&amp;"!A:A"),"总价",INDIRECT("'"&amp;AN6&amp;"'"&amp;"!B:B"))</f>
        <v>828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1384.1800000000003</v>
      </c>
      <c r="L16" s="93">
        <f>ROUND(M16*10000/SUM(K6:K14),0)</f>
        <v>3200</v>
      </c>
      <c r="M16" s="93">
        <f>SUM(M6:M14)</f>
        <v>443</v>
      </c>
      <c r="N16" s="94">
        <f>ROUND(SUMPRODUCT(M6:M14,N6:N14)/M16,3)</f>
        <v>0.85</v>
      </c>
      <c r="O16" s="93">
        <f>SUM(O6:O14)</f>
        <v>0</v>
      </c>
      <c r="P16" s="93">
        <f>SUM(P6:P14)</f>
        <v>0</v>
      </c>
      <c r="Q16" s="95">
        <f>ROUND(SUMPRODUCT(Q6:Q13,K6:K13)/SUMPRODUCT((Q6:Q13&gt;0)*(K6:K13)),2)</f>
        <v>0.05</v>
      </c>
      <c r="R16" s="1033">
        <f ca="1">SUM(R6:R13)</f>
        <v>929.76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0.85</v>
      </c>
      <c r="O18" s="2670">
        <v>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0.9</v>
      </c>
      <c r="O19" s="2670">
        <f>1-O18</f>
        <v>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2301</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f>'数据-基础表'!I13</f>
        <v>1124.3000000000002</v>
      </c>
      <c r="U21" s="2670">
        <v>1.3</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f>'数据-基础表'!K13</f>
        <v>259.88</v>
      </c>
      <c r="U22" s="2670">
        <v>0.7</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f>T21+T22</f>
        <v>1384.1800000000003</v>
      </c>
      <c r="U23" s="2670">
        <f>(T21*U21+T22*U22)/T23</f>
        <v>1.1873499111387247</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28</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8">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2" t="s">
        <v>2284</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2" t="s">
        <v>2252</v>
      </c>
      <c r="C4" s="2467" t="s">
        <v>2253</v>
      </c>
      <c r="D4" s="2464"/>
      <c r="E4" s="2468"/>
      <c r="F4" s="1372" t="s">
        <v>2254</v>
      </c>
      <c r="G4" s="2469" t="s">
        <v>2255</v>
      </c>
      <c r="H4" s="798"/>
      <c r="I4" s="798"/>
      <c r="J4" s="798"/>
      <c r="K4" s="798"/>
      <c r="L4" s="798"/>
      <c r="M4" s="798"/>
      <c r="N4" s="798"/>
      <c r="O4" s="798"/>
      <c r="P4" s="798"/>
      <c r="Q4" s="798"/>
      <c r="R4" s="798"/>
    </row>
    <row r="5" spans="1:29" ht="36.75">
      <c r="A5" s="2441"/>
      <c r="B5" s="322" t="s">
        <v>2256</v>
      </c>
      <c r="C5" s="2467" t="s">
        <v>2257</v>
      </c>
      <c r="D5" s="2464"/>
      <c r="E5" s="2468"/>
      <c r="F5" s="322" t="s">
        <v>2258</v>
      </c>
      <c r="G5" s="2469" t="s">
        <v>2259</v>
      </c>
      <c r="H5" s="798"/>
      <c r="I5" s="798"/>
      <c r="J5" s="798"/>
      <c r="K5" s="798"/>
      <c r="L5" s="798"/>
      <c r="M5" s="798"/>
      <c r="N5" s="798"/>
      <c r="O5" s="798"/>
      <c r="P5" s="798"/>
      <c r="Q5" s="798"/>
      <c r="R5" s="798"/>
    </row>
    <row r="6" spans="1:29" ht="36">
      <c r="A6" s="2441"/>
      <c r="B6" s="322" t="s">
        <v>2260</v>
      </c>
      <c r="C6" s="2469" t="s">
        <v>2255</v>
      </c>
      <c r="D6" s="2464"/>
      <c r="E6" s="2468"/>
      <c r="F6" s="322" t="s">
        <v>2261</v>
      </c>
      <c r="G6" s="2469" t="s">
        <v>2262</v>
      </c>
      <c r="H6" s="798"/>
      <c r="I6" s="798"/>
      <c r="J6" s="798"/>
      <c r="K6" s="798"/>
      <c r="L6" s="798"/>
      <c r="M6" s="798"/>
      <c r="N6" s="798"/>
      <c r="O6" s="798"/>
      <c r="P6" s="798"/>
      <c r="Q6" s="798"/>
      <c r="R6" s="798"/>
    </row>
    <row r="7" spans="1:29" ht="24.75" thickBot="1">
      <c r="A7" s="2441"/>
      <c r="B7" s="322" t="s">
        <v>2258</v>
      </c>
      <c r="C7" s="2469" t="s">
        <v>2259</v>
      </c>
      <c r="D7" s="2470"/>
      <c r="E7" s="2471"/>
      <c r="F7" s="2472" t="s">
        <v>2263</v>
      </c>
      <c r="G7" s="2473" t="s">
        <v>2264</v>
      </c>
      <c r="H7" s="798"/>
      <c r="I7" s="798"/>
      <c r="J7" s="798"/>
      <c r="K7" s="798"/>
      <c r="L7" s="798"/>
      <c r="M7" s="798"/>
      <c r="N7" s="798"/>
      <c r="O7" s="798"/>
      <c r="P7" s="798"/>
      <c r="Q7" s="798"/>
      <c r="R7" s="798"/>
    </row>
    <row r="8" spans="1:29">
      <c r="A8" s="2441"/>
      <c r="B8" s="322" t="s">
        <v>2261</v>
      </c>
      <c r="C8" s="2469" t="s">
        <v>2262</v>
      </c>
      <c r="D8" s="2470"/>
      <c r="E8" s="2470"/>
      <c r="F8" s="2474"/>
      <c r="G8" s="2474"/>
      <c r="H8" s="798"/>
      <c r="I8" s="798"/>
      <c r="J8" s="798"/>
      <c r="K8" s="798"/>
      <c r="L8" s="798"/>
      <c r="M8" s="798"/>
      <c r="N8" s="798"/>
      <c r="O8" s="798"/>
      <c r="P8" s="798"/>
      <c r="Q8" s="798"/>
      <c r="R8" s="798"/>
    </row>
    <row r="9" spans="1:29" ht="24">
      <c r="A9" s="2441"/>
      <c r="B9" s="322"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2"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2" t="s">
        <v>2261</v>
      </c>
      <c r="G20" s="2502" t="str">
        <f>G6</f>
        <v>估价对象所在区域基础设施水平</v>
      </c>
    </row>
    <row r="21" spans="1:18" ht="25.5">
      <c r="A21" s="2445"/>
      <c r="B21" s="322" t="s">
        <v>2258</v>
      </c>
      <c r="C21" s="2502" t="str">
        <f>C7</f>
        <v>估价对象所在区域公共配套设施齐备情况</v>
      </c>
      <c r="D21" s="2464"/>
      <c r="E21" s="2446"/>
      <c r="F21" s="2501" t="s">
        <v>2276</v>
      </c>
      <c r="G21" s="2504"/>
    </row>
    <row r="22" spans="1:18" ht="13.5" customHeight="1">
      <c r="A22" s="2445"/>
      <c r="B22" s="322"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7726.1900000000005</v>
      </c>
      <c r="C1" s="2685"/>
      <c r="D1" s="2685"/>
      <c r="E1" s="2685"/>
      <c r="F1" s="2685"/>
      <c r="G1" s="2686"/>
      <c r="H1" s="2687"/>
      <c r="I1" s="2687"/>
      <c r="J1" s="2687"/>
      <c r="K1" s="2687"/>
    </row>
    <row r="2" spans="1:11" ht="16.5">
      <c r="A2" s="2511" t="s">
        <v>653</v>
      </c>
      <c r="B2" s="2511">
        <f>SUM(C14:C23)</f>
        <v>5189.7</v>
      </c>
      <c r="C2" s="2685"/>
      <c r="D2" s="2685"/>
      <c r="E2" s="2685"/>
      <c r="F2" s="2685"/>
      <c r="G2" s="2686"/>
      <c r="H2" s="2687"/>
      <c r="I2" s="2687"/>
      <c r="J2" s="2687"/>
      <c r="K2" s="2687"/>
    </row>
    <row r="3" spans="1:11" ht="16.5">
      <c r="A3" s="2511" t="s">
        <v>662</v>
      </c>
      <c r="B3" s="2513">
        <f>项目基本情况!D3</f>
        <v>45378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1862</v>
      </c>
      <c r="C5" s="2511">
        <f ca="1">IF(B5=D14,结果表!H102,ROUND(B5*10000/$B$1,0))</f>
        <v>2410</v>
      </c>
      <c r="D5" s="2511">
        <f ca="1">ROUND(B5*10000/$B$2,0)</f>
        <v>3588</v>
      </c>
      <c r="E5" s="2685"/>
      <c r="F5" s="2686"/>
      <c r="G5" s="2686"/>
      <c r="H5" s="2687"/>
      <c r="I5" s="2687"/>
      <c r="J5" s="2687"/>
      <c r="K5" s="2687"/>
    </row>
    <row r="6" spans="1:11" ht="16.5">
      <c r="A6" s="2511" t="s">
        <v>656</v>
      </c>
      <c r="B6" s="2511">
        <f ca="1">SUM(G14:G23)</f>
        <v>1862</v>
      </c>
      <c r="C6" s="2511">
        <f ca="1">IF(B6=G14,结果表!H108,ROUND(B6*10000/$B$1,0))</f>
        <v>2410</v>
      </c>
      <c r="D6" s="2511">
        <f ca="1">ROUND(B6*10000/$B$2,0)</f>
        <v>3588</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1384.1800000000003</v>
      </c>
      <c r="C14" s="2517">
        <f>'数据-基础表'!E13</f>
        <v>929.76</v>
      </c>
      <c r="D14" s="2517">
        <f ca="1">结果表!C32</f>
        <v>1126</v>
      </c>
      <c r="E14" s="2517">
        <f ca="1">ROUND(D14*10000/B14,0)</f>
        <v>8135</v>
      </c>
      <c r="F14" s="2517">
        <f ca="1">ROUND(D14*10000/C14,0)</f>
        <v>12111</v>
      </c>
      <c r="G14" s="2517">
        <f ca="1">D14</f>
        <v>1126</v>
      </c>
      <c r="H14" s="2517"/>
      <c r="I14" s="2517"/>
      <c r="J14" s="2686"/>
      <c r="K14" s="2687"/>
    </row>
    <row r="15" spans="1:11" ht="16.5">
      <c r="A15" s="2516" t="s">
        <v>649</v>
      </c>
      <c r="B15" s="2518">
        <f>'数据-基础表'!G14</f>
        <v>6342.01</v>
      </c>
      <c r="C15" s="2518">
        <f>'数据-基础表'!E14</f>
        <v>4259.9399999999996</v>
      </c>
      <c r="D15" s="2518">
        <f ca="1">[3]结果表!$C$32</f>
        <v>736</v>
      </c>
      <c r="E15" s="2517">
        <f t="shared" ref="E15:E23" ca="1" si="0">ROUND(D15*10000/B15,0)</f>
        <v>1161</v>
      </c>
      <c r="F15" s="2517">
        <f t="shared" ref="F15:F23" ca="1" si="1">ROUND(D15*10000/C15,0)</f>
        <v>1728</v>
      </c>
      <c r="G15" s="1330">
        <f ca="1">D15</f>
        <v>736</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2" sqref="F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v>
      </c>
      <c r="D1" s="1746"/>
      <c r="E1" s="1746"/>
      <c r="F1" s="1748" t="s">
        <v>1263</v>
      </c>
      <c r="G1" s="1560"/>
      <c r="H1" s="1749" t="str">
        <f>IF(G1="现房","——","估价对象范围")</f>
        <v>估价对象范围</v>
      </c>
      <c r="I1" s="1750"/>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3" t="s">
        <v>1265</v>
      </c>
      <c r="B4" s="1754" t="s">
        <v>1266</v>
      </c>
      <c r="C4" s="1755" t="s">
        <v>3399</v>
      </c>
      <c r="D4" s="1755" t="s">
        <v>3415</v>
      </c>
      <c r="E4" s="3584" t="s">
        <v>1267</v>
      </c>
      <c r="F4" s="3585"/>
      <c r="G4" s="3585"/>
      <c r="H4" s="3585"/>
      <c r="I4" s="358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0" t="s">
        <v>1269</v>
      </c>
      <c r="F5" s="1756"/>
      <c r="G5" s="1756"/>
      <c r="H5" s="1756"/>
      <c r="I5" s="1372"/>
    </row>
    <row r="6" spans="1:12" ht="12.75">
      <c r="A6" s="3558"/>
      <c r="B6" s="3545"/>
      <c r="C6" s="3562"/>
      <c r="D6" s="3581"/>
      <c r="E6" s="130" t="s">
        <v>1270</v>
      </c>
      <c r="F6" s="1756"/>
      <c r="G6" s="1756"/>
      <c r="H6" s="1756"/>
      <c r="I6" s="1372"/>
    </row>
    <row r="7" spans="1:12" ht="12.75">
      <c r="A7" s="3558"/>
      <c r="B7" s="3545"/>
      <c r="C7" s="3563"/>
      <c r="D7" s="3581"/>
      <c r="E7" s="130" t="s">
        <v>1271</v>
      </c>
      <c r="F7" s="1756"/>
      <c r="G7" s="1756"/>
      <c r="H7" s="1756"/>
      <c r="I7" s="1372"/>
    </row>
    <row r="8" spans="1:12" ht="12.75">
      <c r="A8" s="3558" t="s">
        <v>1272</v>
      </c>
      <c r="B8" s="3545">
        <v>15</v>
      </c>
      <c r="C8" s="3561"/>
      <c r="D8" s="3581"/>
      <c r="E8" s="130" t="s">
        <v>1273</v>
      </c>
      <c r="F8" s="1756"/>
      <c r="G8" s="1756"/>
      <c r="H8" s="1756"/>
      <c r="I8" s="1372"/>
    </row>
    <row r="9" spans="1:12" ht="12.75">
      <c r="A9" s="3558"/>
      <c r="B9" s="3545"/>
      <c r="C9" s="3563"/>
      <c r="D9" s="3581"/>
      <c r="E9" s="130" t="s">
        <v>1274</v>
      </c>
      <c r="F9" s="1756"/>
      <c r="G9" s="1756"/>
      <c r="H9" s="1756"/>
      <c r="I9" s="1372"/>
    </row>
    <row r="10" spans="1:12" ht="12.75">
      <c r="A10" s="3558" t="s">
        <v>1275</v>
      </c>
      <c r="B10" s="3545">
        <v>15</v>
      </c>
      <c r="C10" s="3561"/>
      <c r="D10" s="3581"/>
      <c r="E10" s="130" t="s">
        <v>1276</v>
      </c>
      <c r="F10" s="1756"/>
      <c r="G10" s="1756"/>
      <c r="H10" s="1756"/>
      <c r="I10" s="1372"/>
    </row>
    <row r="11" spans="1:12" ht="12.75">
      <c r="A11" s="3558"/>
      <c r="B11" s="3545"/>
      <c r="C11" s="3563"/>
      <c r="D11" s="3581"/>
      <c r="E11" s="130" t="s">
        <v>1277</v>
      </c>
      <c r="F11" s="1756"/>
      <c r="G11" s="1756"/>
      <c r="H11" s="1756"/>
      <c r="I11" s="1372"/>
    </row>
    <row r="12" spans="1:12" ht="12.75">
      <c r="A12" s="3558" t="s">
        <v>1278</v>
      </c>
      <c r="B12" s="3545">
        <v>15</v>
      </c>
      <c r="C12" s="3561"/>
      <c r="D12" s="3581"/>
      <c r="E12" s="130" t="s">
        <v>1279</v>
      </c>
      <c r="F12" s="1756"/>
      <c r="G12" s="1756"/>
      <c r="H12" s="1756"/>
      <c r="I12" s="1372"/>
    </row>
    <row r="13" spans="1:12" ht="12.75">
      <c r="A13" s="3558"/>
      <c r="B13" s="3545"/>
      <c r="C13" s="3563"/>
      <c r="D13" s="3581"/>
      <c r="E13" s="130" t="s">
        <v>1280</v>
      </c>
      <c r="F13" s="1756"/>
      <c r="G13" s="1756"/>
      <c r="H13" s="1756"/>
      <c r="I13" s="1372"/>
    </row>
    <row r="14" spans="1:12" ht="12.75">
      <c r="A14" s="3558" t="s">
        <v>1281</v>
      </c>
      <c r="B14" s="3545">
        <v>30</v>
      </c>
      <c r="C14" s="3561">
        <v>4</v>
      </c>
      <c r="D14" s="3581">
        <v>6</v>
      </c>
      <c r="E14" s="130" t="s">
        <v>1282</v>
      </c>
      <c r="F14" s="1756"/>
      <c r="G14" s="1756"/>
      <c r="H14" s="1756"/>
      <c r="I14" s="1372"/>
    </row>
    <row r="15" spans="1:12" ht="12.75">
      <c r="A15" s="3558"/>
      <c r="B15" s="3545"/>
      <c r="C15" s="3562"/>
      <c r="D15" s="3581"/>
      <c r="E15" s="130" t="s">
        <v>1283</v>
      </c>
      <c r="F15" s="1756"/>
      <c r="G15" s="1756"/>
      <c r="H15" s="1756"/>
      <c r="I15" s="1372"/>
    </row>
    <row r="16" spans="1:12" ht="12.75">
      <c r="A16" s="3558"/>
      <c r="B16" s="3545"/>
      <c r="C16" s="3563"/>
      <c r="D16" s="3581"/>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568" t="s">
        <v>2129</v>
      </c>
      <c r="F18" s="3569"/>
      <c r="G18" s="3569"/>
      <c r="H18" s="3569"/>
      <c r="I18" s="3569"/>
      <c r="K18" s="301" t="s">
        <v>1289</v>
      </c>
      <c r="L18" s="301">
        <f>IF(C1="",'数据-汇总表'!E3,SUMIF(项目类型,C1,'数据-汇总表'!E17:E26)+SUMIF(项目类型,C1,'数据-汇总表'!I17:I26))</f>
        <v>1384.1800000000003</v>
      </c>
      <c r="M18" s="301">
        <f>IF(C1="",'数据-汇总表'!E3,SUMIF(项目类型,C1,'数据-汇总表'!E17:E26))</f>
        <v>1384.1800000000003</v>
      </c>
    </row>
    <row r="19" spans="1:36" ht="15">
      <c r="A19" s="1760" t="s">
        <v>1290</v>
      </c>
      <c r="B19" s="1761" t="s">
        <v>1291</v>
      </c>
      <c r="C19" s="133">
        <f ca="1">SUMIF(INDIRECT("'"&amp;C4&amp;"'"&amp;"!A:A"),结果表!B19,INDIRECT("'"&amp;C4&amp;"'"&amp;"!B:B"))</f>
        <v>1574</v>
      </c>
      <c r="D19" s="134">
        <f ca="1">SUMIF(INDIRECT("'"&amp;D4&amp;"'"&amp;"!A:A"),结果表!B19,INDIRECT("'"&amp;D4&amp;"'"&amp;"!B:B"))</f>
        <v>828</v>
      </c>
      <c r="E19" s="1760" t="s">
        <v>1292</v>
      </c>
      <c r="F19" s="1761" t="s">
        <v>1291</v>
      </c>
      <c r="G19" s="135">
        <f ca="1">ROUND(C19*$C$18+D19*$D$18,0)</f>
        <v>1126</v>
      </c>
      <c r="H19" s="1762" t="s">
        <v>1293</v>
      </c>
      <c r="I19" s="128"/>
      <c r="K19" s="301" t="s">
        <v>1294</v>
      </c>
      <c r="L19" s="301">
        <f>IF(C1="",'数据-汇总表'!D3,SUMIF(项目类型,C1,'数据-汇总表'!D17:D26)+SUMIF(项目类型,C1,'数据-汇总表'!H17:H27))</f>
        <v>929.76</v>
      </c>
      <c r="M19" s="301">
        <f>IF(C1="",'数据-汇总表'!D3,SUMIF(项目类型,C1,'数据-汇总表'!D17:D26))</f>
        <v>929.76</v>
      </c>
    </row>
    <row r="20" spans="1:36" ht="15">
      <c r="A20" s="1763"/>
      <c r="B20" s="1025" t="s">
        <v>1295</v>
      </c>
      <c r="C20" s="136">
        <f ca="1">SUMIF(INDIRECT("'"&amp;C4&amp;"'"&amp;"!A:A"),结果表!B20,INDIRECT("'"&amp;C4&amp;"'"&amp;"!B:B"))</f>
        <v>11371</v>
      </c>
      <c r="D20" s="137">
        <f ca="1">SUMIF(INDIRECT("'"&amp;D4&amp;"'"&amp;"!A:A"),结果表!B20,INDIRECT("'"&amp;D4&amp;"'"&amp;"!B:B"))</f>
        <v>5982</v>
      </c>
      <c r="E20" s="1763"/>
      <c r="F20" s="1025" t="s">
        <v>1295</v>
      </c>
      <c r="G20" s="138">
        <f ca="1">ROUND(C20*$C$18+D20*$D$18,0)</f>
        <v>8138</v>
      </c>
      <c r="H20" s="807" t="s">
        <v>1296</v>
      </c>
      <c r="I20" s="128"/>
    </row>
    <row r="21" spans="1:36" ht="15" customHeight="1" thickBot="1">
      <c r="A21" s="827"/>
      <c r="B21" s="1764" t="s">
        <v>1297</v>
      </c>
      <c r="C21" s="718">
        <f ca="1">ROUND(C19*10000/L19,0)</f>
        <v>16929</v>
      </c>
      <c r="D21" s="719">
        <f ca="1">ROUND(D19*10000/L19,0)</f>
        <v>8906</v>
      </c>
      <c r="E21" s="827"/>
      <c r="F21" s="1764" t="s">
        <v>1297</v>
      </c>
      <c r="G21" s="139">
        <f ca="1">ROUND(G19*10000/L19,0)</f>
        <v>12111</v>
      </c>
      <c r="H21" s="1765" t="s">
        <v>1296</v>
      </c>
      <c r="I21" s="128"/>
    </row>
    <row r="22" spans="1:36" ht="15" thickBot="1">
      <c r="A22" s="1687" t="s">
        <v>1298</v>
      </c>
      <c r="B22" s="1766"/>
      <c r="C22" s="1767"/>
      <c r="D22" s="720">
        <f ca="1">IF(C19&lt;D19,D19/C19-1,C19/D19-1)</f>
        <v>0.90096618357487923</v>
      </c>
      <c r="E22" s="128"/>
      <c r="F22" s="128"/>
      <c r="G22" s="128"/>
      <c r="H22" s="128"/>
      <c r="I22" s="128"/>
    </row>
    <row r="23" spans="1:36" ht="13.5" thickBot="1">
      <c r="A23" s="1746"/>
      <c r="B23" s="1746"/>
      <c r="C23" s="1746"/>
      <c r="D23" s="1746"/>
      <c r="E23" s="128"/>
      <c r="F23" s="128"/>
      <c r="G23" s="128"/>
      <c r="H23" s="128"/>
      <c r="I23" s="128"/>
    </row>
    <row r="24" spans="1:36" ht="14.25">
      <c r="A24" s="3552" t="s">
        <v>1299</v>
      </c>
      <c r="B24" s="1761" t="s">
        <v>1291</v>
      </c>
      <c r="C24" s="135">
        <f>IF(B30=0,0,D30)</f>
        <v>0</v>
      </c>
      <c r="D24" s="1768"/>
      <c r="E24" s="128"/>
      <c r="F24" s="128"/>
      <c r="G24" s="128"/>
      <c r="H24" s="128"/>
      <c r="I24" s="128"/>
    </row>
    <row r="25" spans="1:36" ht="14.25">
      <c r="A25" s="355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1126</v>
      </c>
      <c r="D32" s="1774" t="s">
        <v>3633</v>
      </c>
      <c r="E32" s="128"/>
      <c r="F32" s="128"/>
      <c r="G32" s="128"/>
      <c r="H32" s="128"/>
      <c r="I32" s="128"/>
    </row>
    <row r="33" spans="1:15" ht="15">
      <c r="A33" s="785" t="s">
        <v>1306</v>
      </c>
      <c r="B33" s="1775"/>
      <c r="C33" s="1776" t="s">
        <v>3400</v>
      </c>
      <c r="D33" s="1777" t="s">
        <v>3399</v>
      </c>
      <c r="E33" s="1778" t="s">
        <v>1307</v>
      </c>
      <c r="F33" s="1779" t="str">
        <f>IF(D32="楼面单价","取值（单价）","取值（总价）")</f>
        <v>取值（总价）</v>
      </c>
      <c r="G33" s="128"/>
      <c r="H33" s="128"/>
      <c r="I33" s="128"/>
    </row>
    <row r="34" spans="1:15" ht="15">
      <c r="A34" s="1780"/>
      <c r="B34" s="1781" t="s">
        <v>1308</v>
      </c>
      <c r="C34" s="147">
        <f ca="1">IF(C33="自定义",F34,C32-C35)</f>
        <v>776</v>
      </c>
      <c r="D34" s="860">
        <f ca="1">IF(C33="自定义",ROUND(C34/C32,3),IF(C33="收益比率",SUMIF(INDIRECT("'"&amp;D33&amp;"'"&amp;"!b:b"),"土地收益比率",INDIRECT("'"&amp;D33&amp;"'"&amp;"!c:c")),SUMIF(INDIRECT("'"&amp;D33&amp;"'"&amp;"!b:b"),"土地成本比率",INDIRECT("'"&amp;D33&amp;"'"&amp;"!c:c"))))</f>
        <v>0.68900000000000006</v>
      </c>
      <c r="E34" s="1782" t="s">
        <v>1309</v>
      </c>
      <c r="F34" s="1329"/>
      <c r="G34" s="128"/>
      <c r="H34" s="128"/>
      <c r="I34" s="128"/>
    </row>
    <row r="35" spans="1:15" ht="15.75" thickBot="1">
      <c r="A35" s="1783"/>
      <c r="B35" s="1784" t="s">
        <v>1310</v>
      </c>
      <c r="C35" s="1169">
        <f ca="1">IF(C33="自定义",F35,ROUND(C32*D35,0))</f>
        <v>350</v>
      </c>
      <c r="D35" s="1170">
        <f ca="1">IF(C33="自定义",ROUND(C35/C32,3),IF(C33="收益比率",SUMIF(INDIRECT("'"&amp;D33&amp;"'"&amp;"!b:b"),"建筑物收益比率",INDIRECT("'"&amp;D33&amp;"'"&amp;"!c:c")),SUMIF(INDIRECT("'"&amp;D33&amp;"'"&amp;"!b:b"),"建筑物成本比率",INDIRECT("'"&amp;D33&amp;"'"&amp;"!c:c"))))</f>
        <v>0.311</v>
      </c>
      <c r="E35" s="1785" t="s">
        <v>1311</v>
      </c>
      <c r="F35" s="153"/>
      <c r="G35" s="128"/>
      <c r="H35" s="128"/>
      <c r="I35" s="128"/>
    </row>
    <row r="36" spans="1:15" ht="15.75" thickBot="1">
      <c r="A36" s="3572" t="s">
        <v>1312</v>
      </c>
      <c r="B36" s="1786" t="s">
        <v>1313</v>
      </c>
      <c r="C36" s="144"/>
      <c r="D36" s="1787"/>
      <c r="E36" s="1788"/>
      <c r="F36" s="1789"/>
      <c r="G36" s="128"/>
      <c r="H36" s="128"/>
      <c r="I36" s="128"/>
    </row>
    <row r="37" spans="1:15" ht="15.75" thickBot="1">
      <c r="A37" s="3573"/>
      <c r="B37" s="1673" t="s">
        <v>1314</v>
      </c>
      <c r="C37" s="146"/>
      <c r="D37" s="1138"/>
      <c r="E37" s="1138"/>
      <c r="F37" s="1789"/>
      <c r="G37" s="128"/>
      <c r="H37" s="128"/>
      <c r="I37" s="128"/>
    </row>
    <row r="38" spans="1:15" ht="15.75" thickBot="1">
      <c r="A38" s="357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9" t="s">
        <v>1326</v>
      </c>
      <c r="B45" s="3550"/>
      <c r="C45" s="3551"/>
      <c r="D45" s="154">
        <f ca="1">ROUND(H101*F45,0)</f>
        <v>1126</v>
      </c>
      <c r="E45" s="155" t="s">
        <v>1327</v>
      </c>
      <c r="F45" s="156">
        <v>1</v>
      </c>
      <c r="G45" s="157" t="s">
        <v>1328</v>
      </c>
      <c r="H45" s="128"/>
      <c r="I45" s="128"/>
      <c r="J45" s="3627" t="s">
        <v>1329</v>
      </c>
      <c r="K45" s="3627"/>
      <c r="L45" s="3627"/>
      <c r="M45" s="3627"/>
      <c r="N45" s="3627"/>
      <c r="O45" s="3627"/>
    </row>
    <row r="46" spans="1:15" ht="14.25" customHeight="1">
      <c r="A46" s="3546" t="s">
        <v>1330</v>
      </c>
      <c r="B46" s="3547"/>
      <c r="C46" s="3547"/>
      <c r="D46" s="3547"/>
      <c r="E46" s="3547"/>
      <c r="F46" s="3547"/>
      <c r="G46" s="3548"/>
      <c r="H46" s="1805"/>
      <c r="I46" s="158"/>
      <c r="J46" s="2522">
        <v>1</v>
      </c>
      <c r="K46" s="3608" t="s">
        <v>1331</v>
      </c>
      <c r="L46" s="3608"/>
      <c r="M46" s="3628"/>
      <c r="N46" s="3628"/>
      <c r="O46" s="3628"/>
    </row>
    <row r="47" spans="1:15" ht="12" customHeight="1">
      <c r="A47" s="159" t="s">
        <v>1332</v>
      </c>
      <c r="B47" s="160"/>
      <c r="C47" s="161"/>
      <c r="D47" s="1086" t="s">
        <v>1333</v>
      </c>
      <c r="E47" s="301" t="s">
        <v>1334</v>
      </c>
      <c r="F47" s="162" t="s">
        <v>1335</v>
      </c>
      <c r="G47" s="2545" t="s">
        <v>1336</v>
      </c>
      <c r="H47" s="2546"/>
      <c r="I47" s="158"/>
      <c r="J47" s="2522">
        <v>2</v>
      </c>
      <c r="K47" s="3608" t="s">
        <v>1337</v>
      </c>
      <c r="L47" s="3608"/>
      <c r="M47" s="3629">
        <f>'数据-取费表'!B2</f>
        <v>45378</v>
      </c>
      <c r="N47" s="3629"/>
      <c r="O47" s="3629"/>
    </row>
    <row r="48" spans="1:15" ht="25.5">
      <c r="A48" s="3577" t="s">
        <v>1338</v>
      </c>
      <c r="B48" s="3560"/>
      <c r="C48" s="356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8" t="s">
        <v>1340</v>
      </c>
      <c r="L48" s="3608"/>
      <c r="M48" s="3630">
        <f ca="1">H101</f>
        <v>1126</v>
      </c>
      <c r="N48" s="3630"/>
      <c r="O48" s="3630"/>
    </row>
    <row r="49" spans="1:35" ht="25.5" customHeight="1">
      <c r="A49" s="2332" t="s">
        <v>1341</v>
      </c>
      <c r="B49" s="3544" t="s">
        <v>1342</v>
      </c>
      <c r="C49" s="3544"/>
      <c r="D49" s="1589">
        <v>0</v>
      </c>
      <c r="E49" s="323" t="s">
        <v>1343</v>
      </c>
      <c r="F49" s="2423" t="s">
        <v>28</v>
      </c>
      <c r="G49" s="3614"/>
      <c r="H49" s="2309" t="s">
        <v>2132</v>
      </c>
      <c r="I49" s="2310"/>
      <c r="J49" s="2522">
        <v>4</v>
      </c>
      <c r="K49" s="3608" t="str">
        <f>IF(项目基本情况!E8="房地产抵押价值","房地产抵押价值","抵押担保权已注销时的房地产抵押价值")</f>
        <v>房地产抵押价值</v>
      </c>
      <c r="L49" s="3608"/>
      <c r="M49" s="3630">
        <f ca="1">IF(项目基本情况!E8="房地产抵押价值",H107,H109)</f>
        <v>1126</v>
      </c>
      <c r="N49" s="3630"/>
      <c r="O49" s="3630"/>
    </row>
    <row r="50" spans="1:35" ht="25.5" customHeight="1">
      <c r="A50" s="2550"/>
      <c r="B50" s="3544" t="s">
        <v>1344</v>
      </c>
      <c r="C50" s="3544"/>
      <c r="D50" s="2551"/>
      <c r="E50" s="331"/>
      <c r="F50" s="2423"/>
      <c r="G50" s="3615"/>
      <c r="H50" s="2311" t="s">
        <v>2133</v>
      </c>
      <c r="I50" s="2310"/>
      <c r="J50" s="3627" t="s">
        <v>1345</v>
      </c>
      <c r="K50" s="3627"/>
      <c r="L50" s="3627"/>
      <c r="M50" s="3627"/>
      <c r="N50" s="3627"/>
      <c r="O50" s="3627"/>
    </row>
    <row r="51" spans="1:35" ht="20.45" customHeight="1">
      <c r="A51" s="2552"/>
      <c r="B51" s="3544" t="s">
        <v>1346</v>
      </c>
      <c r="C51" s="3544"/>
      <c r="D51" s="1086"/>
      <c r="E51" s="326"/>
      <c r="F51" s="2423"/>
      <c r="G51" s="3616"/>
      <c r="H51" s="2311" t="s">
        <v>2134</v>
      </c>
      <c r="I51" s="2310"/>
      <c r="J51" s="2523" t="s">
        <v>1347</v>
      </c>
      <c r="K51" s="3608" t="s">
        <v>1348</v>
      </c>
      <c r="L51" s="3608"/>
      <c r="M51" s="2523" t="s">
        <v>1349</v>
      </c>
      <c r="N51" s="2523" t="s">
        <v>1350</v>
      </c>
      <c r="O51" s="2523" t="s">
        <v>1351</v>
      </c>
    </row>
    <row r="52" spans="1:35" ht="24" customHeight="1">
      <c r="A52" s="2334" t="s">
        <v>1352</v>
      </c>
      <c r="B52" s="3544" t="s">
        <v>1353</v>
      </c>
      <c r="C52" s="3544"/>
      <c r="D52" s="1086">
        <f ca="1">ROUND(D45*'数据-取费表'!B41/(1+'数据-取费表'!C42),0)</f>
        <v>59</v>
      </c>
      <c r="E52" s="2333" t="s">
        <v>1354</v>
      </c>
      <c r="F52" s="2553">
        <f>'数据-取费表'!B41</f>
        <v>5.5000000000000007E-2</v>
      </c>
      <c r="G52" s="2554"/>
      <c r="H52" s="2543"/>
      <c r="I52" s="1806"/>
      <c r="J52" s="2522">
        <v>1</v>
      </c>
      <c r="K52" s="3609" t="s">
        <v>1355</v>
      </c>
      <c r="L52" s="3609"/>
      <c r="M52" s="2524" t="b">
        <f>D48</f>
        <v>0</v>
      </c>
      <c r="N52" s="2522" t="str">
        <f>E48</f>
        <v>销售额×税（费）率</v>
      </c>
      <c r="O52" s="2525">
        <f>F48</f>
        <v>5.5000000000000007E-2</v>
      </c>
    </row>
    <row r="53" spans="1:35" ht="12" customHeight="1">
      <c r="A53" s="2334" t="s">
        <v>1356</v>
      </c>
      <c r="B53" s="3570" t="s">
        <v>2289</v>
      </c>
      <c r="C53" s="3571"/>
      <c r="D53" s="1086">
        <f ca="1">ROUND(D45*'数据-取费表'!B41/(1+'数据-取费表'!C42),0)</f>
        <v>59</v>
      </c>
      <c r="E53" s="2333" t="s">
        <v>1354</v>
      </c>
      <c r="F53" s="2553">
        <f>'数据-取费表'!B41</f>
        <v>5.5000000000000007E-2</v>
      </c>
      <c r="G53" s="2554"/>
      <c r="H53" s="2543"/>
      <c r="I53" s="1806"/>
      <c r="J53" s="2522">
        <v>2</v>
      </c>
      <c r="K53" s="3609" t="s">
        <v>1357</v>
      </c>
      <c r="L53" s="3609"/>
      <c r="M53" s="2524">
        <f t="shared" ref="M53:O54" ca="1" si="0">D55</f>
        <v>1</v>
      </c>
      <c r="N53" s="2522" t="str">
        <f t="shared" si="0"/>
        <v>销售额×税（费）率</v>
      </c>
      <c r="O53" s="2525" t="str">
        <f t="shared" si="0"/>
        <v>免征</v>
      </c>
    </row>
    <row r="54" spans="1:35" ht="12" customHeight="1">
      <c r="A54" s="2334" t="s">
        <v>1358</v>
      </c>
      <c r="B54" s="3570" t="s">
        <v>2290</v>
      </c>
      <c r="C54" s="3571"/>
      <c r="D54" s="1086">
        <f ca="1">C68</f>
        <v>59</v>
      </c>
      <c r="E54" s="326" t="s">
        <v>1359</v>
      </c>
      <c r="F54" s="2553">
        <f>'数据-取费表'!B41</f>
        <v>5.5000000000000007E-2</v>
      </c>
      <c r="G54" s="2554"/>
      <c r="H54" s="2555"/>
      <c r="I54" s="1806"/>
      <c r="J54" s="2522">
        <v>3</v>
      </c>
      <c r="K54" s="3609" t="s">
        <v>1360</v>
      </c>
      <c r="L54" s="3609"/>
      <c r="M54" s="2524">
        <f t="shared" ca="1" si="0"/>
        <v>638</v>
      </c>
      <c r="N54" s="2522" t="str">
        <f t="shared" si="0"/>
        <v>增值额×税（费）率</v>
      </c>
      <c r="O54" s="2526" t="str">
        <f t="shared" si="0"/>
        <v>免征</v>
      </c>
    </row>
    <row r="55" spans="1:35" ht="24" customHeight="1">
      <c r="A55" s="3559" t="s">
        <v>1361</v>
      </c>
      <c r="B55" s="3560"/>
      <c r="C55" s="3560"/>
      <c r="D55" s="2323">
        <f ca="1">IF(H55="个人住宅",0,ROUND(D45*I55,0))</f>
        <v>1</v>
      </c>
      <c r="E55" s="2333" t="s">
        <v>1362</v>
      </c>
      <c r="F55" s="2553" t="str">
        <f>IF(H55="正常",I55,"免征")</f>
        <v>免征</v>
      </c>
      <c r="G55" s="2554"/>
      <c r="H55" s="2549"/>
      <c r="I55" s="164">
        <f>'数据-取费表'!B49</f>
        <v>5.0000000000000001E-4</v>
      </c>
      <c r="J55" s="2522">
        <f>IF(H59="非个人房产","",4)</f>
        <v>4</v>
      </c>
      <c r="K55" s="3609" t="str">
        <f>IF(H59="非个人房产","——","个人所得税")</f>
        <v>个人所得税</v>
      </c>
      <c r="L55" s="3609"/>
      <c r="M55" s="2527">
        <f ca="1">D59</f>
        <v>11</v>
      </c>
      <c r="N55" s="2039" t="str">
        <f>E59</f>
        <v>差额计税</v>
      </c>
      <c r="O55" s="2528">
        <f>F59</f>
        <v>0.01</v>
      </c>
    </row>
    <row r="56" spans="1:35" ht="24.75">
      <c r="A56" s="3559" t="s">
        <v>1363</v>
      </c>
      <c r="B56" s="3560"/>
      <c r="C56" s="3560"/>
      <c r="D56" s="2323">
        <f ca="1">IF(H56="个人住宅",D57,D58)</f>
        <v>638</v>
      </c>
      <c r="E56" s="2333" t="s">
        <v>1364</v>
      </c>
      <c r="F56" s="2553" t="str">
        <f>IF(H56="正常",F58,"免征")</f>
        <v>免征</v>
      </c>
      <c r="G56" s="2556" t="s">
        <v>1365</v>
      </c>
      <c r="H56" s="2557"/>
      <c r="I56" s="1807"/>
      <c r="J56" s="2522" t="str">
        <f>IF(项目基本情况!K6="上海银行",IF(J55="",4,J55+1),"")</f>
        <v/>
      </c>
      <c r="K56" s="3632" t="str">
        <f>IF(项目基本情况!K6="上海银行","其他处置费用","")</f>
        <v/>
      </c>
      <c r="L56" s="3633"/>
      <c r="M56" s="2524" t="str">
        <f>IF(项目基本情况!K6="上海银行",M69,"")</f>
        <v/>
      </c>
      <c r="N56" s="3632" t="str">
        <f>IF(项目基本情况!K6="上海银行","包含处置中涉及的律师、诉讼、拍卖、评估等费用","")</f>
        <v/>
      </c>
      <c r="O56" s="3635"/>
    </row>
    <row r="57" spans="1:35" ht="12.75">
      <c r="A57" s="2334" t="s">
        <v>1341</v>
      </c>
      <c r="B57" s="3570" t="s">
        <v>1366</v>
      </c>
      <c r="C57" s="3571"/>
      <c r="D57" s="1589">
        <v>0</v>
      </c>
      <c r="E57" s="323" t="s">
        <v>1343</v>
      </c>
      <c r="F57" s="301"/>
      <c r="G57" s="2554"/>
      <c r="H57" s="2558"/>
      <c r="I57" s="1807"/>
      <c r="J57" s="3609">
        <f>IF(AND(J55="",J56=""),4,IF(项目基本情况!K6="上海银行",结果表!J56+1,结果表!J55+1))</f>
        <v>5</v>
      </c>
      <c r="K57" s="3609" t="s">
        <v>1367</v>
      </c>
      <c r="L57" s="2529" t="s">
        <v>1368</v>
      </c>
      <c r="M57" s="2530"/>
      <c r="N57" s="2531">
        <f ca="1">SUMIF(M52:M56,"&lt;9e307")</f>
        <v>650</v>
      </c>
      <c r="O57" s="2532"/>
      <c r="P57" s="2689">
        <f ca="1">N57/M49</f>
        <v>0.57726465364120783</v>
      </c>
    </row>
    <row r="58" spans="1:35" ht="24.75">
      <c r="A58" s="2334" t="s">
        <v>1352</v>
      </c>
      <c r="B58" s="3570" t="s">
        <v>1369</v>
      </c>
      <c r="C58" s="3544"/>
      <c r="D58" s="2323">
        <f ca="1">IF(H58="转让取得",C81,C97)</f>
        <v>638</v>
      </c>
      <c r="E58" s="2333" t="s">
        <v>1364</v>
      </c>
      <c r="F58" s="301" t="s">
        <v>28</v>
      </c>
      <c r="G58" s="2554"/>
      <c r="H58" s="2557"/>
      <c r="I58" s="1807"/>
      <c r="J58" s="3609"/>
      <c r="K58" s="3609"/>
      <c r="L58" s="2529" t="s">
        <v>1370</v>
      </c>
      <c r="M58" s="2533"/>
      <c r="N58" s="2534" t="str">
        <f ca="1">NUMBERSTRING(INT(N57*10000),2)&amp;"元整"</f>
        <v>陆佰伍拾万元整</v>
      </c>
      <c r="O58" s="2535"/>
    </row>
    <row r="59" spans="1:35" ht="24.75" thickBot="1">
      <c r="A59" s="3612" t="s">
        <v>1371</v>
      </c>
      <c r="B59" s="3613"/>
      <c r="C59" s="3613"/>
      <c r="D59" s="2559">
        <f ca="1">IF(H59="非个人房产","——",IF(H59="个人住宅（满五唯一有凭证）",0,IF(H59="个人其他（无凭证）",ROUND(D45*F59,0),ROUND(C67*F59,0))))</f>
        <v>11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610">
        <f>J57+1</f>
        <v>6</v>
      </c>
      <c r="K59" s="3609" t="s">
        <v>1372</v>
      </c>
      <c r="L59" s="2522" t="s">
        <v>1368</v>
      </c>
      <c r="M59" s="2536"/>
      <c r="N59" s="2537">
        <f ca="1">M49-N57</f>
        <v>476</v>
      </c>
      <c r="O59" s="2538"/>
    </row>
    <row r="60" spans="1:35" ht="12" customHeight="1">
      <c r="A60" s="1808"/>
      <c r="B60" s="1746"/>
      <c r="C60" s="1746"/>
      <c r="D60" s="1746"/>
      <c r="E60" s="1577"/>
      <c r="F60" s="1807"/>
      <c r="G60" s="1807"/>
      <c r="H60" s="1809"/>
      <c r="I60" s="128"/>
      <c r="J60" s="3611"/>
      <c r="K60" s="3609"/>
      <c r="L60" s="2529" t="s">
        <v>1370</v>
      </c>
      <c r="M60" s="2533"/>
      <c r="N60" s="2534" t="str">
        <f ca="1">NUMBERSTRING(INT(N59*10000),2)&amp;"元整"</f>
        <v>肆佰柒拾陆万元整</v>
      </c>
      <c r="O60" s="2535"/>
    </row>
    <row r="61" spans="1:35" ht="13.5" thickBot="1">
      <c r="A61" s="3557" t="s">
        <v>1373</v>
      </c>
      <c r="B61" s="3557"/>
      <c r="C61" s="3557"/>
      <c r="D61" s="3557"/>
      <c r="E61" s="3557"/>
      <c r="F61" s="1807"/>
      <c r="G61" s="1807"/>
      <c r="H61" s="1809"/>
      <c r="I61" s="128"/>
      <c r="J61" s="2522">
        <f>J59+1</f>
        <v>7</v>
      </c>
      <c r="K61" s="3609" t="s">
        <v>1374</v>
      </c>
      <c r="L61" s="3609"/>
      <c r="M61" s="2539"/>
      <c r="N61" s="2540">
        <f ca="1">ROUND(N59*10000/'数据-汇总表'!E3,0)</f>
        <v>3439</v>
      </c>
      <c r="O61" s="2541"/>
    </row>
    <row r="62" spans="1:35" ht="12.75">
      <c r="A62" s="3575" t="s">
        <v>1375</v>
      </c>
      <c r="B62" s="3576"/>
      <c r="C62" s="2020"/>
      <c r="D62" s="2020" t="s">
        <v>1376</v>
      </c>
      <c r="E62" s="165" t="s">
        <v>1377</v>
      </c>
      <c r="F62" s="1807"/>
      <c r="G62" s="1807"/>
      <c r="H62" s="1809"/>
      <c r="I62" s="128"/>
    </row>
    <row r="63" spans="1:35" ht="12.75">
      <c r="A63" s="172" t="s">
        <v>330</v>
      </c>
      <c r="B63" s="166" t="s">
        <v>1378</v>
      </c>
      <c r="C63" s="2563">
        <f ca="1">ROUND((C64+C65)/(1+'数据-取费表'!C42),0)</f>
        <v>1072</v>
      </c>
      <c r="D63" s="166"/>
      <c r="E63" s="167"/>
      <c r="F63" s="1807"/>
      <c r="G63" s="1807"/>
      <c r="H63" s="1809"/>
      <c r="I63" s="128"/>
      <c r="J63" s="3634" t="s">
        <v>1379</v>
      </c>
      <c r="K63" s="1331" t="s">
        <v>1380</v>
      </c>
      <c r="L63" s="1331">
        <f ca="1">IF(M49&gt;10000,M49*0.5%,IF(AND(M49&gt;1000,M49&lt;=10000),M49*1%,IF(AND(M49&gt;100,M49&lt;=1000),M49*3%,IF(AND(M49&gt;10,M49&lt;=100),M49*5%,M49*8%))))</f>
        <v>11.26</v>
      </c>
      <c r="M63" s="301">
        <f ca="1">ROUND(L63,1)</f>
        <v>11.3</v>
      </c>
      <c r="N63" s="2542"/>
      <c r="Z63" s="1751"/>
      <c r="AI63" s="1752"/>
    </row>
    <row r="64" spans="1:35" ht="14.25" customHeight="1">
      <c r="A64" s="168" t="s">
        <v>325</v>
      </c>
      <c r="B64" s="169" t="s">
        <v>1381</v>
      </c>
      <c r="C64" s="2564">
        <f ca="1">D45</f>
        <v>1126</v>
      </c>
      <c r="D64" s="169" t="s">
        <v>26</v>
      </c>
      <c r="E64" s="171"/>
      <c r="F64" s="1807"/>
      <c r="G64" s="1807"/>
      <c r="H64" s="1809"/>
      <c r="I64" s="128"/>
      <c r="J64" s="3634"/>
      <c r="K64" s="1331" t="s">
        <v>1382</v>
      </c>
      <c r="L64" s="1331">
        <f ca="1">IF(M49&gt;2000,M49*0.5%,IF(AND(M49&gt;1000,M49&lt;=2000),M49*0.6%,IF(AND(M49&gt;500,M49&lt;=1000),M49*0.7%,IF(AND(M49&gt;200,M49&lt;=500),M49*0.8%,IF(AND(M49&gt;100,M49&lt;=200),M49*0.9%,IF(AND(M49&gt;50,M49&lt;=100),M49*1%,IF(AND(M49&gt;20,M49&lt;=50),M49*1.5%,IF(AND(M49&gt;10,M49&lt;=20),M49*2%,IF(AND(M49&gt;1,M49&lt;=10),M49*2.5%)))))))))</f>
        <v>6.7560000000000002</v>
      </c>
      <c r="M64" s="301">
        <f t="shared" ref="M64:M65" ca="1" si="1">ROUND(L64,1)</f>
        <v>6.8</v>
      </c>
      <c r="N64" s="2543" t="s">
        <v>1383</v>
      </c>
      <c r="Z64" s="1751"/>
      <c r="AI64" s="1752"/>
    </row>
    <row r="65" spans="1:35" ht="14.25" customHeight="1">
      <c r="A65" s="168" t="s">
        <v>326</v>
      </c>
      <c r="B65" s="169" t="s">
        <v>1384</v>
      </c>
      <c r="C65" s="2565"/>
      <c r="D65" s="169"/>
      <c r="E65" s="171"/>
      <c r="F65" s="1807"/>
      <c r="G65" s="1807"/>
      <c r="H65" s="1809"/>
      <c r="I65" s="128"/>
      <c r="J65" s="3634"/>
      <c r="K65" s="1331" t="s">
        <v>1385</v>
      </c>
      <c r="L65" s="1331">
        <f ca="1">IF(M49&gt;1000,M49*0.1%,IF(AND(M49&gt;500,M49&lt;=1000),M49*0.5%,IF(AND(M49&gt;50,M49&lt;=500),M49*1%,IF(AND(M49&gt;1,M49&lt;=50),M49*1.5%))))</f>
        <v>1.1260000000000001</v>
      </c>
      <c r="M65" s="301">
        <f t="shared" ca="1" si="1"/>
        <v>1.1000000000000001</v>
      </c>
      <c r="N65" s="2543" t="s">
        <v>1383</v>
      </c>
      <c r="Z65" s="1751"/>
      <c r="AI65" s="1752"/>
    </row>
    <row r="66" spans="1:35" ht="14.25" customHeight="1">
      <c r="A66" s="172" t="s">
        <v>327</v>
      </c>
      <c r="B66" s="173" t="s">
        <v>1386</v>
      </c>
      <c r="C66" s="2566"/>
      <c r="D66" s="173" t="s">
        <v>26</v>
      </c>
      <c r="E66" s="1337" t="s">
        <v>671</v>
      </c>
      <c r="F66" s="1807"/>
      <c r="G66" s="1807"/>
      <c r="H66" s="1809"/>
      <c r="I66" s="128"/>
      <c r="J66" s="3634"/>
      <c r="K66" s="1331" t="s">
        <v>1387</v>
      </c>
      <c r="L66" s="1331">
        <f ca="1">M49*0.5%</f>
        <v>5.63</v>
      </c>
      <c r="M66" s="301">
        <f ca="1">IF(L66&gt;0.5,0.5,ROUND(L66,0))</f>
        <v>0.5</v>
      </c>
      <c r="N66" s="2543" t="s">
        <v>1388</v>
      </c>
      <c r="Z66" s="1751"/>
      <c r="AI66" s="1752"/>
    </row>
    <row r="67" spans="1:35" ht="14.25" customHeight="1">
      <c r="A67" s="172" t="s">
        <v>328</v>
      </c>
      <c r="B67" s="173" t="s">
        <v>1389</v>
      </c>
      <c r="C67" s="2567">
        <f ca="1">C63-C66</f>
        <v>1072</v>
      </c>
      <c r="D67" s="169" t="s">
        <v>26</v>
      </c>
      <c r="E67" s="171"/>
      <c r="F67" s="1807"/>
      <c r="G67" s="1807"/>
      <c r="H67" s="1809"/>
      <c r="I67" s="128"/>
      <c r="J67" s="3634"/>
      <c r="K67" s="1331" t="s">
        <v>1390</v>
      </c>
      <c r="L67" s="1331">
        <f ca="1">IF(M49&gt;=10000,(8.25+(M49-10000)*0.01%),IF(AND(M49&gt;=8000,M49&lt;10000),(7.85+(M49-8000)*0.02%),IF(AND(M49&gt;=5000,M49&lt;8000),(6.65+(M49-5000)*0.04%),IF(AND(M49&gt;=2000,M49&lt;5000),(4.25+(PM49-2000)*0.08%),IF(AND(M49&gt;=1000,M49&lt;2000),(2.75+(M49-1000)*0.15%),IF(AND(M49&gt;=100,M49&lt;1000),(0.5+(M49-100)*0.25%),IF(AND(M49&gt;0,M49&lt;100),M49*0.5%)))))))</f>
        <v>2.9390000000000001</v>
      </c>
      <c r="M67" s="301">
        <f ca="1">ROUND(L67*0.9,1)</f>
        <v>2.6</v>
      </c>
      <c r="N67" s="2542"/>
      <c r="Z67" s="1751"/>
      <c r="AI67" s="1752"/>
    </row>
    <row r="68" spans="1:35" ht="14.25" customHeight="1" thickBot="1">
      <c r="A68" s="175" t="s">
        <v>329</v>
      </c>
      <c r="B68" s="176" t="s">
        <v>1391</v>
      </c>
      <c r="C68" s="2568">
        <f ca="1">IF(C67&lt;=0,0,ROUND(C67*D68,0))</f>
        <v>59</v>
      </c>
      <c r="D68" s="2569">
        <f>'数据-取费表'!B41</f>
        <v>5.5000000000000007E-2</v>
      </c>
      <c r="E68" s="177"/>
      <c r="F68" s="1807"/>
      <c r="G68" s="1807"/>
      <c r="H68" s="1809"/>
      <c r="I68" s="128"/>
      <c r="J68" s="3634"/>
      <c r="K68" s="1331" t="s">
        <v>1392</v>
      </c>
      <c r="L68" s="1331">
        <f ca="1">IF(M49&gt;10000,M49*0.5%,IF(AND(M49&gt;5000,M49&lt;=10000),M49*1%,IF(AND(M49&gt;1000,M49&lt;=5000),M49*2%,IF(AND(M49&gt;200,M49&lt;=1000),M49*3%,M49*5%))))</f>
        <v>22.52</v>
      </c>
      <c r="M68" s="301">
        <f ca="1">ROUND(L68,1)</f>
        <v>22.5</v>
      </c>
      <c r="N68" s="2542"/>
      <c r="Z68" s="1751"/>
      <c r="AI68" s="1752"/>
    </row>
    <row r="69" spans="1:35" s="1771" customFormat="1" ht="16.5" customHeight="1">
      <c r="A69" s="1810"/>
      <c r="B69" s="1811"/>
      <c r="C69" s="1812"/>
      <c r="D69" s="1813"/>
      <c r="E69" s="1814"/>
      <c r="F69" s="1577"/>
      <c r="G69" s="1577"/>
      <c r="H69" s="1576"/>
      <c r="I69" s="1746"/>
      <c r="J69" s="3634"/>
      <c r="K69" s="1331" t="s">
        <v>1393</v>
      </c>
      <c r="L69" s="1331"/>
      <c r="M69" s="301">
        <f ca="1">ROUND(SUM(M63:M68),0)</f>
        <v>45</v>
      </c>
      <c r="N69" s="2544">
        <f ca="1">M69/M49</f>
        <v>3.9964476021314387E-2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1375</v>
      </c>
      <c r="B71" s="357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1072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0" t="s">
        <v>1402</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v>
      </c>
      <c r="D78" s="2576">
        <f>'数据-取费表'!B43</f>
        <v>5.000000000000001E-3</v>
      </c>
      <c r="E78" s="3554" t="s">
        <v>1406</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1067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213.4</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638</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1375</v>
      </c>
      <c r="B84" s="357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1072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36" t="s">
        <v>2127</v>
      </c>
      <c r="H90" s="3637"/>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54" t="s">
        <v>1419</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54" t="s">
        <v>1422</v>
      </c>
      <c r="F92" s="3555"/>
      <c r="G92" s="3555"/>
      <c r="H92" s="3564"/>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v>
      </c>
      <c r="D93" s="2576">
        <f>'数据-取费表'!B43</f>
        <v>5.000000000000001E-3</v>
      </c>
      <c r="E93" s="3554" t="s">
        <v>1406</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65" t="s">
        <v>1426</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1067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213.4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638</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8" t="s">
        <v>1428</v>
      </c>
      <c r="B100" s="3539"/>
      <c r="C100" s="3539"/>
      <c r="D100" s="3556"/>
      <c r="E100" s="3539" t="s">
        <v>1429</v>
      </c>
      <c r="F100" s="3539"/>
      <c r="G100" s="3539"/>
      <c r="H100" s="3556"/>
      <c r="I100" s="128"/>
    </row>
    <row r="101" spans="1:35" ht="18.75" customHeight="1">
      <c r="A101" s="3617" t="s">
        <v>1430</v>
      </c>
      <c r="B101" s="3618"/>
      <c r="C101" s="2584" t="str">
        <f>C4</f>
        <v>成本法</v>
      </c>
      <c r="D101" s="2585" t="str">
        <f>D4</f>
        <v>收益法</v>
      </c>
      <c r="E101" s="3631" t="s">
        <v>1431</v>
      </c>
      <c r="F101" s="3588"/>
      <c r="G101" s="1826" t="s">
        <v>1432</v>
      </c>
      <c r="H101" s="2594">
        <f ca="1">H118</f>
        <v>1126</v>
      </c>
      <c r="I101" s="128"/>
    </row>
    <row r="102" spans="1:35" ht="18.75" customHeight="1">
      <c r="A102" s="3590" t="s">
        <v>1433</v>
      </c>
      <c r="B102" s="2583" t="s">
        <v>1432</v>
      </c>
      <c r="C102" s="2584">
        <f ca="1">IF(D32="楼面单价",ROUND(C19,0),C19)</f>
        <v>1574</v>
      </c>
      <c r="D102" s="2585">
        <f ca="1">IF(D32="楼面单价",ROUND(D19,0),D19)</f>
        <v>828</v>
      </c>
      <c r="E102" s="3631"/>
      <c r="F102" s="3588"/>
      <c r="G102" s="1826" t="s">
        <v>1434</v>
      </c>
      <c r="H102" s="2554">
        <f ca="1">I118</f>
        <v>8135</v>
      </c>
      <c r="I102" s="128"/>
    </row>
    <row r="103" spans="1:35" ht="42.75" customHeight="1">
      <c r="A103" s="3590"/>
      <c r="B103" s="2583" t="s">
        <v>1434</v>
      </c>
      <c r="C103" s="2586">
        <f ca="1">C20</f>
        <v>11371</v>
      </c>
      <c r="D103" s="2587">
        <f ca="1">D20</f>
        <v>5982</v>
      </c>
      <c r="E103" s="3625" t="s">
        <v>1435</v>
      </c>
      <c r="F103" s="3626"/>
      <c r="G103" s="1827" t="s">
        <v>1436</v>
      </c>
      <c r="H103" s="2594">
        <f>IF(D36="正常操作",H104+H105+H106,H105+H106)</f>
        <v>0</v>
      </c>
      <c r="I103" s="128"/>
    </row>
    <row r="104" spans="1:35" ht="18.75" customHeight="1">
      <c r="A104" s="3590" t="s">
        <v>1437</v>
      </c>
      <c r="B104" s="2588" t="s">
        <v>1432</v>
      </c>
      <c r="C104" s="2589">
        <f ca="1">H118</f>
        <v>1126</v>
      </c>
      <c r="D104" s="2590"/>
      <c r="E104" s="1673" t="s">
        <v>1438</v>
      </c>
      <c r="F104" s="1665"/>
      <c r="G104" s="1827" t="s">
        <v>1436</v>
      </c>
      <c r="H104" s="2595">
        <f>IF(D36="同一抵押权人同一抵押物续贷",C36&amp;"（续贷，未扣减，详见特别提示）",C36)</f>
        <v>0</v>
      </c>
      <c r="I104" s="128"/>
    </row>
    <row r="105" spans="1:35" ht="18.75" customHeight="1" thickBot="1">
      <c r="A105" s="3591"/>
      <c r="B105" s="2591" t="s">
        <v>1434</v>
      </c>
      <c r="C105" s="2592">
        <f ca="1">I118</f>
        <v>8135</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7" t="str">
        <f>IF(项目基本情况!E8="已注销","——","3.房地产抵押价值")</f>
        <v>3.房地产抵押价值</v>
      </c>
      <c r="F107" s="3588"/>
      <c r="G107" s="1826" t="s">
        <v>1432</v>
      </c>
      <c r="H107" s="2594">
        <f ca="1">IF(E107="——","——",H101-H103)</f>
        <v>1126</v>
      </c>
      <c r="I107" s="128"/>
    </row>
    <row r="108" spans="1:35" ht="18.75" customHeight="1">
      <c r="A108" s="128"/>
      <c r="B108" s="128"/>
      <c r="C108" s="128"/>
      <c r="D108" s="128"/>
      <c r="E108" s="3587"/>
      <c r="F108" s="3588"/>
      <c r="G108" s="1826" t="s">
        <v>1434</v>
      </c>
      <c r="H108" s="2554">
        <f ca="1">IF(H107=H101,H102,ROUND(H107*10000/'数据-汇总表'!E3,0))</f>
        <v>8135</v>
      </c>
      <c r="I108" s="128"/>
    </row>
    <row r="109" spans="1:35" ht="18.75" customHeight="1">
      <c r="A109" s="128"/>
      <c r="B109" s="128"/>
      <c r="C109" s="128"/>
      <c r="D109" s="128"/>
      <c r="E109" s="3587" t="str">
        <f>IF(项目基本情况!E8="已注销及未注销","4.抵押担保权已注销时的房地产抵押价值",IF(项目基本情况!E8="已注销","3.抵押担保权已注销时的房地产抵押价值","——"))</f>
        <v>——</v>
      </c>
      <c r="F109" s="3588"/>
      <c r="G109" s="1826" t="s">
        <v>1432</v>
      </c>
      <c r="H109" s="2597" t="str">
        <f>IF(E109="——","——",H101-H105-H106)</f>
        <v>——</v>
      </c>
      <c r="I109" s="128"/>
    </row>
    <row r="110" spans="1:35" ht="18.75" customHeight="1">
      <c r="A110" s="128"/>
      <c r="B110" s="128"/>
      <c r="C110" s="128"/>
      <c r="D110" s="128"/>
      <c r="E110" s="3587"/>
      <c r="F110" s="3588"/>
      <c r="G110" s="1826" t="s">
        <v>1434</v>
      </c>
      <c r="H110" s="2554" t="str">
        <f>IF(H109="——","——",ROUND(H109*10000/'数据-汇总表'!E3,0))</f>
        <v>——</v>
      </c>
      <c r="I110" s="128"/>
    </row>
    <row r="111" spans="1:35" ht="18.75" customHeight="1">
      <c r="A111" s="128"/>
      <c r="B111" s="128"/>
      <c r="C111" s="128"/>
      <c r="D111" s="128"/>
      <c r="E111" s="3619" t="str">
        <f>IF(项目基本情况!E9="抵押净值",IF(OR(项目基本情况!E8="已注销",项目基本情况!E8="房地产抵押价值"),"4.抵押净值","5.抵押净值"),"——")</f>
        <v>——</v>
      </c>
      <c r="F111" s="3589"/>
      <c r="G111" s="1826" t="s">
        <v>1432</v>
      </c>
      <c r="H111" s="2594" t="str">
        <f>IF(E111="——","——",N59)</f>
        <v>——</v>
      </c>
      <c r="I111" s="128"/>
    </row>
    <row r="112" spans="1:35" ht="18.75" customHeight="1" thickBot="1">
      <c r="A112" s="128"/>
      <c r="B112" s="128"/>
      <c r="C112" s="128"/>
      <c r="D112" s="128"/>
      <c r="E112" s="3620"/>
      <c r="F112" s="3621"/>
      <c r="G112" s="1829" t="s">
        <v>1434</v>
      </c>
      <c r="H112" s="2598" t="str">
        <f>IF(E111="——","——",N61)</f>
        <v>——</v>
      </c>
      <c r="I112" s="128"/>
    </row>
    <row r="113" spans="1:27" ht="18.75" customHeight="1">
      <c r="A113" s="128"/>
      <c r="B113" s="128"/>
      <c r="C113" s="128"/>
      <c r="D113" s="128"/>
      <c r="E113" s="3592" t="s">
        <v>1440</v>
      </c>
      <c r="F113" s="3592"/>
      <c r="G113" s="3592"/>
      <c r="H113" s="3592"/>
      <c r="I113" s="128"/>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1384.1800000000003</v>
      </c>
      <c r="C118" s="2328">
        <f>M19</f>
        <v>929.76</v>
      </c>
      <c r="D118" s="2328">
        <f ca="1">ROUND(IF(D32="总价",C34,E118*B118/10000),0)</f>
        <v>776</v>
      </c>
      <c r="E118" s="2328">
        <f ca="1">ROUND(IF(C33="自定义",IF(D32="楼面单价",C34,D118*10000/B118),I118-G118),0)</f>
        <v>5606</v>
      </c>
      <c r="F118" s="2328">
        <f ca="1">ROUND(IF(D32="总价",C35,G118*B118/10000),0)</f>
        <v>350</v>
      </c>
      <c r="G118" s="2328">
        <f ca="1">ROUND(IF(D32="楼面单价",C35,F118*10000/B118),0)</f>
        <v>2529</v>
      </c>
      <c r="H118" s="2328">
        <f ca="1">ROUND(IF(D32="总价",C32,I118*B118/10000),0)</f>
        <v>1126</v>
      </c>
      <c r="I118" s="2328">
        <f ca="1">ROUND(IF(D32="楼面单价",C32,H118*10000/B118),0)</f>
        <v>8135</v>
      </c>
    </row>
    <row r="119" spans="1:27" ht="18.75" customHeight="1">
      <c r="A119" s="3558" t="s">
        <v>1452</v>
      </c>
      <c r="B119" s="3558"/>
      <c r="C119" s="3558"/>
      <c r="D119" s="3598" t="str">
        <f ca="1">NUMBERSTRING(INT(D118*10000),2)&amp;"元整"</f>
        <v>柒佰柒拾陆万元整</v>
      </c>
      <c r="E119" s="3600"/>
      <c r="F119" s="3598" t="str">
        <f ca="1">NUMBERSTRING(INT(F118*10000),2)&amp;"元整"</f>
        <v>叁佰伍拾万元整</v>
      </c>
      <c r="G119" s="3600"/>
      <c r="H119" s="3598" t="str">
        <f ca="1">NUMBERSTRING(INT(H118*10000),2)&amp;"元整"</f>
        <v>壹仟壹佰贰拾陆万元整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599"/>
      <c r="C121" s="3600"/>
      <c r="D121" s="3598" t="str">
        <f>IF(D120=0,"零元整",NUMBERSTRING(INT(D120*10000),2)&amp;"元整")</f>
        <v>零元整</v>
      </c>
      <c r="E121" s="3599"/>
      <c r="F121" s="3599"/>
      <c r="G121" s="3599"/>
      <c r="H121" s="3599"/>
      <c r="I121" s="3600"/>
      <c r="AA121" s="724"/>
    </row>
    <row r="122" spans="1:27" ht="18.75" customHeight="1">
      <c r="A122" s="3589" t="str">
        <f>IF(项目基本情况!B9="房地产市场价值","",MID(E107,3,LEN(E107)-2))</f>
        <v>房地产抵押价值</v>
      </c>
      <c r="B122" s="3589"/>
      <c r="C122" s="3589"/>
      <c r="D122" s="3622">
        <f ca="1">H107</f>
        <v>1126</v>
      </c>
      <c r="E122" s="3623"/>
      <c r="F122" s="3623"/>
      <c r="G122" s="3623"/>
      <c r="H122" s="3623"/>
      <c r="I122" s="3624"/>
      <c r="AA122" s="724"/>
    </row>
    <row r="123" spans="1:27" ht="18.75" customHeight="1">
      <c r="A123" s="3558" t="s">
        <v>1452</v>
      </c>
      <c r="B123" s="3558"/>
      <c r="C123" s="3558"/>
      <c r="D123" s="3598" t="str">
        <f ca="1">NUMBERSTRING(INT(D122*10000),2)&amp;"元整"</f>
        <v>壹仟壹佰贰拾陆万元整</v>
      </c>
      <c r="E123" s="3599"/>
      <c r="F123" s="3599"/>
      <c r="G123" s="3599"/>
      <c r="H123" s="3599"/>
      <c r="I123" s="3600"/>
      <c r="AA123" s="724"/>
    </row>
    <row r="124" spans="1:27" ht="18.75" customHeight="1">
      <c r="A124" s="3589" t="str">
        <f>IF(项目基本情况!B9="房地产市场价值","",MID(E109,3,LEN(E109)-2))</f>
        <v/>
      </c>
      <c r="B124" s="3589"/>
      <c r="C124" s="3589"/>
      <c r="D124" s="3622" t="str">
        <f>H109</f>
        <v>——</v>
      </c>
      <c r="E124" s="3623"/>
      <c r="F124" s="3623"/>
      <c r="G124" s="3623"/>
      <c r="H124" s="3623"/>
      <c r="I124" s="3624"/>
      <c r="AA124" s="724"/>
    </row>
    <row r="125" spans="1:27" ht="18.75" customHeight="1">
      <c r="A125" s="3558" t="s">
        <v>1452</v>
      </c>
      <c r="B125" s="3558"/>
      <c r="C125" s="3558"/>
      <c r="D125" s="3598" t="e">
        <f>NUMBERSTRING(INT(D124*10000),2)&amp;"元整"</f>
        <v>#VALUE!</v>
      </c>
      <c r="E125" s="3599"/>
      <c r="F125" s="3599"/>
      <c r="G125" s="3599"/>
      <c r="H125" s="3599"/>
      <c r="I125" s="3600"/>
      <c r="AA125" s="724"/>
    </row>
    <row r="126" spans="1:27" ht="18.75" customHeight="1">
      <c r="A126" s="3589" t="str">
        <f>IF(项目基本情况!B9="房地产市场价值","",MID(E111,3,LEN(E111)-2))</f>
        <v/>
      </c>
      <c r="B126" s="3589"/>
      <c r="C126" s="3589"/>
      <c r="D126" s="3622" t="str">
        <f>H111</f>
        <v>——</v>
      </c>
      <c r="E126" s="3623"/>
      <c r="F126" s="3623"/>
      <c r="G126" s="3623"/>
      <c r="H126" s="3623"/>
      <c r="I126" s="3624"/>
      <c r="AA126" s="724"/>
    </row>
    <row r="127" spans="1:27" ht="18.75" customHeight="1">
      <c r="A127" s="3558" t="s">
        <v>1452</v>
      </c>
      <c r="B127" s="3558"/>
      <c r="C127" s="3558"/>
      <c r="D127" s="3598" t="e">
        <f>NUMBERSTRING(INT(D126*10000),2)&amp;"元整"</f>
        <v>#VALUE!</v>
      </c>
      <c r="E127" s="3599"/>
      <c r="F127" s="3599"/>
      <c r="G127" s="3599"/>
      <c r="H127" s="3599"/>
      <c r="I127" s="3600"/>
      <c r="AA127" s="724"/>
    </row>
    <row r="128" spans="1:27" ht="21.75" customHeight="1">
      <c r="A128" s="3605" t="s">
        <v>1453</v>
      </c>
      <c r="B128" s="3605"/>
      <c r="C128" s="3605"/>
      <c r="D128" s="3605"/>
      <c r="E128" s="3605"/>
      <c r="F128" s="3605"/>
      <c r="G128" s="3605"/>
      <c r="H128" s="3605"/>
      <c r="I128" s="360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abSelected="1" view="pageBreakPreview" zoomScale="70" zoomScaleNormal="70" zoomScaleSheetLayoutView="70" workbookViewId="0">
      <selection activeCell="F19" sqref="F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v>
      </c>
      <c r="C1" s="197"/>
      <c r="D1" s="197"/>
      <c r="E1" s="197"/>
      <c r="F1" s="197"/>
      <c r="G1" s="1125">
        <f>MATCH(B1,'数据-取费表'!A6:A16,0)+5</f>
        <v>6</v>
      </c>
    </row>
    <row r="2" spans="1:9" s="199" customFormat="1" ht="18" customHeight="1">
      <c r="A2" s="200" t="s">
        <v>1462</v>
      </c>
      <c r="B2" s="201">
        <f ca="1">IF(D2="——",C52,C52-E2)</f>
        <v>1574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11371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909</v>
      </c>
      <c r="D5" s="210" t="s">
        <v>1469</v>
      </c>
      <c r="E5" s="211" t="s">
        <v>1470</v>
      </c>
      <c r="F5" s="211" t="s">
        <v>1471</v>
      </c>
      <c r="G5" s="212"/>
    </row>
    <row r="6" spans="1:9" s="213" customFormat="1" ht="13.5" customHeight="1">
      <c r="A6" s="777" t="s">
        <v>1472</v>
      </c>
      <c r="B6" s="214" t="s">
        <v>1473</v>
      </c>
      <c r="C6" s="215">
        <f>基准地价修正!E33</f>
        <v>855</v>
      </c>
      <c r="D6" s="216"/>
      <c r="E6" s="217"/>
      <c r="F6" s="217"/>
      <c r="G6" s="218"/>
    </row>
    <row r="7" spans="1:9" s="213" customFormat="1" ht="13.5" customHeight="1">
      <c r="A7" s="777" t="s">
        <v>1474</v>
      </c>
      <c r="B7" s="214" t="s">
        <v>1475</v>
      </c>
      <c r="C7" s="219">
        <f>ROUND(C6*F7,0)</f>
        <v>26</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28</v>
      </c>
      <c r="D8" s="221"/>
      <c r="E8" s="219"/>
      <c r="F8" s="220"/>
      <c r="G8" s="1855" t="s">
        <v>3385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3386</v>
      </c>
      <c r="H9" s="1136"/>
      <c r="I9" s="1857" t="s">
        <v>1479</v>
      </c>
    </row>
    <row r="10" spans="1:9" s="213" customFormat="1" ht="13.5" customHeight="1">
      <c r="A10" s="778" t="s">
        <v>356</v>
      </c>
      <c r="B10" s="223" t="s">
        <v>1480</v>
      </c>
      <c r="C10" s="224">
        <f ca="1">ROUND(D10*E10/10000,0)</f>
        <v>28</v>
      </c>
      <c r="D10" s="844">
        <f ca="1">IF(B1="",'数据-汇总表'!E6,IF(INDIRECT("'数据-取费表'!c"&amp;$G$1)="住宅",INDIRECT("'数据-取费表'!s"&amp;$G$1),INDIRECT("'数据-取费表'!k"&amp;$G$1)+INDIRECT("'数据-取费表'!s"&amp;$G$1)))</f>
        <v>1384.1800000000003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1384.1800000000003</v>
      </c>
      <c r="E19" s="210">
        <f>'数据-取费表'!B31</f>
        <v>200</v>
      </c>
      <c r="F19" s="230"/>
      <c r="G19" s="1855" t="s">
        <v>3387</v>
      </c>
    </row>
    <row r="20" spans="1:7" s="213" customFormat="1" ht="13.5" customHeight="1">
      <c r="A20" s="254" t="s">
        <v>1493</v>
      </c>
      <c r="B20" s="209" t="s">
        <v>1494</v>
      </c>
      <c r="C20" s="231">
        <f ca="1">ROUND((C5+C19)*F20,0)</f>
        <v>18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31</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31</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46</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46</v>
      </c>
      <c r="D28" s="234"/>
      <c r="E28" s="235"/>
      <c r="F28" s="245"/>
      <c r="G28" s="246"/>
    </row>
    <row r="29" spans="1:7" s="213" customFormat="1" ht="13.5" customHeight="1">
      <c r="A29" s="779"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1084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491</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443</v>
      </c>
      <c r="D34" s="216"/>
      <c r="E34" s="219"/>
      <c r="F34" s="256">
        <f ca="1">IF('数据-取费表'!B24=0,1,IF(B1="",'数据-取费表'!N16,INDIRECT("'数据-取费表'!n"&amp;$G$1)))</f>
        <v>1</v>
      </c>
      <c r="G34" s="218" t="s">
        <v>1526</v>
      </c>
    </row>
    <row r="35" spans="1:7" ht="13.5" customHeight="1">
      <c r="A35" s="779" t="s">
        <v>351</v>
      </c>
      <c r="B35" s="214" t="s">
        <v>1527</v>
      </c>
      <c r="C35" s="219">
        <f ca="1">ROUND(C34*F35,0)</f>
        <v>13</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28</v>
      </c>
      <c r="D37" s="216">
        <f ca="1">D19</f>
        <v>1384.1800000000003</v>
      </c>
      <c r="E37" s="248">
        <f>'数据-取费表'!B35</f>
        <v>200</v>
      </c>
      <c r="F37" s="258"/>
      <c r="G37" s="260" t="s">
        <v>1532</v>
      </c>
    </row>
    <row r="38" spans="1:7" ht="13.5" customHeight="1">
      <c r="A38" s="779" t="s">
        <v>354</v>
      </c>
      <c r="B38" s="214" t="s">
        <v>1533</v>
      </c>
      <c r="C38" s="219">
        <f ca="1">ROUND(C34*F38,0)</f>
        <v>7</v>
      </c>
      <c r="D38" s="219"/>
      <c r="E38" s="219"/>
      <c r="F38" s="258">
        <f>'数据-取费表'!B36</f>
        <v>1.4999999999999999E-2</v>
      </c>
      <c r="G38" s="218" t="s">
        <v>1528</v>
      </c>
    </row>
    <row r="39" spans="1:7" s="213" customFormat="1" ht="13.5" customHeight="1">
      <c r="A39" s="254" t="s">
        <v>1534</v>
      </c>
      <c r="B39" s="209" t="s">
        <v>1535</v>
      </c>
      <c r="C39" s="231">
        <f ca="1">ROUND(C33*F20,0)</f>
        <v>10</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8</v>
      </c>
      <c r="D42" s="237"/>
      <c r="E42" s="237"/>
      <c r="F42" s="238"/>
      <c r="G42" s="3638" t="s">
        <v>1544</v>
      </c>
    </row>
    <row r="43" spans="1:7" ht="13.5" customHeight="1">
      <c r="A43" s="779" t="s">
        <v>347</v>
      </c>
      <c r="B43" s="214" t="s">
        <v>1545</v>
      </c>
      <c r="C43" s="237">
        <f ca="1">ROUND(IF('数据-取费表'!B22&lt;=1,C39*F22*'数据-取费表'!B21/2,C39*(POWER((1+F22),'数据-取费表'!B21/2)-1)),0)</f>
        <v>0</v>
      </c>
      <c r="D43" s="237"/>
      <c r="E43" s="237"/>
      <c r="F43" s="238"/>
      <c r="G43" s="3639"/>
    </row>
    <row r="44" spans="1:7" ht="13.5" customHeight="1">
      <c r="A44" s="779" t="s">
        <v>348</v>
      </c>
      <c r="B44" s="214" t="s">
        <v>1546</v>
      </c>
      <c r="C44" s="237">
        <f ca="1">ROUND(IF('数据-取费表'!B22&lt;=1,C40*F22*'数据-取费表'!B21/2,C40*(POWER((1+F22),'数据-取费表'!B21/2)-1)),4)</f>
        <v>2.9999999999999997E-4</v>
      </c>
      <c r="D44" s="237"/>
      <c r="E44" s="237"/>
      <c r="F44" s="238"/>
      <c r="G44" s="3640"/>
    </row>
    <row r="45" spans="1:7" s="213" customFormat="1" ht="13.5" customHeight="1">
      <c r="A45" s="254" t="s">
        <v>1547</v>
      </c>
      <c r="B45" s="243" t="s">
        <v>1513</v>
      </c>
      <c r="C45" s="244">
        <f ca="1">C46</f>
        <v>25</v>
      </c>
      <c r="D45" s="234">
        <f ca="1">C47</f>
        <v>1E-3</v>
      </c>
      <c r="E45" s="235" t="s">
        <v>1539</v>
      </c>
      <c r="F45" s="245">
        <f ca="1">F27</f>
        <v>0.05</v>
      </c>
      <c r="G45" s="246" t="s">
        <v>1548</v>
      </c>
    </row>
    <row r="46" spans="1:7" s="213" customFormat="1" ht="13.5" customHeight="1">
      <c r="A46" s="779" t="s">
        <v>346</v>
      </c>
      <c r="B46" s="247" t="s">
        <v>1549</v>
      </c>
      <c r="C46" s="248">
        <f ca="1">ROUND((C33+C39)*F27,0)</f>
        <v>25</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576</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490</v>
      </c>
      <c r="D51" s="231"/>
      <c r="E51" s="231"/>
      <c r="F51" s="263"/>
      <c r="G51" s="233" t="s">
        <v>1560</v>
      </c>
    </row>
    <row r="52" spans="1:7" s="207" customFormat="1" ht="16.5" thickBot="1">
      <c r="A52" s="264" t="s">
        <v>1561</v>
      </c>
      <c r="B52" s="265"/>
      <c r="C52" s="266">
        <f ca="1">C31+C51</f>
        <v>1574</v>
      </c>
      <c r="D52" s="265"/>
      <c r="E52" s="265"/>
      <c r="F52" s="265"/>
      <c r="G52" s="267"/>
    </row>
    <row r="55" spans="1:7" ht="15">
      <c r="B55" s="269" t="s">
        <v>1562</v>
      </c>
      <c r="C55" s="270"/>
    </row>
    <row r="56" spans="1:7">
      <c r="B56" s="272" t="s">
        <v>802</v>
      </c>
      <c r="C56" s="274">
        <f ca="1">1-C57</f>
        <v>0.68900000000000006</v>
      </c>
    </row>
    <row r="57" spans="1:7">
      <c r="B57" s="272" t="s">
        <v>803</v>
      </c>
      <c r="C57" s="273">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北京市房地产抵押价值预评估</v>
      </c>
      <c r="C37" s="3455"/>
      <c r="D37" s="3455"/>
      <c r="E37" s="3455"/>
      <c r="F37" s="3455"/>
      <c r="G37" s="3455"/>
      <c r="H37" s="3455"/>
      <c r="I37" s="345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P49" sqref="P49"/>
      <selection pane="bottomLeft" activeCell="P47" sqref="P4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644" t="s">
        <v>2083</v>
      </c>
      <c r="D1" s="3645"/>
      <c r="E1" s="3645"/>
      <c r="F1" s="3645"/>
      <c r="G1" s="3645"/>
      <c r="H1" s="3645"/>
      <c r="I1" s="3645"/>
      <c r="J1" s="3645"/>
      <c r="K1" s="3645"/>
      <c r="L1" s="3645"/>
      <c r="M1" s="3645"/>
      <c r="N1" s="3645"/>
      <c r="O1" s="3645"/>
      <c r="P1" s="3645"/>
      <c r="Q1" s="3645"/>
      <c r="R1" s="3645"/>
      <c r="S1" s="3646"/>
      <c r="T1" s="982" t="s">
        <v>2084</v>
      </c>
    </row>
    <row r="2" spans="1:45" s="654" customFormat="1" ht="38.25">
      <c r="A2" s="983"/>
      <c r="B2" s="650" t="s">
        <v>2085</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C4-1</f>
        <v>99</v>
      </c>
      <c r="E4" s="989">
        <f t="shared" ref="E4:H4" si="7">D4-1</f>
        <v>98</v>
      </c>
      <c r="F4" s="989">
        <f t="shared" si="7"/>
        <v>97</v>
      </c>
      <c r="G4" s="989">
        <f t="shared" si="7"/>
        <v>96</v>
      </c>
      <c r="H4" s="989">
        <f t="shared" si="7"/>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8">D6-$T5</f>
        <v>100</v>
      </c>
      <c r="F6" s="1315">
        <f t="shared" si="8"/>
        <v>100</v>
      </c>
      <c r="G6" s="1315">
        <f t="shared" si="8"/>
        <v>100</v>
      </c>
      <c r="H6" s="1315">
        <f t="shared" si="8"/>
        <v>100</v>
      </c>
      <c r="I6" s="1315">
        <f t="shared" si="8"/>
        <v>100</v>
      </c>
      <c r="J6" s="1315">
        <f t="shared" si="8"/>
        <v>100</v>
      </c>
      <c r="K6" s="1315">
        <f t="shared" si="8"/>
        <v>100</v>
      </c>
      <c r="L6" s="1315">
        <f t="shared" si="8"/>
        <v>100</v>
      </c>
      <c r="M6" s="1315">
        <f t="shared" si="8"/>
        <v>100</v>
      </c>
      <c r="N6" s="1315">
        <f t="shared" si="8"/>
        <v>100</v>
      </c>
      <c r="O6" s="1315">
        <f t="shared" si="8"/>
        <v>100</v>
      </c>
      <c r="P6" s="1315">
        <f t="shared" si="8"/>
        <v>100</v>
      </c>
      <c r="Q6" s="1315">
        <f t="shared" si="8"/>
        <v>100</v>
      </c>
      <c r="R6" s="1315">
        <f t="shared" si="8"/>
        <v>100</v>
      </c>
      <c r="S6" s="1315">
        <f t="shared" si="8"/>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1315">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#VALUE!</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#VALUE!</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641" t="s">
        <v>27</v>
      </c>
      <c r="D22" s="3642"/>
      <c r="E22" s="3642"/>
      <c r="F22" s="3642"/>
      <c r="G22" s="3642"/>
      <c r="H22" s="3642"/>
      <c r="I22" s="3642"/>
      <c r="J22" s="3642"/>
      <c r="K22" s="3642"/>
      <c r="L22" s="3642"/>
      <c r="M22" s="3642"/>
      <c r="N22" s="3642"/>
      <c r="O22" s="3642"/>
      <c r="P22" s="3642"/>
      <c r="Q22" s="3643"/>
      <c r="R22" s="662" t="e">
        <f ca="1">ROUND(S22*10000/B22,0)</f>
        <v>#VALUE!</v>
      </c>
      <c r="S22" s="21" t="e">
        <f ca="1">SUM(S24:S10000)</f>
        <v>#VALUE!</v>
      </c>
      <c r="T22" s="724" t="e">
        <f ca="1">SUM(T24:T29)</f>
        <v>#VALUE!</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Sheet1!A2</f>
        <v>亦庄新城YZ00-0803街区1502地块工业项目</v>
      </c>
      <c r="B24" s="664" t="str">
        <f>Sheet1!B2</f>
        <v>北京市</v>
      </c>
      <c r="C24" s="2809">
        <v>1</v>
      </c>
      <c r="D24" s="2810"/>
      <c r="E24" s="2809">
        <v>1</v>
      </c>
      <c r="F24" s="2810"/>
      <c r="G24" s="2809">
        <v>1</v>
      </c>
      <c r="H24" s="2810"/>
      <c r="I24" s="2809">
        <v>1</v>
      </c>
      <c r="J24" s="2810"/>
      <c r="K24" s="2809">
        <v>1</v>
      </c>
      <c r="L24" s="2810"/>
      <c r="M24" s="2809">
        <v>1</v>
      </c>
      <c r="N24" s="2810"/>
      <c r="O24" s="2809">
        <v>1</v>
      </c>
      <c r="P24" s="2810"/>
      <c r="Q24" s="2809">
        <v>1</v>
      </c>
      <c r="R24" s="667">
        <f ca="1">结果表!G20</f>
        <v>8138</v>
      </c>
      <c r="S24" s="665" t="e">
        <f t="shared" ref="S24:S54" ca="1" si="12">ROUND(R24*B24/10000,0)</f>
        <v>#VALUE!</v>
      </c>
      <c r="T24" s="729" t="e">
        <f ca="1">ROUND(B24*R24,0)</f>
        <v>#VALUE!</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Sheet1!A3</f>
        <v>亦庄新城YZ00-0106街区15M1地块工业项目</v>
      </c>
      <c r="B25" s="664" t="str">
        <f>Sheet1!B3</f>
        <v>北京市</v>
      </c>
      <c r="C25" s="21" t="e">
        <f>IF(B25="",1,(LOOKUP(B25,$3:$3,$4:$4)-LOOKUP($B$24,$3:$3,$4:$4)+100)/100)</f>
        <v>#N/A</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 ca="1">IF(B25="",0,ROUND($R$24*C25*E25*G25*I25*K25*M25*O25*Q25,0))</f>
        <v>#N/A</v>
      </c>
      <c r="S25" s="315" t="e">
        <f t="shared" ca="1" si="12"/>
        <v>#N/A</v>
      </c>
      <c r="T25" s="729" t="e">
        <f t="shared" ref="T25:T29" ca="1" si="13">ROUND(B25*R25,0)</f>
        <v>#VALUE!</v>
      </c>
    </row>
    <row r="26" spans="1:45">
      <c r="A26" s="664" t="str">
        <f>Sheet1!A4</f>
        <v>亦庄新城YZ00-0206街区X44M1地块M1/M4混合用地项目</v>
      </c>
      <c r="B26" s="664" t="str">
        <f>Sheet1!B4</f>
        <v>北京市</v>
      </c>
      <c r="C26" s="21" t="e">
        <f t="shared" ref="C26:C89" si="14">IF(B26="",1,(LOOKUP(B26,$3:$3,$4:$4)-LOOKUP($B$24,$3:$3,$4:$4)+100)/100)</f>
        <v>#N/A</v>
      </c>
      <c r="D26" s="666"/>
      <c r="E26" s="21">
        <f t="shared" ref="E26:E89" si="15">(SUMIF($5:$5,D26,$6:$6)-SUMIF($5:$5,$D$24,$6:$6)+100)/100</f>
        <v>1</v>
      </c>
      <c r="F26" s="666"/>
      <c r="G26" s="21">
        <f t="shared" ref="G26:G89" si="16">(SUMIF($7:$7,F26,$8:$8)-SUMIF($7:$7,$F$24,$8:$8)+100)/100</f>
        <v>1</v>
      </c>
      <c r="H26" s="666"/>
      <c r="I26" s="21">
        <f t="shared" ref="I26:I89" si="17">(SUMIF($9:$9,H26,$10:$10)-SUMIF($9:$9,$H$24,$10:$10)+100)/100</f>
        <v>1</v>
      </c>
      <c r="J26" s="666"/>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t="e">
        <f t="shared" ref="R26:R89" ca="1" si="22">IF(B26="",0,ROUND($R$24*C26*E26*G26*I26*K26*M26*O26*Q26,0))</f>
        <v>#N/A</v>
      </c>
      <c r="S26" s="315" t="e">
        <f t="shared" ca="1" si="12"/>
        <v>#N/A</v>
      </c>
      <c r="T26" s="729" t="e">
        <f t="shared" ca="1" si="13"/>
        <v>#VALUE!</v>
      </c>
    </row>
    <row r="27" spans="1:45">
      <c r="A27" s="664" t="str">
        <f>Sheet1!A5</f>
        <v>亦庄新城0606街区YZ00-0606-0036地块工业项目</v>
      </c>
      <c r="B27" s="664" t="str">
        <f>Sheet1!B5</f>
        <v>北京市</v>
      </c>
      <c r="C27" s="21" t="e">
        <f t="shared" si="14"/>
        <v>#N/A</v>
      </c>
      <c r="D27" s="666"/>
      <c r="E27" s="21">
        <f t="shared" si="15"/>
        <v>1</v>
      </c>
      <c r="F27" s="666"/>
      <c r="G27" s="21">
        <f t="shared" si="16"/>
        <v>1</v>
      </c>
      <c r="H27" s="666"/>
      <c r="I27" s="21">
        <f t="shared" si="17"/>
        <v>1</v>
      </c>
      <c r="J27" s="666"/>
      <c r="K27" s="21">
        <f t="shared" si="18"/>
        <v>1</v>
      </c>
      <c r="L27" s="666"/>
      <c r="M27" s="21">
        <f t="shared" si="19"/>
        <v>1</v>
      </c>
      <c r="N27" s="666"/>
      <c r="O27" s="21">
        <f t="shared" si="20"/>
        <v>1</v>
      </c>
      <c r="P27" s="666"/>
      <c r="Q27" s="21">
        <f t="shared" si="21"/>
        <v>1</v>
      </c>
      <c r="R27" s="662" t="e">
        <f t="shared" ca="1" si="22"/>
        <v>#N/A</v>
      </c>
      <c r="S27" s="315" t="e">
        <f t="shared" ca="1" si="12"/>
        <v>#N/A</v>
      </c>
      <c r="T27" s="729" t="e">
        <f t="shared" ca="1" si="13"/>
        <v>#VALUE!</v>
      </c>
    </row>
    <row r="28" spans="1:45">
      <c r="A28" s="664" t="str">
        <f>Sheet1!A6</f>
        <v>北京大兴国际机场临空经济区DX16-0206-0104、DX16-0206-0110、DX16-0206-0115地块M1一类工业用地、DX16-0206-0100地块S41公用停车场用地国有建设用地</v>
      </c>
      <c r="B28" s="664" t="str">
        <f>Sheet1!B6</f>
        <v>北京市</v>
      </c>
      <c r="C28" s="21" t="e">
        <f t="shared" si="14"/>
        <v>#N/A</v>
      </c>
      <c r="D28" s="666"/>
      <c r="E28" s="21">
        <f t="shared" si="15"/>
        <v>1</v>
      </c>
      <c r="F28" s="666"/>
      <c r="G28" s="21">
        <f t="shared" si="16"/>
        <v>1</v>
      </c>
      <c r="H28" s="666"/>
      <c r="I28" s="21">
        <f t="shared" si="17"/>
        <v>1</v>
      </c>
      <c r="J28" s="666"/>
      <c r="K28" s="21">
        <f t="shared" si="18"/>
        <v>1</v>
      </c>
      <c r="L28" s="666"/>
      <c r="M28" s="21">
        <f t="shared" si="19"/>
        <v>1</v>
      </c>
      <c r="N28" s="666"/>
      <c r="O28" s="21">
        <f t="shared" si="20"/>
        <v>1</v>
      </c>
      <c r="P28" s="666"/>
      <c r="Q28" s="21">
        <f t="shared" si="21"/>
        <v>1</v>
      </c>
      <c r="R28" s="662" t="e">
        <f t="shared" ca="1" si="22"/>
        <v>#N/A</v>
      </c>
      <c r="S28" s="315" t="e">
        <f t="shared" ca="1" si="12"/>
        <v>#N/A</v>
      </c>
      <c r="T28" s="729" t="e">
        <f t="shared" ca="1" si="13"/>
        <v>#VALUE!</v>
      </c>
    </row>
    <row r="29" spans="1:45">
      <c r="A29" s="664" t="str">
        <f>Sheet1!A7</f>
        <v>亦庄新城0803街区YZ00-0803-1102地块工业项目</v>
      </c>
      <c r="B29" s="664" t="str">
        <f>Sheet1!B7</f>
        <v>北京市</v>
      </c>
      <c r="C29" s="21" t="e">
        <f t="shared" si="14"/>
        <v>#N/A</v>
      </c>
      <c r="D29" s="666"/>
      <c r="E29" s="21">
        <f t="shared" si="15"/>
        <v>1</v>
      </c>
      <c r="F29" s="666"/>
      <c r="G29" s="21">
        <f t="shared" si="16"/>
        <v>1</v>
      </c>
      <c r="H29" s="666"/>
      <c r="I29" s="21">
        <f t="shared" si="17"/>
        <v>1</v>
      </c>
      <c r="J29" s="666"/>
      <c r="K29" s="21">
        <f t="shared" si="18"/>
        <v>1</v>
      </c>
      <c r="L29" s="666"/>
      <c r="M29" s="21">
        <f t="shared" si="19"/>
        <v>1</v>
      </c>
      <c r="N29" s="666"/>
      <c r="O29" s="21">
        <f t="shared" si="20"/>
        <v>1</v>
      </c>
      <c r="P29" s="666"/>
      <c r="Q29" s="21">
        <f t="shared" si="21"/>
        <v>1</v>
      </c>
      <c r="R29" s="662" t="e">
        <f t="shared" ca="1" si="22"/>
        <v>#N/A</v>
      </c>
      <c r="S29" s="315" t="e">
        <f t="shared" ca="1" si="12"/>
        <v>#N/A</v>
      </c>
      <c r="T29" s="729" t="e">
        <f t="shared" ca="1" si="13"/>
        <v>#VALUE!</v>
      </c>
    </row>
    <row r="30" spans="1:45">
      <c r="A30" s="149"/>
      <c r="B30" s="54"/>
      <c r="C30" s="21">
        <f t="shared" si="14"/>
        <v>1</v>
      </c>
      <c r="D30" s="666"/>
      <c r="E30" s="21">
        <f t="shared" si="15"/>
        <v>1</v>
      </c>
      <c r="F30" s="666"/>
      <c r="G30" s="21">
        <f t="shared" si="16"/>
        <v>1</v>
      </c>
      <c r="H30" s="666"/>
      <c r="I30" s="21">
        <f t="shared" si="17"/>
        <v>1</v>
      </c>
      <c r="J30" s="666"/>
      <c r="K30" s="21">
        <f t="shared" si="18"/>
        <v>1</v>
      </c>
      <c r="L30" s="666"/>
      <c r="M30" s="21">
        <f t="shared" si="19"/>
        <v>1</v>
      </c>
      <c r="N30" s="666"/>
      <c r="O30" s="21">
        <f t="shared" si="20"/>
        <v>1</v>
      </c>
      <c r="P30" s="666"/>
      <c r="Q30" s="21">
        <f t="shared" si="21"/>
        <v>1</v>
      </c>
      <c r="R30" s="662">
        <f t="shared" si="22"/>
        <v>0</v>
      </c>
      <c r="S30" s="315">
        <f t="shared" si="12"/>
        <v>0</v>
      </c>
    </row>
    <row r="31" spans="1:45">
      <c r="A31" s="149"/>
      <c r="B31" s="54"/>
      <c r="C31" s="21">
        <f t="shared" si="14"/>
        <v>1</v>
      </c>
      <c r="D31" s="666"/>
      <c r="E31" s="21">
        <f t="shared" si="15"/>
        <v>1</v>
      </c>
      <c r="F31" s="666"/>
      <c r="G31" s="21">
        <f t="shared" si="16"/>
        <v>1</v>
      </c>
      <c r="H31" s="666"/>
      <c r="I31" s="21">
        <f t="shared" si="17"/>
        <v>1</v>
      </c>
      <c r="J31" s="666"/>
      <c r="K31" s="21">
        <f t="shared" si="18"/>
        <v>1</v>
      </c>
      <c r="L31" s="666"/>
      <c r="M31" s="21">
        <f t="shared" si="19"/>
        <v>1</v>
      </c>
      <c r="N31" s="666"/>
      <c r="O31" s="21">
        <f t="shared" si="20"/>
        <v>1</v>
      </c>
      <c r="P31" s="666"/>
      <c r="Q31" s="21">
        <f t="shared" si="21"/>
        <v>1</v>
      </c>
      <c r="R31" s="662">
        <f t="shared" si="22"/>
        <v>0</v>
      </c>
      <c r="S31" s="315">
        <f t="shared" si="12"/>
        <v>0</v>
      </c>
    </row>
    <row r="32" spans="1:45">
      <c r="A32" s="149"/>
      <c r="B32" s="54"/>
      <c r="C32" s="21">
        <f t="shared" si="14"/>
        <v>1</v>
      </c>
      <c r="D32" s="666"/>
      <c r="E32" s="21">
        <f t="shared" si="15"/>
        <v>1</v>
      </c>
      <c r="F32" s="666"/>
      <c r="G32" s="21">
        <f t="shared" si="16"/>
        <v>1</v>
      </c>
      <c r="H32" s="666"/>
      <c r="I32" s="21">
        <f t="shared" si="17"/>
        <v>1</v>
      </c>
      <c r="J32" s="666"/>
      <c r="K32" s="21">
        <f t="shared" si="18"/>
        <v>1</v>
      </c>
      <c r="L32" s="666"/>
      <c r="M32" s="21">
        <f t="shared" si="19"/>
        <v>1</v>
      </c>
      <c r="N32" s="666"/>
      <c r="O32" s="21">
        <f t="shared" si="20"/>
        <v>1</v>
      </c>
      <c r="P32" s="666"/>
      <c r="Q32" s="21">
        <f t="shared" si="21"/>
        <v>1</v>
      </c>
      <c r="R32" s="662">
        <f t="shared" si="22"/>
        <v>0</v>
      </c>
      <c r="S32" s="315">
        <f t="shared" si="12"/>
        <v>0</v>
      </c>
    </row>
    <row r="33" spans="1:19">
      <c r="A33" s="149"/>
      <c r="B33" s="54"/>
      <c r="C33" s="21">
        <f t="shared" si="14"/>
        <v>1</v>
      </c>
      <c r="D33" s="666"/>
      <c r="E33" s="21">
        <f t="shared" si="15"/>
        <v>1</v>
      </c>
      <c r="F33" s="666"/>
      <c r="G33" s="21">
        <f t="shared" si="16"/>
        <v>1</v>
      </c>
      <c r="H33" s="666"/>
      <c r="I33" s="21">
        <f t="shared" si="17"/>
        <v>1</v>
      </c>
      <c r="J33" s="666"/>
      <c r="K33" s="21">
        <f t="shared" si="18"/>
        <v>1</v>
      </c>
      <c r="L33" s="666"/>
      <c r="M33" s="21">
        <f t="shared" si="19"/>
        <v>1</v>
      </c>
      <c r="N33" s="666"/>
      <c r="O33" s="21">
        <f t="shared" si="20"/>
        <v>1</v>
      </c>
      <c r="P33" s="666"/>
      <c r="Q33" s="21">
        <f t="shared" si="21"/>
        <v>1</v>
      </c>
      <c r="R33" s="662">
        <f t="shared" si="22"/>
        <v>0</v>
      </c>
      <c r="S33" s="315">
        <f t="shared" si="12"/>
        <v>0</v>
      </c>
    </row>
    <row r="34" spans="1:19">
      <c r="A34" s="149"/>
      <c r="B34" s="54"/>
      <c r="C34" s="21">
        <f t="shared" si="14"/>
        <v>1</v>
      </c>
      <c r="D34" s="666"/>
      <c r="E34" s="21">
        <f t="shared" si="15"/>
        <v>1</v>
      </c>
      <c r="F34" s="666"/>
      <c r="G34" s="21">
        <f t="shared" si="16"/>
        <v>1</v>
      </c>
      <c r="H34" s="666"/>
      <c r="I34" s="21">
        <f t="shared" si="17"/>
        <v>1</v>
      </c>
      <c r="J34" s="666"/>
      <c r="K34" s="21">
        <f t="shared" si="18"/>
        <v>1</v>
      </c>
      <c r="L34" s="666"/>
      <c r="M34" s="21">
        <f t="shared" si="19"/>
        <v>1</v>
      </c>
      <c r="N34" s="666"/>
      <c r="O34" s="21">
        <f t="shared" si="20"/>
        <v>1</v>
      </c>
      <c r="P34" s="666"/>
      <c r="Q34" s="21">
        <f t="shared" si="21"/>
        <v>1</v>
      </c>
      <c r="R34" s="662">
        <f t="shared" si="22"/>
        <v>0</v>
      </c>
      <c r="S34" s="315">
        <f t="shared" si="12"/>
        <v>0</v>
      </c>
    </row>
    <row r="35" spans="1:19">
      <c r="A35" s="149"/>
      <c r="B35" s="54"/>
      <c r="C35" s="21">
        <f t="shared" si="14"/>
        <v>1</v>
      </c>
      <c r="D35" s="666"/>
      <c r="E35" s="21">
        <f t="shared" si="15"/>
        <v>1</v>
      </c>
      <c r="F35" s="666"/>
      <c r="G35" s="21">
        <f t="shared" si="16"/>
        <v>1</v>
      </c>
      <c r="H35" s="666"/>
      <c r="I35" s="21">
        <f t="shared" si="17"/>
        <v>1</v>
      </c>
      <c r="J35" s="666"/>
      <c r="K35" s="21">
        <f t="shared" si="18"/>
        <v>1</v>
      </c>
      <c r="L35" s="666"/>
      <c r="M35" s="21">
        <f t="shared" si="19"/>
        <v>1</v>
      </c>
      <c r="N35" s="666"/>
      <c r="O35" s="21">
        <f t="shared" si="20"/>
        <v>1</v>
      </c>
      <c r="P35" s="666"/>
      <c r="Q35" s="21">
        <f t="shared" si="21"/>
        <v>1</v>
      </c>
      <c r="R35" s="662">
        <f t="shared" si="22"/>
        <v>0</v>
      </c>
      <c r="S35" s="315">
        <f t="shared" si="12"/>
        <v>0</v>
      </c>
    </row>
    <row r="36" spans="1:19">
      <c r="A36" s="149"/>
      <c r="B36" s="54"/>
      <c r="C36" s="21">
        <f t="shared" si="14"/>
        <v>1</v>
      </c>
      <c r="D36" s="666"/>
      <c r="E36" s="21">
        <f t="shared" si="15"/>
        <v>1</v>
      </c>
      <c r="F36" s="666"/>
      <c r="G36" s="21">
        <f t="shared" si="16"/>
        <v>1</v>
      </c>
      <c r="H36" s="666"/>
      <c r="I36" s="21">
        <f t="shared" si="17"/>
        <v>1</v>
      </c>
      <c r="J36" s="666"/>
      <c r="K36" s="21">
        <f t="shared" si="18"/>
        <v>1</v>
      </c>
      <c r="L36" s="666"/>
      <c r="M36" s="21">
        <f t="shared" si="19"/>
        <v>1</v>
      </c>
      <c r="N36" s="666"/>
      <c r="O36" s="21">
        <f t="shared" si="20"/>
        <v>1</v>
      </c>
      <c r="P36" s="666"/>
      <c r="Q36" s="21">
        <f t="shared" si="21"/>
        <v>1</v>
      </c>
      <c r="R36" s="662">
        <f t="shared" si="22"/>
        <v>0</v>
      </c>
      <c r="S36" s="315">
        <f t="shared" si="12"/>
        <v>0</v>
      </c>
    </row>
    <row r="37" spans="1:19">
      <c r="A37" s="149"/>
      <c r="B37" s="54"/>
      <c r="C37" s="21">
        <f t="shared" si="14"/>
        <v>1</v>
      </c>
      <c r="D37" s="666"/>
      <c r="E37" s="21">
        <f t="shared" si="15"/>
        <v>1</v>
      </c>
      <c r="F37" s="666"/>
      <c r="G37" s="21">
        <f t="shared" si="16"/>
        <v>1</v>
      </c>
      <c r="H37" s="666"/>
      <c r="I37" s="21">
        <f t="shared" si="17"/>
        <v>1</v>
      </c>
      <c r="J37" s="666"/>
      <c r="K37" s="21">
        <f t="shared" si="18"/>
        <v>1</v>
      </c>
      <c r="L37" s="666"/>
      <c r="M37" s="21">
        <f t="shared" si="19"/>
        <v>1</v>
      </c>
      <c r="N37" s="666"/>
      <c r="O37" s="21">
        <f t="shared" si="20"/>
        <v>1</v>
      </c>
      <c r="P37" s="666"/>
      <c r="Q37" s="21">
        <f t="shared" si="21"/>
        <v>1</v>
      </c>
      <c r="R37" s="662">
        <f t="shared" si="22"/>
        <v>0</v>
      </c>
      <c r="S37" s="315">
        <f t="shared" si="12"/>
        <v>0</v>
      </c>
    </row>
    <row r="38" spans="1:19">
      <c r="A38" s="149"/>
      <c r="B38" s="54"/>
      <c r="C38" s="21">
        <f t="shared" si="14"/>
        <v>1</v>
      </c>
      <c r="D38" s="666"/>
      <c r="E38" s="21">
        <f t="shared" si="15"/>
        <v>1</v>
      </c>
      <c r="F38" s="666"/>
      <c r="G38" s="21">
        <f t="shared" si="16"/>
        <v>1</v>
      </c>
      <c r="H38" s="666"/>
      <c r="I38" s="21">
        <f t="shared" si="17"/>
        <v>1</v>
      </c>
      <c r="J38" s="666"/>
      <c r="K38" s="21">
        <f t="shared" si="18"/>
        <v>1</v>
      </c>
      <c r="L38" s="666"/>
      <c r="M38" s="21">
        <f t="shared" si="19"/>
        <v>1</v>
      </c>
      <c r="N38" s="666"/>
      <c r="O38" s="21">
        <f t="shared" si="20"/>
        <v>1</v>
      </c>
      <c r="P38" s="666"/>
      <c r="Q38" s="21">
        <f t="shared" si="21"/>
        <v>1</v>
      </c>
      <c r="R38" s="662">
        <f t="shared" si="22"/>
        <v>0</v>
      </c>
      <c r="S38" s="315">
        <f t="shared" si="12"/>
        <v>0</v>
      </c>
    </row>
    <row r="39" spans="1:19">
      <c r="A39" s="149"/>
      <c r="B39" s="54"/>
      <c r="C39" s="21">
        <f t="shared" si="14"/>
        <v>1</v>
      </c>
      <c r="D39" s="666"/>
      <c r="E39" s="21">
        <f t="shared" si="15"/>
        <v>1</v>
      </c>
      <c r="F39" s="666"/>
      <c r="G39" s="21">
        <f t="shared" si="16"/>
        <v>1</v>
      </c>
      <c r="H39" s="666"/>
      <c r="I39" s="21">
        <f t="shared" si="17"/>
        <v>1</v>
      </c>
      <c r="J39" s="666"/>
      <c r="K39" s="21">
        <f t="shared" si="18"/>
        <v>1</v>
      </c>
      <c r="L39" s="666"/>
      <c r="M39" s="21">
        <f t="shared" si="19"/>
        <v>1</v>
      </c>
      <c r="N39" s="666"/>
      <c r="O39" s="21">
        <f t="shared" si="20"/>
        <v>1</v>
      </c>
      <c r="P39" s="666"/>
      <c r="Q39" s="21">
        <f t="shared" si="21"/>
        <v>1</v>
      </c>
      <c r="R39" s="662">
        <f t="shared" si="22"/>
        <v>0</v>
      </c>
      <c r="S39" s="315">
        <f t="shared" si="12"/>
        <v>0</v>
      </c>
    </row>
    <row r="40" spans="1:19">
      <c r="A40" s="149"/>
      <c r="B40" s="54"/>
      <c r="C40" s="21">
        <f t="shared" si="14"/>
        <v>1</v>
      </c>
      <c r="D40" s="666"/>
      <c r="E40" s="21">
        <f t="shared" si="15"/>
        <v>1</v>
      </c>
      <c r="F40" s="666"/>
      <c r="G40" s="21">
        <f t="shared" si="16"/>
        <v>1</v>
      </c>
      <c r="H40" s="666"/>
      <c r="I40" s="21">
        <f t="shared" si="17"/>
        <v>1</v>
      </c>
      <c r="J40" s="666"/>
      <c r="K40" s="21">
        <f t="shared" si="18"/>
        <v>1</v>
      </c>
      <c r="L40" s="666"/>
      <c r="M40" s="21">
        <f t="shared" si="19"/>
        <v>1</v>
      </c>
      <c r="N40" s="666"/>
      <c r="O40" s="21">
        <f t="shared" si="20"/>
        <v>1</v>
      </c>
      <c r="P40" s="666"/>
      <c r="Q40" s="21">
        <f t="shared" si="21"/>
        <v>1</v>
      </c>
      <c r="R40" s="662">
        <f t="shared" si="22"/>
        <v>0</v>
      </c>
      <c r="S40" s="315">
        <f t="shared" si="12"/>
        <v>0</v>
      </c>
    </row>
    <row r="41" spans="1:19">
      <c r="A41" s="149"/>
      <c r="B41" s="54"/>
      <c r="C41" s="21">
        <f t="shared" si="14"/>
        <v>1</v>
      </c>
      <c r="D41" s="666"/>
      <c r="E41" s="21">
        <f t="shared" si="15"/>
        <v>1</v>
      </c>
      <c r="F41" s="666"/>
      <c r="G41" s="21">
        <f t="shared" si="16"/>
        <v>1</v>
      </c>
      <c r="H41" s="666"/>
      <c r="I41" s="21">
        <f t="shared" si="17"/>
        <v>1</v>
      </c>
      <c r="J41" s="666"/>
      <c r="K41" s="21">
        <f t="shared" si="18"/>
        <v>1</v>
      </c>
      <c r="L41" s="666"/>
      <c r="M41" s="21">
        <f t="shared" si="19"/>
        <v>1</v>
      </c>
      <c r="N41" s="666"/>
      <c r="O41" s="21">
        <f t="shared" si="20"/>
        <v>1</v>
      </c>
      <c r="P41" s="666"/>
      <c r="Q41" s="21">
        <f t="shared" si="21"/>
        <v>1</v>
      </c>
      <c r="R41" s="662">
        <f t="shared" si="22"/>
        <v>0</v>
      </c>
      <c r="S41" s="315">
        <f t="shared" si="12"/>
        <v>0</v>
      </c>
    </row>
    <row r="42" spans="1:19">
      <c r="A42" s="149"/>
      <c r="B42" s="54"/>
      <c r="C42" s="21">
        <f t="shared" si="14"/>
        <v>1</v>
      </c>
      <c r="D42" s="666"/>
      <c r="E42" s="21">
        <f t="shared" si="15"/>
        <v>1</v>
      </c>
      <c r="F42" s="666"/>
      <c r="G42" s="21">
        <f t="shared" si="16"/>
        <v>1</v>
      </c>
      <c r="H42" s="666"/>
      <c r="I42" s="21">
        <f t="shared" si="17"/>
        <v>1</v>
      </c>
      <c r="J42" s="666"/>
      <c r="K42" s="21">
        <f t="shared" si="18"/>
        <v>1</v>
      </c>
      <c r="L42" s="666"/>
      <c r="M42" s="21">
        <f t="shared" si="19"/>
        <v>1</v>
      </c>
      <c r="N42" s="666"/>
      <c r="O42" s="21">
        <f t="shared" si="20"/>
        <v>1</v>
      </c>
      <c r="P42" s="666"/>
      <c r="Q42" s="21">
        <f t="shared" si="21"/>
        <v>1</v>
      </c>
      <c r="R42" s="662">
        <f t="shared" si="22"/>
        <v>0</v>
      </c>
      <c r="S42" s="315">
        <f t="shared" si="12"/>
        <v>0</v>
      </c>
    </row>
    <row r="43" spans="1:19">
      <c r="A43" s="149"/>
      <c r="B43" s="54"/>
      <c r="C43" s="21">
        <f t="shared" si="14"/>
        <v>1</v>
      </c>
      <c r="D43" s="666"/>
      <c r="E43" s="21">
        <f t="shared" si="15"/>
        <v>1</v>
      </c>
      <c r="F43" s="666"/>
      <c r="G43" s="21">
        <f t="shared" si="16"/>
        <v>1</v>
      </c>
      <c r="H43" s="666"/>
      <c r="I43" s="21">
        <f t="shared" si="17"/>
        <v>1</v>
      </c>
      <c r="J43" s="666"/>
      <c r="K43" s="21">
        <f t="shared" si="18"/>
        <v>1</v>
      </c>
      <c r="L43" s="666"/>
      <c r="M43" s="21">
        <f t="shared" si="19"/>
        <v>1</v>
      </c>
      <c r="N43" s="666"/>
      <c r="O43" s="21">
        <f t="shared" si="20"/>
        <v>1</v>
      </c>
      <c r="P43" s="666"/>
      <c r="Q43" s="21">
        <f t="shared" si="21"/>
        <v>1</v>
      </c>
      <c r="R43" s="662">
        <f t="shared" si="22"/>
        <v>0</v>
      </c>
      <c r="S43" s="315">
        <f t="shared" si="12"/>
        <v>0</v>
      </c>
    </row>
    <row r="44" spans="1:19">
      <c r="A44" s="149"/>
      <c r="B44" s="54"/>
      <c r="C44" s="21">
        <f t="shared" si="14"/>
        <v>1</v>
      </c>
      <c r="D44" s="666"/>
      <c r="E44" s="21">
        <f t="shared" si="15"/>
        <v>1</v>
      </c>
      <c r="F44" s="666"/>
      <c r="G44" s="21">
        <f t="shared" si="16"/>
        <v>1</v>
      </c>
      <c r="H44" s="666"/>
      <c r="I44" s="21">
        <f t="shared" si="17"/>
        <v>1</v>
      </c>
      <c r="J44" s="666"/>
      <c r="K44" s="21">
        <f t="shared" si="18"/>
        <v>1</v>
      </c>
      <c r="L44" s="666"/>
      <c r="M44" s="21">
        <f t="shared" si="19"/>
        <v>1</v>
      </c>
      <c r="N44" s="666"/>
      <c r="O44" s="21">
        <f t="shared" si="20"/>
        <v>1</v>
      </c>
      <c r="P44" s="666"/>
      <c r="Q44" s="21">
        <f t="shared" si="21"/>
        <v>1</v>
      </c>
      <c r="R44" s="662">
        <f t="shared" si="22"/>
        <v>0</v>
      </c>
      <c r="S44" s="315">
        <f t="shared" si="12"/>
        <v>0</v>
      </c>
    </row>
    <row r="45" spans="1:19">
      <c r="A45" s="149"/>
      <c r="B45" s="54"/>
      <c r="C45" s="21">
        <f t="shared" si="14"/>
        <v>1</v>
      </c>
      <c r="D45" s="666"/>
      <c r="E45" s="21">
        <f t="shared" si="15"/>
        <v>1</v>
      </c>
      <c r="F45" s="666"/>
      <c r="G45" s="21">
        <f t="shared" si="16"/>
        <v>1</v>
      </c>
      <c r="H45" s="666"/>
      <c r="I45" s="21">
        <f t="shared" si="17"/>
        <v>1</v>
      </c>
      <c r="J45" s="666"/>
      <c r="K45" s="21">
        <f t="shared" si="18"/>
        <v>1</v>
      </c>
      <c r="L45" s="666"/>
      <c r="M45" s="21">
        <f t="shared" si="19"/>
        <v>1</v>
      </c>
      <c r="N45" s="666"/>
      <c r="O45" s="21">
        <f t="shared" si="20"/>
        <v>1</v>
      </c>
      <c r="P45" s="666"/>
      <c r="Q45" s="21">
        <f t="shared" si="21"/>
        <v>1</v>
      </c>
      <c r="R45" s="662">
        <f t="shared" si="22"/>
        <v>0</v>
      </c>
      <c r="S45" s="315">
        <f t="shared" si="12"/>
        <v>0</v>
      </c>
    </row>
    <row r="46" spans="1:19">
      <c r="A46" s="149"/>
      <c r="B46" s="54"/>
      <c r="C46" s="21">
        <f t="shared" si="14"/>
        <v>1</v>
      </c>
      <c r="D46" s="666"/>
      <c r="E46" s="21">
        <f t="shared" si="15"/>
        <v>1</v>
      </c>
      <c r="F46" s="666"/>
      <c r="G46" s="21">
        <f t="shared" si="16"/>
        <v>1</v>
      </c>
      <c r="H46" s="666"/>
      <c r="I46" s="21">
        <f t="shared" si="17"/>
        <v>1</v>
      </c>
      <c r="J46" s="666"/>
      <c r="K46" s="21">
        <f t="shared" si="18"/>
        <v>1</v>
      </c>
      <c r="L46" s="666"/>
      <c r="M46" s="21">
        <f t="shared" si="19"/>
        <v>1</v>
      </c>
      <c r="N46" s="666"/>
      <c r="O46" s="21">
        <f t="shared" si="20"/>
        <v>1</v>
      </c>
      <c r="P46" s="666"/>
      <c r="Q46" s="21">
        <f t="shared" si="21"/>
        <v>1</v>
      </c>
      <c r="R46" s="662">
        <f t="shared" si="22"/>
        <v>0</v>
      </c>
      <c r="S46" s="315">
        <f t="shared" si="12"/>
        <v>0</v>
      </c>
    </row>
    <row r="47" spans="1:19">
      <c r="A47" s="149"/>
      <c r="B47" s="54"/>
      <c r="C47" s="21">
        <f t="shared" si="14"/>
        <v>1</v>
      </c>
      <c r="D47" s="666"/>
      <c r="E47" s="21">
        <f t="shared" si="15"/>
        <v>1</v>
      </c>
      <c r="F47" s="666"/>
      <c r="G47" s="21">
        <f t="shared" si="16"/>
        <v>1</v>
      </c>
      <c r="H47" s="666"/>
      <c r="I47" s="21">
        <f t="shared" si="17"/>
        <v>1</v>
      </c>
      <c r="J47" s="666"/>
      <c r="K47" s="21">
        <f t="shared" si="18"/>
        <v>1</v>
      </c>
      <c r="L47" s="666"/>
      <c r="M47" s="21">
        <f t="shared" si="19"/>
        <v>1</v>
      </c>
      <c r="N47" s="666"/>
      <c r="O47" s="21">
        <f t="shared" si="20"/>
        <v>1</v>
      </c>
      <c r="P47" s="666"/>
      <c r="Q47" s="21">
        <f t="shared" si="21"/>
        <v>1</v>
      </c>
      <c r="R47" s="662">
        <f t="shared" si="22"/>
        <v>0</v>
      </c>
      <c r="S47" s="315">
        <f t="shared" si="12"/>
        <v>0</v>
      </c>
    </row>
    <row r="48" spans="1:19">
      <c r="A48" s="149"/>
      <c r="B48" s="54"/>
      <c r="C48" s="21">
        <f t="shared" si="14"/>
        <v>1</v>
      </c>
      <c r="D48" s="666"/>
      <c r="E48" s="21">
        <f t="shared" si="15"/>
        <v>1</v>
      </c>
      <c r="F48" s="666"/>
      <c r="G48" s="21">
        <f t="shared" si="16"/>
        <v>1</v>
      </c>
      <c r="H48" s="666"/>
      <c r="I48" s="21">
        <f t="shared" si="17"/>
        <v>1</v>
      </c>
      <c r="J48" s="666"/>
      <c r="K48" s="21">
        <f t="shared" si="18"/>
        <v>1</v>
      </c>
      <c r="L48" s="666"/>
      <c r="M48" s="21">
        <f t="shared" si="19"/>
        <v>1</v>
      </c>
      <c r="N48" s="666"/>
      <c r="O48" s="21">
        <f t="shared" si="20"/>
        <v>1</v>
      </c>
      <c r="P48" s="666"/>
      <c r="Q48" s="21">
        <f t="shared" si="21"/>
        <v>1</v>
      </c>
      <c r="R48" s="662">
        <f t="shared" si="22"/>
        <v>0</v>
      </c>
      <c r="S48" s="315">
        <f t="shared" si="12"/>
        <v>0</v>
      </c>
    </row>
    <row r="49" spans="1:19">
      <c r="A49" s="149"/>
      <c r="B49" s="54"/>
      <c r="C49" s="21">
        <f t="shared" si="14"/>
        <v>1</v>
      </c>
      <c r="D49" s="666"/>
      <c r="E49" s="21">
        <f t="shared" si="15"/>
        <v>1</v>
      </c>
      <c r="F49" s="666"/>
      <c r="G49" s="21">
        <f t="shared" si="16"/>
        <v>1</v>
      </c>
      <c r="H49" s="666"/>
      <c r="I49" s="21">
        <f t="shared" si="17"/>
        <v>1</v>
      </c>
      <c r="J49" s="666"/>
      <c r="K49" s="21">
        <f t="shared" si="18"/>
        <v>1</v>
      </c>
      <c r="L49" s="666"/>
      <c r="M49" s="21">
        <f t="shared" si="19"/>
        <v>1</v>
      </c>
      <c r="N49" s="666"/>
      <c r="O49" s="21">
        <f t="shared" si="20"/>
        <v>1</v>
      </c>
      <c r="P49" s="666"/>
      <c r="Q49" s="21">
        <f t="shared" si="21"/>
        <v>1</v>
      </c>
      <c r="R49" s="662">
        <f t="shared" si="22"/>
        <v>0</v>
      </c>
      <c r="S49" s="315">
        <f t="shared" si="12"/>
        <v>0</v>
      </c>
    </row>
    <row r="50" spans="1:19">
      <c r="A50" s="149"/>
      <c r="B50" s="54"/>
      <c r="C50" s="21">
        <f t="shared" si="14"/>
        <v>1</v>
      </c>
      <c r="D50" s="666"/>
      <c r="E50" s="21">
        <f t="shared" si="15"/>
        <v>1</v>
      </c>
      <c r="F50" s="666"/>
      <c r="G50" s="21">
        <f t="shared" si="16"/>
        <v>1</v>
      </c>
      <c r="H50" s="666"/>
      <c r="I50" s="21">
        <f t="shared" si="17"/>
        <v>1</v>
      </c>
      <c r="J50" s="666"/>
      <c r="K50" s="21">
        <f t="shared" si="18"/>
        <v>1</v>
      </c>
      <c r="L50" s="666"/>
      <c r="M50" s="21">
        <f t="shared" si="19"/>
        <v>1</v>
      </c>
      <c r="N50" s="666"/>
      <c r="O50" s="21">
        <f t="shared" si="20"/>
        <v>1</v>
      </c>
      <c r="P50" s="666"/>
      <c r="Q50" s="21">
        <f t="shared" si="21"/>
        <v>1</v>
      </c>
      <c r="R50" s="662">
        <f t="shared" si="22"/>
        <v>0</v>
      </c>
      <c r="S50" s="315">
        <f t="shared" si="12"/>
        <v>0</v>
      </c>
    </row>
    <row r="51" spans="1:19">
      <c r="A51" s="149"/>
      <c r="B51" s="54"/>
      <c r="C51" s="21">
        <f t="shared" si="14"/>
        <v>1</v>
      </c>
      <c r="D51" s="666"/>
      <c r="E51" s="21">
        <f t="shared" si="15"/>
        <v>1</v>
      </c>
      <c r="F51" s="666"/>
      <c r="G51" s="21">
        <f t="shared" si="16"/>
        <v>1</v>
      </c>
      <c r="H51" s="666"/>
      <c r="I51" s="21">
        <f t="shared" si="17"/>
        <v>1</v>
      </c>
      <c r="J51" s="666"/>
      <c r="K51" s="21">
        <f t="shared" si="18"/>
        <v>1</v>
      </c>
      <c r="L51" s="666"/>
      <c r="M51" s="21">
        <f t="shared" si="19"/>
        <v>1</v>
      </c>
      <c r="N51" s="666"/>
      <c r="O51" s="21">
        <f t="shared" si="20"/>
        <v>1</v>
      </c>
      <c r="P51" s="666"/>
      <c r="Q51" s="21">
        <f t="shared" si="21"/>
        <v>1</v>
      </c>
      <c r="R51" s="662">
        <f t="shared" si="22"/>
        <v>0</v>
      </c>
      <c r="S51" s="315">
        <f t="shared" si="12"/>
        <v>0</v>
      </c>
    </row>
    <row r="52" spans="1:19">
      <c r="A52" s="149"/>
      <c r="B52" s="54"/>
      <c r="C52" s="21">
        <f t="shared" si="14"/>
        <v>1</v>
      </c>
      <c r="D52" s="666"/>
      <c r="E52" s="21">
        <f t="shared" si="15"/>
        <v>1</v>
      </c>
      <c r="F52" s="666"/>
      <c r="G52" s="21">
        <f t="shared" si="16"/>
        <v>1</v>
      </c>
      <c r="H52" s="666"/>
      <c r="I52" s="21">
        <f t="shared" si="17"/>
        <v>1</v>
      </c>
      <c r="J52" s="666"/>
      <c r="K52" s="21">
        <f t="shared" si="18"/>
        <v>1</v>
      </c>
      <c r="L52" s="666"/>
      <c r="M52" s="21">
        <f t="shared" si="19"/>
        <v>1</v>
      </c>
      <c r="N52" s="666"/>
      <c r="O52" s="21">
        <f t="shared" si="20"/>
        <v>1</v>
      </c>
      <c r="P52" s="666"/>
      <c r="Q52" s="21">
        <f t="shared" si="21"/>
        <v>1</v>
      </c>
      <c r="R52" s="662">
        <f t="shared" si="22"/>
        <v>0</v>
      </c>
      <c r="S52" s="315">
        <f t="shared" si="12"/>
        <v>0</v>
      </c>
    </row>
    <row r="53" spans="1:19">
      <c r="A53" s="149"/>
      <c r="B53" s="54"/>
      <c r="C53" s="21">
        <f t="shared" si="14"/>
        <v>1</v>
      </c>
      <c r="D53" s="666"/>
      <c r="E53" s="21">
        <f t="shared" si="15"/>
        <v>1</v>
      </c>
      <c r="F53" s="666"/>
      <c r="G53" s="21">
        <f t="shared" si="16"/>
        <v>1</v>
      </c>
      <c r="H53" s="666"/>
      <c r="I53" s="21">
        <f t="shared" si="17"/>
        <v>1</v>
      </c>
      <c r="J53" s="666"/>
      <c r="K53" s="21">
        <f t="shared" si="18"/>
        <v>1</v>
      </c>
      <c r="L53" s="666"/>
      <c r="M53" s="21">
        <f t="shared" si="19"/>
        <v>1</v>
      </c>
      <c r="N53" s="666"/>
      <c r="O53" s="21">
        <f t="shared" si="20"/>
        <v>1</v>
      </c>
      <c r="P53" s="666"/>
      <c r="Q53" s="21">
        <f t="shared" si="21"/>
        <v>1</v>
      </c>
      <c r="R53" s="662">
        <f t="shared" si="22"/>
        <v>0</v>
      </c>
      <c r="S53" s="315">
        <f t="shared" si="12"/>
        <v>0</v>
      </c>
    </row>
    <row r="54" spans="1:19">
      <c r="A54" s="149"/>
      <c r="B54" s="54"/>
      <c r="C54" s="21">
        <f t="shared" si="14"/>
        <v>1</v>
      </c>
      <c r="D54" s="666"/>
      <c r="E54" s="21">
        <f t="shared" si="15"/>
        <v>1</v>
      </c>
      <c r="F54" s="666"/>
      <c r="G54" s="21">
        <f t="shared" si="16"/>
        <v>1</v>
      </c>
      <c r="H54" s="666"/>
      <c r="I54" s="21">
        <f t="shared" si="17"/>
        <v>1</v>
      </c>
      <c r="J54" s="666"/>
      <c r="K54" s="21">
        <f t="shared" si="18"/>
        <v>1</v>
      </c>
      <c r="L54" s="666"/>
      <c r="M54" s="21">
        <f t="shared" si="19"/>
        <v>1</v>
      </c>
      <c r="N54" s="666"/>
      <c r="O54" s="21">
        <f t="shared" si="20"/>
        <v>1</v>
      </c>
      <c r="P54" s="666"/>
      <c r="Q54" s="21">
        <f t="shared" si="21"/>
        <v>1</v>
      </c>
      <c r="R54" s="662">
        <f t="shared" si="22"/>
        <v>0</v>
      </c>
      <c r="S54" s="315">
        <f t="shared" si="12"/>
        <v>0</v>
      </c>
    </row>
    <row r="55" spans="1:19">
      <c r="A55" s="149"/>
      <c r="B55" s="54"/>
      <c r="C55" s="21">
        <f t="shared" si="14"/>
        <v>1</v>
      </c>
      <c r="D55" s="666"/>
      <c r="E55" s="21">
        <f t="shared" si="15"/>
        <v>1</v>
      </c>
      <c r="F55" s="666"/>
      <c r="G55" s="21">
        <f t="shared" si="16"/>
        <v>1</v>
      </c>
      <c r="H55" s="666"/>
      <c r="I55" s="21">
        <f t="shared" si="17"/>
        <v>1</v>
      </c>
      <c r="J55" s="666"/>
      <c r="K55" s="21">
        <f t="shared" si="18"/>
        <v>1</v>
      </c>
      <c r="L55" s="666"/>
      <c r="M55" s="21">
        <f t="shared" si="19"/>
        <v>1</v>
      </c>
      <c r="N55" s="666"/>
      <c r="O55" s="21">
        <f t="shared" si="20"/>
        <v>1</v>
      </c>
      <c r="P55" s="666"/>
      <c r="Q55" s="21">
        <f t="shared" si="21"/>
        <v>1</v>
      </c>
      <c r="R55" s="662">
        <f t="shared" si="22"/>
        <v>0</v>
      </c>
      <c r="S55" s="315">
        <f t="shared" ref="S55:S77" si="23">ROUND(R55*B55/10000,0)</f>
        <v>0</v>
      </c>
    </row>
    <row r="56" spans="1:19">
      <c r="A56" s="149"/>
      <c r="B56" s="54"/>
      <c r="C56" s="21">
        <f t="shared" si="14"/>
        <v>1</v>
      </c>
      <c r="D56" s="666"/>
      <c r="E56" s="21">
        <f t="shared" si="15"/>
        <v>1</v>
      </c>
      <c r="F56" s="666"/>
      <c r="G56" s="21">
        <f t="shared" si="16"/>
        <v>1</v>
      </c>
      <c r="H56" s="666"/>
      <c r="I56" s="21">
        <f t="shared" si="17"/>
        <v>1</v>
      </c>
      <c r="J56" s="666"/>
      <c r="K56" s="21">
        <f t="shared" si="18"/>
        <v>1</v>
      </c>
      <c r="L56" s="666"/>
      <c r="M56" s="21">
        <f t="shared" si="19"/>
        <v>1</v>
      </c>
      <c r="N56" s="666"/>
      <c r="O56" s="21">
        <f t="shared" si="20"/>
        <v>1</v>
      </c>
      <c r="P56" s="666"/>
      <c r="Q56" s="21">
        <f t="shared" si="21"/>
        <v>1</v>
      </c>
      <c r="R56" s="662">
        <f t="shared" si="22"/>
        <v>0</v>
      </c>
      <c r="S56" s="315">
        <f t="shared" si="23"/>
        <v>0</v>
      </c>
    </row>
    <row r="57" spans="1:19">
      <c r="A57" s="149"/>
      <c r="B57" s="54"/>
      <c r="C57" s="21">
        <f t="shared" si="14"/>
        <v>1</v>
      </c>
      <c r="D57" s="666"/>
      <c r="E57" s="21">
        <f t="shared" si="15"/>
        <v>1</v>
      </c>
      <c r="F57" s="666"/>
      <c r="G57" s="21">
        <f t="shared" si="16"/>
        <v>1</v>
      </c>
      <c r="H57" s="666"/>
      <c r="I57" s="21">
        <f t="shared" si="17"/>
        <v>1</v>
      </c>
      <c r="J57" s="666"/>
      <c r="K57" s="21">
        <f t="shared" si="18"/>
        <v>1</v>
      </c>
      <c r="L57" s="666"/>
      <c r="M57" s="21">
        <f t="shared" si="19"/>
        <v>1</v>
      </c>
      <c r="N57" s="666"/>
      <c r="O57" s="21">
        <f t="shared" si="20"/>
        <v>1</v>
      </c>
      <c r="P57" s="666"/>
      <c r="Q57" s="21">
        <f t="shared" si="21"/>
        <v>1</v>
      </c>
      <c r="R57" s="662">
        <f t="shared" si="22"/>
        <v>0</v>
      </c>
      <c r="S57" s="315">
        <f t="shared" si="23"/>
        <v>0</v>
      </c>
    </row>
    <row r="58" spans="1:19">
      <c r="A58" s="149"/>
      <c r="B58" s="54"/>
      <c r="C58" s="21">
        <f t="shared" si="14"/>
        <v>1</v>
      </c>
      <c r="D58" s="666"/>
      <c r="E58" s="21">
        <f t="shared" si="15"/>
        <v>1</v>
      </c>
      <c r="F58" s="666"/>
      <c r="G58" s="21">
        <f t="shared" si="16"/>
        <v>1</v>
      </c>
      <c r="H58" s="666"/>
      <c r="I58" s="21">
        <f t="shared" si="17"/>
        <v>1</v>
      </c>
      <c r="J58" s="666"/>
      <c r="K58" s="21">
        <f t="shared" si="18"/>
        <v>1</v>
      </c>
      <c r="L58" s="666"/>
      <c r="M58" s="21">
        <f t="shared" si="19"/>
        <v>1</v>
      </c>
      <c r="N58" s="666"/>
      <c r="O58" s="21">
        <f t="shared" si="20"/>
        <v>1</v>
      </c>
      <c r="P58" s="666"/>
      <c r="Q58" s="21">
        <f t="shared" si="21"/>
        <v>1</v>
      </c>
      <c r="R58" s="662">
        <f t="shared" si="22"/>
        <v>0</v>
      </c>
      <c r="S58" s="315">
        <f t="shared" si="23"/>
        <v>0</v>
      </c>
    </row>
    <row r="59" spans="1:19">
      <c r="A59" s="149"/>
      <c r="B59" s="54"/>
      <c r="C59" s="21">
        <f t="shared" si="14"/>
        <v>1</v>
      </c>
      <c r="D59" s="666"/>
      <c r="E59" s="21">
        <f t="shared" si="15"/>
        <v>1</v>
      </c>
      <c r="F59" s="666"/>
      <c r="G59" s="21">
        <f t="shared" si="16"/>
        <v>1</v>
      </c>
      <c r="H59" s="666"/>
      <c r="I59" s="21">
        <f t="shared" si="17"/>
        <v>1</v>
      </c>
      <c r="J59" s="666"/>
      <c r="K59" s="21">
        <f t="shared" si="18"/>
        <v>1</v>
      </c>
      <c r="L59" s="666"/>
      <c r="M59" s="21">
        <f t="shared" si="19"/>
        <v>1</v>
      </c>
      <c r="N59" s="666"/>
      <c r="O59" s="21">
        <f t="shared" si="20"/>
        <v>1</v>
      </c>
      <c r="P59" s="666"/>
      <c r="Q59" s="21">
        <f t="shared" si="21"/>
        <v>1</v>
      </c>
      <c r="R59" s="662">
        <f t="shared" si="22"/>
        <v>0</v>
      </c>
      <c r="S59" s="315">
        <f t="shared" si="23"/>
        <v>0</v>
      </c>
    </row>
    <row r="60" spans="1:19">
      <c r="A60" s="149"/>
      <c r="B60" s="54"/>
      <c r="C60" s="21">
        <f t="shared" si="14"/>
        <v>1</v>
      </c>
      <c r="D60" s="666"/>
      <c r="E60" s="21">
        <f t="shared" si="15"/>
        <v>1</v>
      </c>
      <c r="F60" s="666"/>
      <c r="G60" s="21">
        <f t="shared" si="16"/>
        <v>1</v>
      </c>
      <c r="H60" s="666"/>
      <c r="I60" s="21">
        <f t="shared" si="17"/>
        <v>1</v>
      </c>
      <c r="J60" s="666"/>
      <c r="K60" s="21">
        <f t="shared" si="18"/>
        <v>1</v>
      </c>
      <c r="L60" s="666"/>
      <c r="M60" s="21">
        <f t="shared" si="19"/>
        <v>1</v>
      </c>
      <c r="N60" s="666"/>
      <c r="O60" s="21">
        <f t="shared" si="20"/>
        <v>1</v>
      </c>
      <c r="P60" s="666"/>
      <c r="Q60" s="21">
        <f t="shared" si="21"/>
        <v>1</v>
      </c>
      <c r="R60" s="662">
        <f t="shared" si="22"/>
        <v>0</v>
      </c>
      <c r="S60" s="315">
        <f t="shared" si="23"/>
        <v>0</v>
      </c>
    </row>
    <row r="61" spans="1:19">
      <c r="A61" s="149"/>
      <c r="B61" s="54"/>
      <c r="C61" s="21">
        <f t="shared" si="14"/>
        <v>1</v>
      </c>
      <c r="D61" s="666"/>
      <c r="E61" s="21">
        <f t="shared" si="15"/>
        <v>1</v>
      </c>
      <c r="F61" s="666"/>
      <c r="G61" s="21">
        <f t="shared" si="16"/>
        <v>1</v>
      </c>
      <c r="H61" s="666"/>
      <c r="I61" s="21">
        <f t="shared" si="17"/>
        <v>1</v>
      </c>
      <c r="J61" s="666"/>
      <c r="K61" s="21">
        <f t="shared" si="18"/>
        <v>1</v>
      </c>
      <c r="L61" s="666"/>
      <c r="M61" s="21">
        <f t="shared" si="19"/>
        <v>1</v>
      </c>
      <c r="N61" s="666"/>
      <c r="O61" s="21">
        <f t="shared" si="20"/>
        <v>1</v>
      </c>
      <c r="P61" s="666"/>
      <c r="Q61" s="21">
        <f t="shared" si="21"/>
        <v>1</v>
      </c>
      <c r="R61" s="662">
        <f t="shared" si="22"/>
        <v>0</v>
      </c>
      <c r="S61" s="315">
        <f t="shared" si="23"/>
        <v>0</v>
      </c>
    </row>
    <row r="62" spans="1:19">
      <c r="A62" s="149"/>
      <c r="B62" s="54"/>
      <c r="C62" s="21">
        <f t="shared" si="14"/>
        <v>1</v>
      </c>
      <c r="D62" s="666"/>
      <c r="E62" s="21">
        <f t="shared" si="15"/>
        <v>1</v>
      </c>
      <c r="F62" s="666"/>
      <c r="G62" s="21">
        <f t="shared" si="16"/>
        <v>1</v>
      </c>
      <c r="H62" s="666"/>
      <c r="I62" s="21">
        <f t="shared" si="17"/>
        <v>1</v>
      </c>
      <c r="J62" s="666"/>
      <c r="K62" s="21">
        <f t="shared" si="18"/>
        <v>1</v>
      </c>
      <c r="L62" s="666"/>
      <c r="M62" s="21">
        <f t="shared" si="19"/>
        <v>1</v>
      </c>
      <c r="N62" s="666"/>
      <c r="O62" s="21">
        <f t="shared" si="20"/>
        <v>1</v>
      </c>
      <c r="P62" s="666"/>
      <c r="Q62" s="21">
        <f t="shared" si="21"/>
        <v>1</v>
      </c>
      <c r="R62" s="662">
        <f t="shared" si="22"/>
        <v>0</v>
      </c>
      <c r="S62" s="315">
        <f t="shared" si="23"/>
        <v>0</v>
      </c>
    </row>
    <row r="63" spans="1:19">
      <c r="A63" s="149"/>
      <c r="B63" s="54"/>
      <c r="C63" s="21">
        <f t="shared" si="14"/>
        <v>1</v>
      </c>
      <c r="D63" s="666"/>
      <c r="E63" s="21">
        <f t="shared" si="15"/>
        <v>1</v>
      </c>
      <c r="F63" s="666"/>
      <c r="G63" s="21">
        <f t="shared" si="16"/>
        <v>1</v>
      </c>
      <c r="H63" s="666"/>
      <c r="I63" s="21">
        <f t="shared" si="17"/>
        <v>1</v>
      </c>
      <c r="J63" s="666"/>
      <c r="K63" s="21">
        <f t="shared" si="18"/>
        <v>1</v>
      </c>
      <c r="L63" s="666"/>
      <c r="M63" s="21">
        <f t="shared" si="19"/>
        <v>1</v>
      </c>
      <c r="N63" s="666"/>
      <c r="O63" s="21">
        <f t="shared" si="20"/>
        <v>1</v>
      </c>
      <c r="P63" s="666"/>
      <c r="Q63" s="21">
        <f t="shared" si="21"/>
        <v>1</v>
      </c>
      <c r="R63" s="662">
        <f t="shared" si="22"/>
        <v>0</v>
      </c>
      <c r="S63" s="315">
        <f t="shared" si="23"/>
        <v>0</v>
      </c>
    </row>
    <row r="64" spans="1:19">
      <c r="A64" s="149"/>
      <c r="B64" s="54"/>
      <c r="C64" s="21">
        <f t="shared" si="14"/>
        <v>1</v>
      </c>
      <c r="D64" s="666"/>
      <c r="E64" s="21">
        <f t="shared" si="15"/>
        <v>1</v>
      </c>
      <c r="F64" s="666"/>
      <c r="G64" s="21">
        <f t="shared" si="16"/>
        <v>1</v>
      </c>
      <c r="H64" s="666"/>
      <c r="I64" s="21">
        <f t="shared" si="17"/>
        <v>1</v>
      </c>
      <c r="J64" s="666"/>
      <c r="K64" s="21">
        <f t="shared" si="18"/>
        <v>1</v>
      </c>
      <c r="L64" s="666"/>
      <c r="M64" s="21">
        <f t="shared" si="19"/>
        <v>1</v>
      </c>
      <c r="N64" s="666"/>
      <c r="O64" s="21">
        <f t="shared" si="20"/>
        <v>1</v>
      </c>
      <c r="P64" s="666"/>
      <c r="Q64" s="21">
        <f t="shared" si="21"/>
        <v>1</v>
      </c>
      <c r="R64" s="662">
        <f t="shared" si="22"/>
        <v>0</v>
      </c>
      <c r="S64" s="315">
        <f t="shared" si="23"/>
        <v>0</v>
      </c>
    </row>
    <row r="65" spans="1:19">
      <c r="A65" s="149"/>
      <c r="B65" s="54"/>
      <c r="C65" s="21">
        <f t="shared" si="14"/>
        <v>1</v>
      </c>
      <c r="D65" s="666"/>
      <c r="E65" s="21">
        <f t="shared" si="15"/>
        <v>1</v>
      </c>
      <c r="F65" s="666"/>
      <c r="G65" s="21">
        <f t="shared" si="16"/>
        <v>1</v>
      </c>
      <c r="H65" s="666"/>
      <c r="I65" s="21">
        <f t="shared" si="17"/>
        <v>1</v>
      </c>
      <c r="J65" s="666"/>
      <c r="K65" s="21">
        <f t="shared" si="18"/>
        <v>1</v>
      </c>
      <c r="L65" s="666"/>
      <c r="M65" s="21">
        <f t="shared" si="19"/>
        <v>1</v>
      </c>
      <c r="N65" s="666"/>
      <c r="O65" s="21">
        <f t="shared" si="20"/>
        <v>1</v>
      </c>
      <c r="P65" s="666"/>
      <c r="Q65" s="21">
        <f t="shared" si="21"/>
        <v>1</v>
      </c>
      <c r="R65" s="662">
        <f t="shared" si="22"/>
        <v>0</v>
      </c>
      <c r="S65" s="315">
        <f t="shared" si="23"/>
        <v>0</v>
      </c>
    </row>
    <row r="66" spans="1:19">
      <c r="A66" s="149"/>
      <c r="B66" s="54"/>
      <c r="C66" s="21">
        <f t="shared" si="14"/>
        <v>1</v>
      </c>
      <c r="D66" s="666"/>
      <c r="E66" s="21">
        <f t="shared" si="15"/>
        <v>1</v>
      </c>
      <c r="F66" s="666"/>
      <c r="G66" s="21">
        <f t="shared" si="16"/>
        <v>1</v>
      </c>
      <c r="H66" s="666"/>
      <c r="I66" s="21">
        <f t="shared" si="17"/>
        <v>1</v>
      </c>
      <c r="J66" s="666"/>
      <c r="K66" s="21">
        <f t="shared" si="18"/>
        <v>1</v>
      </c>
      <c r="L66" s="666"/>
      <c r="M66" s="21">
        <f t="shared" si="19"/>
        <v>1</v>
      </c>
      <c r="N66" s="666"/>
      <c r="O66" s="21">
        <f t="shared" si="20"/>
        <v>1</v>
      </c>
      <c r="P66" s="666"/>
      <c r="Q66" s="21">
        <f t="shared" si="21"/>
        <v>1</v>
      </c>
      <c r="R66" s="662">
        <f t="shared" si="22"/>
        <v>0</v>
      </c>
      <c r="S66" s="315">
        <f t="shared" si="23"/>
        <v>0</v>
      </c>
    </row>
    <row r="67" spans="1:19">
      <c r="A67" s="149"/>
      <c r="B67" s="54"/>
      <c r="C67" s="21">
        <f t="shared" si="14"/>
        <v>1</v>
      </c>
      <c r="D67" s="666"/>
      <c r="E67" s="21">
        <f t="shared" si="15"/>
        <v>1</v>
      </c>
      <c r="F67" s="666"/>
      <c r="G67" s="21">
        <f t="shared" si="16"/>
        <v>1</v>
      </c>
      <c r="H67" s="666"/>
      <c r="I67" s="21">
        <f t="shared" si="17"/>
        <v>1</v>
      </c>
      <c r="J67" s="666"/>
      <c r="K67" s="21">
        <f t="shared" si="18"/>
        <v>1</v>
      </c>
      <c r="L67" s="666"/>
      <c r="M67" s="21">
        <f t="shared" si="19"/>
        <v>1</v>
      </c>
      <c r="N67" s="666"/>
      <c r="O67" s="21">
        <f t="shared" si="20"/>
        <v>1</v>
      </c>
      <c r="P67" s="666"/>
      <c r="Q67" s="21">
        <f t="shared" si="21"/>
        <v>1</v>
      </c>
      <c r="R67" s="662">
        <f t="shared" si="22"/>
        <v>0</v>
      </c>
      <c r="S67" s="315">
        <f t="shared" si="23"/>
        <v>0</v>
      </c>
    </row>
    <row r="68" spans="1:19">
      <c r="A68" s="149"/>
      <c r="B68" s="54"/>
      <c r="C68" s="21">
        <f t="shared" si="14"/>
        <v>1</v>
      </c>
      <c r="D68" s="666"/>
      <c r="E68" s="21">
        <f t="shared" si="15"/>
        <v>1</v>
      </c>
      <c r="F68" s="666"/>
      <c r="G68" s="21">
        <f t="shared" si="16"/>
        <v>1</v>
      </c>
      <c r="H68" s="666"/>
      <c r="I68" s="21">
        <f t="shared" si="17"/>
        <v>1</v>
      </c>
      <c r="J68" s="666"/>
      <c r="K68" s="21">
        <f t="shared" si="18"/>
        <v>1</v>
      </c>
      <c r="L68" s="666"/>
      <c r="M68" s="21">
        <f t="shared" si="19"/>
        <v>1</v>
      </c>
      <c r="N68" s="666"/>
      <c r="O68" s="21">
        <f t="shared" si="20"/>
        <v>1</v>
      </c>
      <c r="P68" s="666"/>
      <c r="Q68" s="21">
        <f t="shared" si="21"/>
        <v>1</v>
      </c>
      <c r="R68" s="662">
        <f t="shared" si="22"/>
        <v>0</v>
      </c>
      <c r="S68" s="315">
        <f t="shared" si="23"/>
        <v>0</v>
      </c>
    </row>
    <row r="69" spans="1:19">
      <c r="A69" s="149"/>
      <c r="B69" s="54"/>
      <c r="C69" s="21">
        <f t="shared" si="14"/>
        <v>1</v>
      </c>
      <c r="D69" s="666"/>
      <c r="E69" s="21">
        <f t="shared" si="15"/>
        <v>1</v>
      </c>
      <c r="F69" s="666"/>
      <c r="G69" s="21">
        <f t="shared" si="16"/>
        <v>1</v>
      </c>
      <c r="H69" s="666"/>
      <c r="I69" s="21">
        <f t="shared" si="17"/>
        <v>1</v>
      </c>
      <c r="J69" s="666"/>
      <c r="K69" s="21">
        <f t="shared" si="18"/>
        <v>1</v>
      </c>
      <c r="L69" s="666"/>
      <c r="M69" s="21">
        <f t="shared" si="19"/>
        <v>1</v>
      </c>
      <c r="N69" s="666"/>
      <c r="O69" s="21">
        <f t="shared" si="20"/>
        <v>1</v>
      </c>
      <c r="P69" s="666"/>
      <c r="Q69" s="21">
        <f t="shared" si="21"/>
        <v>1</v>
      </c>
      <c r="R69" s="662">
        <f t="shared" si="22"/>
        <v>0</v>
      </c>
      <c r="S69" s="315">
        <f t="shared" si="23"/>
        <v>0</v>
      </c>
    </row>
    <row r="70" spans="1:19">
      <c r="A70" s="149"/>
      <c r="B70" s="54"/>
      <c r="C70" s="21">
        <f t="shared" si="14"/>
        <v>1</v>
      </c>
      <c r="D70" s="666"/>
      <c r="E70" s="21">
        <f t="shared" si="15"/>
        <v>1</v>
      </c>
      <c r="F70" s="666"/>
      <c r="G70" s="21">
        <f t="shared" si="16"/>
        <v>1</v>
      </c>
      <c r="H70" s="666"/>
      <c r="I70" s="21">
        <f t="shared" si="17"/>
        <v>1</v>
      </c>
      <c r="J70" s="666"/>
      <c r="K70" s="21">
        <f t="shared" si="18"/>
        <v>1</v>
      </c>
      <c r="L70" s="666"/>
      <c r="M70" s="21">
        <f t="shared" si="19"/>
        <v>1</v>
      </c>
      <c r="N70" s="666"/>
      <c r="O70" s="21">
        <f t="shared" si="20"/>
        <v>1</v>
      </c>
      <c r="P70" s="666"/>
      <c r="Q70" s="21">
        <f t="shared" si="21"/>
        <v>1</v>
      </c>
      <c r="R70" s="662">
        <f t="shared" si="22"/>
        <v>0</v>
      </c>
      <c r="S70" s="315">
        <f t="shared" si="23"/>
        <v>0</v>
      </c>
    </row>
    <row r="71" spans="1:19">
      <c r="A71" s="149"/>
      <c r="B71" s="54"/>
      <c r="C71" s="21">
        <f t="shared" si="14"/>
        <v>1</v>
      </c>
      <c r="D71" s="666"/>
      <c r="E71" s="21">
        <f t="shared" si="15"/>
        <v>1</v>
      </c>
      <c r="F71" s="666"/>
      <c r="G71" s="21">
        <f t="shared" si="16"/>
        <v>1</v>
      </c>
      <c r="H71" s="666"/>
      <c r="I71" s="21">
        <f t="shared" si="17"/>
        <v>1</v>
      </c>
      <c r="J71" s="666"/>
      <c r="K71" s="21">
        <f t="shared" si="18"/>
        <v>1</v>
      </c>
      <c r="L71" s="666"/>
      <c r="M71" s="21">
        <f t="shared" si="19"/>
        <v>1</v>
      </c>
      <c r="N71" s="666"/>
      <c r="O71" s="21">
        <f t="shared" si="20"/>
        <v>1</v>
      </c>
      <c r="P71" s="666"/>
      <c r="Q71" s="21">
        <f t="shared" si="21"/>
        <v>1</v>
      </c>
      <c r="R71" s="662">
        <f t="shared" si="22"/>
        <v>0</v>
      </c>
      <c r="S71" s="315">
        <f t="shared" si="23"/>
        <v>0</v>
      </c>
    </row>
    <row r="72" spans="1:19">
      <c r="A72" s="149"/>
      <c r="B72" s="54"/>
      <c r="C72" s="21">
        <f t="shared" si="14"/>
        <v>1</v>
      </c>
      <c r="D72" s="666"/>
      <c r="E72" s="21">
        <f t="shared" si="15"/>
        <v>1</v>
      </c>
      <c r="F72" s="666"/>
      <c r="G72" s="21">
        <f t="shared" si="16"/>
        <v>1</v>
      </c>
      <c r="H72" s="666"/>
      <c r="I72" s="21">
        <f t="shared" si="17"/>
        <v>1</v>
      </c>
      <c r="J72" s="666"/>
      <c r="K72" s="21">
        <f t="shared" si="18"/>
        <v>1</v>
      </c>
      <c r="L72" s="666"/>
      <c r="M72" s="21">
        <f t="shared" si="19"/>
        <v>1</v>
      </c>
      <c r="N72" s="666"/>
      <c r="O72" s="21">
        <f t="shared" si="20"/>
        <v>1</v>
      </c>
      <c r="P72" s="666"/>
      <c r="Q72" s="21">
        <f t="shared" si="21"/>
        <v>1</v>
      </c>
      <c r="R72" s="662">
        <f t="shared" si="22"/>
        <v>0</v>
      </c>
      <c r="S72" s="315">
        <f t="shared" si="23"/>
        <v>0</v>
      </c>
    </row>
    <row r="73" spans="1:19">
      <c r="A73" s="149"/>
      <c r="B73" s="54"/>
      <c r="C73" s="21">
        <f t="shared" si="14"/>
        <v>1</v>
      </c>
      <c r="D73" s="666"/>
      <c r="E73" s="21">
        <f t="shared" si="15"/>
        <v>1</v>
      </c>
      <c r="F73" s="666"/>
      <c r="G73" s="21">
        <f t="shared" si="16"/>
        <v>1</v>
      </c>
      <c r="H73" s="666"/>
      <c r="I73" s="21">
        <f t="shared" si="17"/>
        <v>1</v>
      </c>
      <c r="J73" s="666"/>
      <c r="K73" s="21">
        <f t="shared" si="18"/>
        <v>1</v>
      </c>
      <c r="L73" s="666"/>
      <c r="M73" s="21">
        <f t="shared" si="19"/>
        <v>1</v>
      </c>
      <c r="N73" s="666"/>
      <c r="O73" s="21">
        <f t="shared" si="20"/>
        <v>1</v>
      </c>
      <c r="P73" s="666"/>
      <c r="Q73" s="21">
        <f t="shared" si="21"/>
        <v>1</v>
      </c>
      <c r="R73" s="662">
        <f t="shared" si="22"/>
        <v>0</v>
      </c>
      <c r="S73" s="315">
        <f t="shared" si="23"/>
        <v>0</v>
      </c>
    </row>
    <row r="74" spans="1:19">
      <c r="A74" s="149"/>
      <c r="B74" s="54"/>
      <c r="C74" s="21">
        <f t="shared" si="14"/>
        <v>1</v>
      </c>
      <c r="D74" s="666"/>
      <c r="E74" s="21">
        <f t="shared" si="15"/>
        <v>1</v>
      </c>
      <c r="F74" s="666"/>
      <c r="G74" s="21">
        <f t="shared" si="16"/>
        <v>1</v>
      </c>
      <c r="H74" s="666"/>
      <c r="I74" s="21">
        <f t="shared" si="17"/>
        <v>1</v>
      </c>
      <c r="J74" s="666"/>
      <c r="K74" s="21">
        <f t="shared" si="18"/>
        <v>1</v>
      </c>
      <c r="L74" s="666"/>
      <c r="M74" s="21">
        <f t="shared" si="19"/>
        <v>1</v>
      </c>
      <c r="N74" s="666"/>
      <c r="O74" s="21">
        <f t="shared" si="20"/>
        <v>1</v>
      </c>
      <c r="P74" s="666"/>
      <c r="Q74" s="21">
        <f t="shared" si="21"/>
        <v>1</v>
      </c>
      <c r="R74" s="662">
        <f t="shared" si="22"/>
        <v>0</v>
      </c>
      <c r="S74" s="315">
        <f t="shared" si="23"/>
        <v>0</v>
      </c>
    </row>
    <row r="75" spans="1:19">
      <c r="A75" s="149"/>
      <c r="B75" s="54"/>
      <c r="C75" s="21">
        <f t="shared" si="14"/>
        <v>1</v>
      </c>
      <c r="D75" s="666"/>
      <c r="E75" s="21">
        <f t="shared" si="15"/>
        <v>1</v>
      </c>
      <c r="F75" s="666"/>
      <c r="G75" s="21">
        <f t="shared" si="16"/>
        <v>1</v>
      </c>
      <c r="H75" s="666"/>
      <c r="I75" s="21">
        <f t="shared" si="17"/>
        <v>1</v>
      </c>
      <c r="J75" s="666"/>
      <c r="K75" s="21">
        <f t="shared" si="18"/>
        <v>1</v>
      </c>
      <c r="L75" s="666"/>
      <c r="M75" s="21">
        <f t="shared" si="19"/>
        <v>1</v>
      </c>
      <c r="N75" s="666"/>
      <c r="O75" s="21">
        <f t="shared" si="20"/>
        <v>1</v>
      </c>
      <c r="P75" s="666"/>
      <c r="Q75" s="21">
        <f t="shared" si="21"/>
        <v>1</v>
      </c>
      <c r="R75" s="662">
        <f t="shared" si="22"/>
        <v>0</v>
      </c>
      <c r="S75" s="315">
        <f t="shared" si="23"/>
        <v>0</v>
      </c>
    </row>
    <row r="76" spans="1:19">
      <c r="A76" s="149"/>
      <c r="B76" s="54"/>
      <c r="C76" s="21">
        <f t="shared" si="14"/>
        <v>1</v>
      </c>
      <c r="D76" s="666"/>
      <c r="E76" s="21">
        <f t="shared" si="15"/>
        <v>1</v>
      </c>
      <c r="F76" s="666"/>
      <c r="G76" s="21">
        <f t="shared" si="16"/>
        <v>1</v>
      </c>
      <c r="H76" s="666"/>
      <c r="I76" s="21">
        <f t="shared" si="17"/>
        <v>1</v>
      </c>
      <c r="J76" s="666"/>
      <c r="K76" s="21">
        <f t="shared" si="18"/>
        <v>1</v>
      </c>
      <c r="L76" s="666"/>
      <c r="M76" s="21">
        <f t="shared" si="19"/>
        <v>1</v>
      </c>
      <c r="N76" s="666"/>
      <c r="O76" s="21">
        <f t="shared" si="20"/>
        <v>1</v>
      </c>
      <c r="P76" s="666"/>
      <c r="Q76" s="21">
        <f t="shared" si="21"/>
        <v>1</v>
      </c>
      <c r="R76" s="662">
        <f t="shared" si="22"/>
        <v>0</v>
      </c>
      <c r="S76" s="315">
        <f t="shared" si="23"/>
        <v>0</v>
      </c>
    </row>
    <row r="77" spans="1:19">
      <c r="A77" s="149"/>
      <c r="B77" s="54"/>
      <c r="C77" s="21">
        <f t="shared" si="14"/>
        <v>1</v>
      </c>
      <c r="D77" s="666"/>
      <c r="E77" s="21">
        <f t="shared" si="15"/>
        <v>1</v>
      </c>
      <c r="F77" s="666"/>
      <c r="G77" s="21">
        <f t="shared" si="16"/>
        <v>1</v>
      </c>
      <c r="H77" s="666"/>
      <c r="I77" s="21">
        <f t="shared" si="17"/>
        <v>1</v>
      </c>
      <c r="J77" s="666"/>
      <c r="K77" s="21">
        <f t="shared" si="18"/>
        <v>1</v>
      </c>
      <c r="L77" s="666"/>
      <c r="M77" s="21">
        <f t="shared" si="19"/>
        <v>1</v>
      </c>
      <c r="N77" s="666"/>
      <c r="O77" s="21">
        <f t="shared" si="20"/>
        <v>1</v>
      </c>
      <c r="P77" s="666"/>
      <c r="Q77" s="21">
        <f t="shared" si="21"/>
        <v>1</v>
      </c>
      <c r="R77" s="662">
        <f t="shared" si="22"/>
        <v>0</v>
      </c>
      <c r="S77" s="315">
        <f t="shared" si="23"/>
        <v>0</v>
      </c>
    </row>
    <row r="78" spans="1:19">
      <c r="A78" s="149"/>
      <c r="B78" s="54"/>
      <c r="C78" s="21">
        <f t="shared" si="14"/>
        <v>1</v>
      </c>
      <c r="D78" s="666"/>
      <c r="E78" s="21">
        <f t="shared" si="15"/>
        <v>1</v>
      </c>
      <c r="F78" s="666"/>
      <c r="G78" s="21">
        <f t="shared" si="16"/>
        <v>1</v>
      </c>
      <c r="H78" s="666"/>
      <c r="I78" s="21">
        <f t="shared" si="17"/>
        <v>1</v>
      </c>
      <c r="J78" s="666"/>
      <c r="K78" s="21">
        <f t="shared" si="18"/>
        <v>1</v>
      </c>
      <c r="L78" s="666"/>
      <c r="M78" s="21">
        <f t="shared" si="19"/>
        <v>1</v>
      </c>
      <c r="N78" s="666"/>
      <c r="O78" s="21">
        <f t="shared" si="20"/>
        <v>1</v>
      </c>
      <c r="P78" s="666"/>
      <c r="Q78" s="21">
        <f t="shared" si="21"/>
        <v>1</v>
      </c>
      <c r="R78" s="662">
        <f t="shared" si="22"/>
        <v>0</v>
      </c>
      <c r="S78" s="315">
        <f t="shared" ref="S78:S122" si="24">ROUND(R78*B78/10000,0)</f>
        <v>0</v>
      </c>
    </row>
    <row r="79" spans="1:19">
      <c r="A79" s="149"/>
      <c r="B79" s="54"/>
      <c r="C79" s="21">
        <f t="shared" si="14"/>
        <v>1</v>
      </c>
      <c r="D79" s="666"/>
      <c r="E79" s="21">
        <f t="shared" si="15"/>
        <v>1</v>
      </c>
      <c r="F79" s="666"/>
      <c r="G79" s="21">
        <f t="shared" si="16"/>
        <v>1</v>
      </c>
      <c r="H79" s="666"/>
      <c r="I79" s="21">
        <f t="shared" si="17"/>
        <v>1</v>
      </c>
      <c r="J79" s="666"/>
      <c r="K79" s="21">
        <f t="shared" si="18"/>
        <v>1</v>
      </c>
      <c r="L79" s="666"/>
      <c r="M79" s="21">
        <f t="shared" si="19"/>
        <v>1</v>
      </c>
      <c r="N79" s="666"/>
      <c r="O79" s="21">
        <f t="shared" si="20"/>
        <v>1</v>
      </c>
      <c r="P79" s="666"/>
      <c r="Q79" s="21">
        <f t="shared" si="21"/>
        <v>1</v>
      </c>
      <c r="R79" s="662">
        <f t="shared" si="22"/>
        <v>0</v>
      </c>
      <c r="S79" s="315">
        <f t="shared" si="24"/>
        <v>0</v>
      </c>
    </row>
    <row r="80" spans="1:19">
      <c r="A80" s="149"/>
      <c r="B80" s="54"/>
      <c r="C80" s="21">
        <f t="shared" si="14"/>
        <v>1</v>
      </c>
      <c r="D80" s="666"/>
      <c r="E80" s="21">
        <f t="shared" si="15"/>
        <v>1</v>
      </c>
      <c r="F80" s="666"/>
      <c r="G80" s="21">
        <f t="shared" si="16"/>
        <v>1</v>
      </c>
      <c r="H80" s="666"/>
      <c r="I80" s="21">
        <f t="shared" si="17"/>
        <v>1</v>
      </c>
      <c r="J80" s="666"/>
      <c r="K80" s="21">
        <f t="shared" si="18"/>
        <v>1</v>
      </c>
      <c r="L80" s="666"/>
      <c r="M80" s="21">
        <f t="shared" si="19"/>
        <v>1</v>
      </c>
      <c r="N80" s="666"/>
      <c r="O80" s="21">
        <f t="shared" si="20"/>
        <v>1</v>
      </c>
      <c r="P80" s="666"/>
      <c r="Q80" s="21">
        <f t="shared" si="21"/>
        <v>1</v>
      </c>
      <c r="R80" s="662">
        <f t="shared" si="22"/>
        <v>0</v>
      </c>
      <c r="S80" s="315">
        <f t="shared" si="24"/>
        <v>0</v>
      </c>
    </row>
    <row r="81" spans="1:19">
      <c r="A81" s="149"/>
      <c r="B81" s="54"/>
      <c r="C81" s="21">
        <f t="shared" si="14"/>
        <v>1</v>
      </c>
      <c r="D81" s="666"/>
      <c r="E81" s="21">
        <f t="shared" si="15"/>
        <v>1</v>
      </c>
      <c r="F81" s="666"/>
      <c r="G81" s="21">
        <f t="shared" si="16"/>
        <v>1</v>
      </c>
      <c r="H81" s="666"/>
      <c r="I81" s="21">
        <f t="shared" si="17"/>
        <v>1</v>
      </c>
      <c r="J81" s="666"/>
      <c r="K81" s="21">
        <f t="shared" si="18"/>
        <v>1</v>
      </c>
      <c r="L81" s="666"/>
      <c r="M81" s="21">
        <f t="shared" si="19"/>
        <v>1</v>
      </c>
      <c r="N81" s="666"/>
      <c r="O81" s="21">
        <f t="shared" si="20"/>
        <v>1</v>
      </c>
      <c r="P81" s="666"/>
      <c r="Q81" s="21">
        <f t="shared" si="21"/>
        <v>1</v>
      </c>
      <c r="R81" s="662">
        <f t="shared" si="22"/>
        <v>0</v>
      </c>
      <c r="S81" s="315">
        <f t="shared" si="24"/>
        <v>0</v>
      </c>
    </row>
    <row r="82" spans="1:19">
      <c r="A82" s="149"/>
      <c r="B82" s="54"/>
      <c r="C82" s="21">
        <f t="shared" si="14"/>
        <v>1</v>
      </c>
      <c r="D82" s="666"/>
      <c r="E82" s="21">
        <f t="shared" si="15"/>
        <v>1</v>
      </c>
      <c r="F82" s="666"/>
      <c r="G82" s="21">
        <f t="shared" si="16"/>
        <v>1</v>
      </c>
      <c r="H82" s="666"/>
      <c r="I82" s="21">
        <f t="shared" si="17"/>
        <v>1</v>
      </c>
      <c r="J82" s="666"/>
      <c r="K82" s="21">
        <f t="shared" si="18"/>
        <v>1</v>
      </c>
      <c r="L82" s="666"/>
      <c r="M82" s="21">
        <f t="shared" si="19"/>
        <v>1</v>
      </c>
      <c r="N82" s="666"/>
      <c r="O82" s="21">
        <f t="shared" si="20"/>
        <v>1</v>
      </c>
      <c r="P82" s="666"/>
      <c r="Q82" s="21">
        <f t="shared" si="21"/>
        <v>1</v>
      </c>
      <c r="R82" s="662">
        <f t="shared" si="22"/>
        <v>0</v>
      </c>
      <c r="S82" s="315">
        <f t="shared" si="24"/>
        <v>0</v>
      </c>
    </row>
    <row r="83" spans="1:19">
      <c r="A83" s="149"/>
      <c r="B83" s="54"/>
      <c r="C83" s="21">
        <f t="shared" si="14"/>
        <v>1</v>
      </c>
      <c r="D83" s="666"/>
      <c r="E83" s="21">
        <f t="shared" si="15"/>
        <v>1</v>
      </c>
      <c r="F83" s="666"/>
      <c r="G83" s="21">
        <f t="shared" si="16"/>
        <v>1</v>
      </c>
      <c r="H83" s="666"/>
      <c r="I83" s="21">
        <f t="shared" si="17"/>
        <v>1</v>
      </c>
      <c r="J83" s="666"/>
      <c r="K83" s="21">
        <f t="shared" si="18"/>
        <v>1</v>
      </c>
      <c r="L83" s="666"/>
      <c r="M83" s="21">
        <f t="shared" si="19"/>
        <v>1</v>
      </c>
      <c r="N83" s="666"/>
      <c r="O83" s="21">
        <f t="shared" si="20"/>
        <v>1</v>
      </c>
      <c r="P83" s="666"/>
      <c r="Q83" s="21">
        <f t="shared" si="21"/>
        <v>1</v>
      </c>
      <c r="R83" s="662">
        <f t="shared" si="22"/>
        <v>0</v>
      </c>
      <c r="S83" s="315">
        <f t="shared" si="24"/>
        <v>0</v>
      </c>
    </row>
    <row r="84" spans="1:19">
      <c r="A84" s="149"/>
      <c r="B84" s="54"/>
      <c r="C84" s="21">
        <f t="shared" si="14"/>
        <v>1</v>
      </c>
      <c r="D84" s="666"/>
      <c r="E84" s="21">
        <f t="shared" si="15"/>
        <v>1</v>
      </c>
      <c r="F84" s="666"/>
      <c r="G84" s="21">
        <f t="shared" si="16"/>
        <v>1</v>
      </c>
      <c r="H84" s="666"/>
      <c r="I84" s="21">
        <f t="shared" si="17"/>
        <v>1</v>
      </c>
      <c r="J84" s="666"/>
      <c r="K84" s="21">
        <f t="shared" si="18"/>
        <v>1</v>
      </c>
      <c r="L84" s="666"/>
      <c r="M84" s="21">
        <f t="shared" si="19"/>
        <v>1</v>
      </c>
      <c r="N84" s="666"/>
      <c r="O84" s="21">
        <f t="shared" si="20"/>
        <v>1</v>
      </c>
      <c r="P84" s="666"/>
      <c r="Q84" s="21">
        <f t="shared" si="21"/>
        <v>1</v>
      </c>
      <c r="R84" s="662">
        <f t="shared" si="22"/>
        <v>0</v>
      </c>
      <c r="S84" s="315">
        <f t="shared" si="24"/>
        <v>0</v>
      </c>
    </row>
    <row r="85" spans="1:19">
      <c r="A85" s="149"/>
      <c r="B85" s="54"/>
      <c r="C85" s="21">
        <f t="shared" si="14"/>
        <v>1</v>
      </c>
      <c r="D85" s="666"/>
      <c r="E85" s="21">
        <f t="shared" si="15"/>
        <v>1</v>
      </c>
      <c r="F85" s="666"/>
      <c r="G85" s="21">
        <f t="shared" si="16"/>
        <v>1</v>
      </c>
      <c r="H85" s="666"/>
      <c r="I85" s="21">
        <f t="shared" si="17"/>
        <v>1</v>
      </c>
      <c r="J85" s="666"/>
      <c r="K85" s="21">
        <f t="shared" si="18"/>
        <v>1</v>
      </c>
      <c r="L85" s="666"/>
      <c r="M85" s="21">
        <f t="shared" si="19"/>
        <v>1</v>
      </c>
      <c r="N85" s="666"/>
      <c r="O85" s="21">
        <f t="shared" si="20"/>
        <v>1</v>
      </c>
      <c r="P85" s="666"/>
      <c r="Q85" s="21">
        <f t="shared" si="21"/>
        <v>1</v>
      </c>
      <c r="R85" s="662">
        <f t="shared" si="22"/>
        <v>0</v>
      </c>
      <c r="S85" s="315">
        <f t="shared" si="24"/>
        <v>0</v>
      </c>
    </row>
    <row r="86" spans="1:19">
      <c r="A86" s="149"/>
      <c r="B86" s="54"/>
      <c r="C86" s="21">
        <f t="shared" si="14"/>
        <v>1</v>
      </c>
      <c r="D86" s="666"/>
      <c r="E86" s="21">
        <f t="shared" si="15"/>
        <v>1</v>
      </c>
      <c r="F86" s="666"/>
      <c r="G86" s="21">
        <f t="shared" si="16"/>
        <v>1</v>
      </c>
      <c r="H86" s="666"/>
      <c r="I86" s="21">
        <f t="shared" si="17"/>
        <v>1</v>
      </c>
      <c r="J86" s="666"/>
      <c r="K86" s="21">
        <f t="shared" si="18"/>
        <v>1</v>
      </c>
      <c r="L86" s="666"/>
      <c r="M86" s="21">
        <f t="shared" si="19"/>
        <v>1</v>
      </c>
      <c r="N86" s="666"/>
      <c r="O86" s="21">
        <f t="shared" si="20"/>
        <v>1</v>
      </c>
      <c r="P86" s="666"/>
      <c r="Q86" s="21">
        <f t="shared" si="21"/>
        <v>1</v>
      </c>
      <c r="R86" s="662">
        <f t="shared" si="22"/>
        <v>0</v>
      </c>
      <c r="S86" s="315">
        <f t="shared" si="24"/>
        <v>0</v>
      </c>
    </row>
    <row r="87" spans="1:19">
      <c r="A87" s="149"/>
      <c r="B87" s="54"/>
      <c r="C87" s="21">
        <f t="shared" si="14"/>
        <v>1</v>
      </c>
      <c r="D87" s="666"/>
      <c r="E87" s="21">
        <f t="shared" si="15"/>
        <v>1</v>
      </c>
      <c r="F87" s="666"/>
      <c r="G87" s="21">
        <f t="shared" si="16"/>
        <v>1</v>
      </c>
      <c r="H87" s="666"/>
      <c r="I87" s="21">
        <f t="shared" si="17"/>
        <v>1</v>
      </c>
      <c r="J87" s="666"/>
      <c r="K87" s="21">
        <f t="shared" si="18"/>
        <v>1</v>
      </c>
      <c r="L87" s="666"/>
      <c r="M87" s="21">
        <f t="shared" si="19"/>
        <v>1</v>
      </c>
      <c r="N87" s="666"/>
      <c r="O87" s="21">
        <f t="shared" si="20"/>
        <v>1</v>
      </c>
      <c r="P87" s="666"/>
      <c r="Q87" s="21">
        <f t="shared" si="21"/>
        <v>1</v>
      </c>
      <c r="R87" s="662">
        <f t="shared" si="22"/>
        <v>0</v>
      </c>
      <c r="S87" s="315">
        <f t="shared" si="24"/>
        <v>0</v>
      </c>
    </row>
    <row r="88" spans="1:19">
      <c r="A88" s="149"/>
      <c r="B88" s="54"/>
      <c r="C88" s="21">
        <f t="shared" si="14"/>
        <v>1</v>
      </c>
      <c r="D88" s="666"/>
      <c r="E88" s="21">
        <f t="shared" si="15"/>
        <v>1</v>
      </c>
      <c r="F88" s="666"/>
      <c r="G88" s="21">
        <f t="shared" si="16"/>
        <v>1</v>
      </c>
      <c r="H88" s="666"/>
      <c r="I88" s="21">
        <f t="shared" si="17"/>
        <v>1</v>
      </c>
      <c r="J88" s="666"/>
      <c r="K88" s="21">
        <f t="shared" si="18"/>
        <v>1</v>
      </c>
      <c r="L88" s="666"/>
      <c r="M88" s="21">
        <f t="shared" si="19"/>
        <v>1</v>
      </c>
      <c r="N88" s="666"/>
      <c r="O88" s="21">
        <f t="shared" si="20"/>
        <v>1</v>
      </c>
      <c r="P88" s="666"/>
      <c r="Q88" s="21">
        <f t="shared" si="21"/>
        <v>1</v>
      </c>
      <c r="R88" s="662">
        <f t="shared" si="22"/>
        <v>0</v>
      </c>
      <c r="S88" s="315">
        <f t="shared" si="24"/>
        <v>0</v>
      </c>
    </row>
    <row r="89" spans="1:19">
      <c r="A89" s="149"/>
      <c r="B89" s="54"/>
      <c r="C89" s="21">
        <f t="shared" si="14"/>
        <v>1</v>
      </c>
      <c r="D89" s="666"/>
      <c r="E89" s="21">
        <f t="shared" si="15"/>
        <v>1</v>
      </c>
      <c r="F89" s="666"/>
      <c r="G89" s="21">
        <f t="shared" si="16"/>
        <v>1</v>
      </c>
      <c r="H89" s="666"/>
      <c r="I89" s="21">
        <f t="shared" si="17"/>
        <v>1</v>
      </c>
      <c r="J89" s="666"/>
      <c r="K89" s="21">
        <f t="shared" si="18"/>
        <v>1</v>
      </c>
      <c r="L89" s="666"/>
      <c r="M89" s="21">
        <f t="shared" si="19"/>
        <v>1</v>
      </c>
      <c r="N89" s="666"/>
      <c r="O89" s="21">
        <f t="shared" si="20"/>
        <v>1</v>
      </c>
      <c r="P89" s="666"/>
      <c r="Q89" s="21">
        <f t="shared" si="21"/>
        <v>1</v>
      </c>
      <c r="R89" s="662">
        <f t="shared" si="22"/>
        <v>0</v>
      </c>
      <c r="S89" s="315">
        <f t="shared" si="24"/>
        <v>0</v>
      </c>
    </row>
    <row r="90" spans="1:19">
      <c r="A90" s="149"/>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5">
        <f t="shared" si="24"/>
        <v>0</v>
      </c>
    </row>
    <row r="91" spans="1:19">
      <c r="A91" s="149"/>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1</v>
      </c>
      <c r="R91" s="662">
        <f t="shared" si="33"/>
        <v>0</v>
      </c>
      <c r="S91" s="315">
        <f t="shared" si="24"/>
        <v>0</v>
      </c>
    </row>
    <row r="92" spans="1:19">
      <c r="A92" s="149"/>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1</v>
      </c>
      <c r="R92" s="662">
        <f t="shared" si="33"/>
        <v>0</v>
      </c>
      <c r="S92" s="315">
        <f t="shared" si="24"/>
        <v>0</v>
      </c>
    </row>
    <row r="93" spans="1:19">
      <c r="A93" s="149"/>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1</v>
      </c>
      <c r="R93" s="662">
        <f t="shared" si="33"/>
        <v>0</v>
      </c>
      <c r="S93" s="315">
        <f t="shared" si="24"/>
        <v>0</v>
      </c>
    </row>
    <row r="94" spans="1:19">
      <c r="A94" s="149"/>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1</v>
      </c>
      <c r="R94" s="662">
        <f t="shared" si="33"/>
        <v>0</v>
      </c>
      <c r="S94" s="315">
        <f t="shared" si="24"/>
        <v>0</v>
      </c>
    </row>
    <row r="95" spans="1:19">
      <c r="A95" s="149"/>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1</v>
      </c>
      <c r="R95" s="662">
        <f t="shared" si="33"/>
        <v>0</v>
      </c>
      <c r="S95" s="315">
        <f t="shared" si="24"/>
        <v>0</v>
      </c>
    </row>
    <row r="96" spans="1:19">
      <c r="A96" s="149"/>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1</v>
      </c>
      <c r="R96" s="662">
        <f t="shared" si="33"/>
        <v>0</v>
      </c>
      <c r="S96" s="315">
        <f t="shared" si="24"/>
        <v>0</v>
      </c>
    </row>
    <row r="97" spans="1:19">
      <c r="A97" s="149"/>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1</v>
      </c>
      <c r="R97" s="662">
        <f t="shared" si="33"/>
        <v>0</v>
      </c>
      <c r="S97" s="315">
        <f t="shared" si="24"/>
        <v>0</v>
      </c>
    </row>
    <row r="98" spans="1:19">
      <c r="A98" s="149"/>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1</v>
      </c>
      <c r="R98" s="662">
        <f t="shared" si="33"/>
        <v>0</v>
      </c>
      <c r="S98" s="315">
        <f t="shared" si="24"/>
        <v>0</v>
      </c>
    </row>
    <row r="99" spans="1:19">
      <c r="A99" s="149"/>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1</v>
      </c>
      <c r="R99" s="662">
        <f t="shared" si="33"/>
        <v>0</v>
      </c>
      <c r="S99" s="315">
        <f t="shared" si="24"/>
        <v>0</v>
      </c>
    </row>
    <row r="100" spans="1:19">
      <c r="A100" s="149"/>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1</v>
      </c>
      <c r="R100" s="662">
        <f t="shared" si="33"/>
        <v>0</v>
      </c>
      <c r="S100" s="315">
        <f t="shared" si="24"/>
        <v>0</v>
      </c>
    </row>
    <row r="101" spans="1:19">
      <c r="A101" s="149"/>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1</v>
      </c>
      <c r="R101" s="662">
        <f t="shared" si="33"/>
        <v>0</v>
      </c>
      <c r="S101" s="315">
        <f t="shared" si="24"/>
        <v>0</v>
      </c>
    </row>
    <row r="102" spans="1:19">
      <c r="A102" s="149"/>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1</v>
      </c>
      <c r="R102" s="662">
        <f t="shared" si="33"/>
        <v>0</v>
      </c>
      <c r="S102" s="315">
        <f t="shared" si="24"/>
        <v>0</v>
      </c>
    </row>
    <row r="103" spans="1:19">
      <c r="A103" s="149"/>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1</v>
      </c>
      <c r="R103" s="662">
        <f t="shared" si="33"/>
        <v>0</v>
      </c>
      <c r="S103" s="315">
        <f t="shared" si="24"/>
        <v>0</v>
      </c>
    </row>
    <row r="104" spans="1:19">
      <c r="A104" s="149"/>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1</v>
      </c>
      <c r="R104" s="662">
        <f t="shared" si="33"/>
        <v>0</v>
      </c>
      <c r="S104" s="315">
        <f t="shared" si="24"/>
        <v>0</v>
      </c>
    </row>
    <row r="105" spans="1:19">
      <c r="A105" s="149"/>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1</v>
      </c>
      <c r="R105" s="662">
        <f t="shared" si="33"/>
        <v>0</v>
      </c>
      <c r="S105" s="315">
        <f t="shared" si="24"/>
        <v>0</v>
      </c>
    </row>
    <row r="106" spans="1:19">
      <c r="A106" s="149"/>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1</v>
      </c>
      <c r="R106" s="662">
        <f t="shared" si="33"/>
        <v>0</v>
      </c>
      <c r="S106" s="315">
        <f t="shared" si="24"/>
        <v>0</v>
      </c>
    </row>
    <row r="107" spans="1:19">
      <c r="A107" s="149"/>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1</v>
      </c>
      <c r="R107" s="662">
        <f t="shared" si="33"/>
        <v>0</v>
      </c>
      <c r="S107" s="315">
        <f t="shared" si="24"/>
        <v>0</v>
      </c>
    </row>
    <row r="108" spans="1:19">
      <c r="A108" s="149"/>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1</v>
      </c>
      <c r="R108" s="662">
        <f t="shared" si="33"/>
        <v>0</v>
      </c>
      <c r="S108" s="315">
        <f t="shared" si="24"/>
        <v>0</v>
      </c>
    </row>
    <row r="109" spans="1:19">
      <c r="A109" s="149"/>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1</v>
      </c>
      <c r="R109" s="662">
        <f t="shared" si="33"/>
        <v>0</v>
      </c>
      <c r="S109" s="315">
        <f t="shared" si="24"/>
        <v>0</v>
      </c>
    </row>
    <row r="110" spans="1:19">
      <c r="A110" s="149"/>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1</v>
      </c>
      <c r="R110" s="662">
        <f t="shared" si="33"/>
        <v>0</v>
      </c>
      <c r="S110" s="315">
        <f t="shared" si="24"/>
        <v>0</v>
      </c>
    </row>
    <row r="111" spans="1:19">
      <c r="A111" s="149"/>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1</v>
      </c>
      <c r="R111" s="662">
        <f t="shared" si="33"/>
        <v>0</v>
      </c>
      <c r="S111" s="315">
        <f t="shared" si="24"/>
        <v>0</v>
      </c>
    </row>
    <row r="112" spans="1:19">
      <c r="A112" s="149"/>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1</v>
      </c>
      <c r="R112" s="662">
        <f t="shared" si="33"/>
        <v>0</v>
      </c>
      <c r="S112" s="315">
        <f t="shared" si="24"/>
        <v>0</v>
      </c>
    </row>
    <row r="113" spans="1:19">
      <c r="A113" s="149"/>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1</v>
      </c>
      <c r="R113" s="662">
        <f t="shared" si="33"/>
        <v>0</v>
      </c>
      <c r="S113" s="315">
        <f t="shared" si="24"/>
        <v>0</v>
      </c>
    </row>
    <row r="114" spans="1:19">
      <c r="A114" s="149"/>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1</v>
      </c>
      <c r="R114" s="662">
        <f t="shared" si="33"/>
        <v>0</v>
      </c>
      <c r="S114" s="315">
        <f t="shared" si="24"/>
        <v>0</v>
      </c>
    </row>
    <row r="115" spans="1:19">
      <c r="A115" s="149"/>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1</v>
      </c>
      <c r="R115" s="662">
        <f t="shared" si="33"/>
        <v>0</v>
      </c>
      <c r="S115" s="315">
        <f t="shared" si="24"/>
        <v>0</v>
      </c>
    </row>
    <row r="116" spans="1:19">
      <c r="A116" s="149"/>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1</v>
      </c>
      <c r="R116" s="662">
        <f t="shared" si="33"/>
        <v>0</v>
      </c>
      <c r="S116" s="315">
        <f t="shared" si="24"/>
        <v>0</v>
      </c>
    </row>
    <row r="117" spans="1:19">
      <c r="A117" s="149"/>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1</v>
      </c>
      <c r="R117" s="662">
        <f t="shared" si="33"/>
        <v>0</v>
      </c>
      <c r="S117" s="315">
        <f t="shared" si="24"/>
        <v>0</v>
      </c>
    </row>
    <row r="118" spans="1:19">
      <c r="A118" s="149"/>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1</v>
      </c>
      <c r="R118" s="662">
        <f t="shared" si="33"/>
        <v>0</v>
      </c>
      <c r="S118" s="315">
        <f t="shared" si="24"/>
        <v>0</v>
      </c>
    </row>
    <row r="119" spans="1:19">
      <c r="A119" s="149"/>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1</v>
      </c>
      <c r="R119" s="662">
        <f t="shared" si="33"/>
        <v>0</v>
      </c>
      <c r="S119" s="315">
        <f t="shared" si="24"/>
        <v>0</v>
      </c>
    </row>
    <row r="120" spans="1:19">
      <c r="A120" s="149"/>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1</v>
      </c>
      <c r="R120" s="662">
        <f t="shared" si="33"/>
        <v>0</v>
      </c>
      <c r="S120" s="315">
        <f t="shared" si="24"/>
        <v>0</v>
      </c>
    </row>
    <row r="121" spans="1:19">
      <c r="A121" s="149"/>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1</v>
      </c>
      <c r="R121" s="662">
        <f t="shared" si="33"/>
        <v>0</v>
      </c>
      <c r="S121" s="315">
        <f t="shared" si="24"/>
        <v>0</v>
      </c>
    </row>
    <row r="122" spans="1:19">
      <c r="A122" s="149"/>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1</v>
      </c>
      <c r="R122" s="662">
        <f t="shared" si="33"/>
        <v>0</v>
      </c>
      <c r="S122" s="315">
        <f t="shared" si="24"/>
        <v>0</v>
      </c>
    </row>
    <row r="123" spans="1:19">
      <c r="A123" s="149"/>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1</v>
      </c>
      <c r="R123" s="662">
        <f t="shared" si="33"/>
        <v>0</v>
      </c>
      <c r="S123" s="315">
        <f t="shared" ref="S123:S186" si="34">ROUND(R123*B123/10000,0)</f>
        <v>0</v>
      </c>
    </row>
    <row r="124" spans="1:19">
      <c r="A124" s="149"/>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1</v>
      </c>
      <c r="R124" s="662">
        <f t="shared" si="33"/>
        <v>0</v>
      </c>
      <c r="S124" s="315">
        <f t="shared" si="34"/>
        <v>0</v>
      </c>
    </row>
    <row r="125" spans="1:19">
      <c r="A125" s="149"/>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1</v>
      </c>
      <c r="R125" s="662">
        <f t="shared" si="33"/>
        <v>0</v>
      </c>
      <c r="S125" s="315">
        <f t="shared" si="34"/>
        <v>0</v>
      </c>
    </row>
    <row r="126" spans="1:19">
      <c r="A126" s="149"/>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1</v>
      </c>
      <c r="R126" s="662">
        <f t="shared" si="33"/>
        <v>0</v>
      </c>
      <c r="S126" s="315">
        <f t="shared" si="34"/>
        <v>0</v>
      </c>
    </row>
    <row r="127" spans="1:19">
      <c r="A127" s="149"/>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1</v>
      </c>
      <c r="R127" s="662">
        <f t="shared" si="33"/>
        <v>0</v>
      </c>
      <c r="S127" s="315">
        <f t="shared" si="34"/>
        <v>0</v>
      </c>
    </row>
    <row r="128" spans="1:19">
      <c r="A128" s="149"/>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1</v>
      </c>
      <c r="R128" s="662">
        <f t="shared" si="33"/>
        <v>0</v>
      </c>
      <c r="S128" s="315">
        <f t="shared" si="34"/>
        <v>0</v>
      </c>
    </row>
    <row r="129" spans="1:19">
      <c r="A129" s="149"/>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1</v>
      </c>
      <c r="R129" s="662">
        <f t="shared" si="33"/>
        <v>0</v>
      </c>
      <c r="S129" s="315">
        <f t="shared" si="34"/>
        <v>0</v>
      </c>
    </row>
    <row r="130" spans="1:19">
      <c r="A130" s="149"/>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1</v>
      </c>
      <c r="R130" s="662">
        <f t="shared" si="33"/>
        <v>0</v>
      </c>
      <c r="S130" s="315">
        <f t="shared" si="34"/>
        <v>0</v>
      </c>
    </row>
    <row r="131" spans="1:19">
      <c r="A131" s="149"/>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1</v>
      </c>
      <c r="R131" s="662">
        <f t="shared" si="33"/>
        <v>0</v>
      </c>
      <c r="S131" s="315">
        <f t="shared" si="34"/>
        <v>0</v>
      </c>
    </row>
    <row r="132" spans="1:19">
      <c r="A132" s="149"/>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1</v>
      </c>
      <c r="R132" s="662">
        <f t="shared" si="33"/>
        <v>0</v>
      </c>
      <c r="S132" s="315">
        <f t="shared" si="34"/>
        <v>0</v>
      </c>
    </row>
    <row r="133" spans="1:19">
      <c r="A133" s="149"/>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1</v>
      </c>
      <c r="R133" s="662">
        <f t="shared" si="33"/>
        <v>0</v>
      </c>
      <c r="S133" s="315">
        <f t="shared" si="34"/>
        <v>0</v>
      </c>
    </row>
    <row r="134" spans="1:19">
      <c r="A134" s="149"/>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1</v>
      </c>
      <c r="R134" s="662">
        <f t="shared" si="33"/>
        <v>0</v>
      </c>
      <c r="S134" s="315">
        <f t="shared" si="34"/>
        <v>0</v>
      </c>
    </row>
    <row r="135" spans="1:19">
      <c r="A135" s="149"/>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1</v>
      </c>
      <c r="R135" s="662">
        <f t="shared" si="33"/>
        <v>0</v>
      </c>
      <c r="S135" s="315">
        <f t="shared" si="34"/>
        <v>0</v>
      </c>
    </row>
    <row r="136" spans="1:19">
      <c r="A136" s="149"/>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1</v>
      </c>
      <c r="R136" s="662">
        <f t="shared" si="33"/>
        <v>0</v>
      </c>
      <c r="S136" s="315">
        <f t="shared" si="34"/>
        <v>0</v>
      </c>
    </row>
    <row r="137" spans="1:19">
      <c r="A137" s="149"/>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1</v>
      </c>
      <c r="R137" s="662">
        <f t="shared" si="33"/>
        <v>0</v>
      </c>
      <c r="S137" s="315">
        <f t="shared" si="34"/>
        <v>0</v>
      </c>
    </row>
    <row r="138" spans="1:19">
      <c r="A138" s="149"/>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1</v>
      </c>
      <c r="R138" s="662">
        <f t="shared" si="33"/>
        <v>0</v>
      </c>
      <c r="S138" s="315">
        <f t="shared" si="34"/>
        <v>0</v>
      </c>
    </row>
    <row r="139" spans="1:19">
      <c r="A139" s="149"/>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1</v>
      </c>
      <c r="R139" s="662">
        <f t="shared" si="33"/>
        <v>0</v>
      </c>
      <c r="S139" s="315">
        <f t="shared" si="34"/>
        <v>0</v>
      </c>
    </row>
    <row r="140" spans="1:19">
      <c r="A140" s="149"/>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1</v>
      </c>
      <c r="R140" s="662">
        <f t="shared" si="33"/>
        <v>0</v>
      </c>
      <c r="S140" s="315">
        <f t="shared" si="34"/>
        <v>0</v>
      </c>
    </row>
    <row r="141" spans="1:19">
      <c r="A141" s="149"/>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1</v>
      </c>
      <c r="R141" s="662">
        <f t="shared" si="33"/>
        <v>0</v>
      </c>
      <c r="S141" s="315">
        <f t="shared" si="34"/>
        <v>0</v>
      </c>
    </row>
    <row r="142" spans="1:19">
      <c r="A142" s="149"/>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1</v>
      </c>
      <c r="R142" s="662">
        <f t="shared" si="33"/>
        <v>0</v>
      </c>
      <c r="S142" s="315">
        <f t="shared" si="34"/>
        <v>0</v>
      </c>
    </row>
    <row r="143" spans="1:19">
      <c r="A143" s="149"/>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1</v>
      </c>
      <c r="R143" s="662">
        <f t="shared" si="33"/>
        <v>0</v>
      </c>
      <c r="S143" s="315">
        <f t="shared" si="34"/>
        <v>0</v>
      </c>
    </row>
    <row r="144" spans="1:19">
      <c r="A144" s="149"/>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1</v>
      </c>
      <c r="R144" s="662">
        <f t="shared" si="33"/>
        <v>0</v>
      </c>
      <c r="S144" s="315">
        <f t="shared" si="34"/>
        <v>0</v>
      </c>
    </row>
    <row r="145" spans="1:19">
      <c r="A145" s="149"/>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1</v>
      </c>
      <c r="R145" s="662">
        <f t="shared" si="33"/>
        <v>0</v>
      </c>
      <c r="S145" s="315">
        <f t="shared" si="34"/>
        <v>0</v>
      </c>
    </row>
    <row r="146" spans="1:19">
      <c r="A146" s="149"/>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1</v>
      </c>
      <c r="R146" s="662">
        <f t="shared" si="33"/>
        <v>0</v>
      </c>
      <c r="S146" s="315">
        <f t="shared" si="34"/>
        <v>0</v>
      </c>
    </row>
    <row r="147" spans="1:19">
      <c r="A147" s="149"/>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1</v>
      </c>
      <c r="R147" s="662">
        <f t="shared" si="33"/>
        <v>0</v>
      </c>
      <c r="S147" s="315">
        <f t="shared" si="34"/>
        <v>0</v>
      </c>
    </row>
    <row r="148" spans="1:19">
      <c r="A148" s="149"/>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1</v>
      </c>
      <c r="R148" s="662">
        <f t="shared" si="33"/>
        <v>0</v>
      </c>
      <c r="S148" s="315">
        <f t="shared" si="34"/>
        <v>0</v>
      </c>
    </row>
    <row r="149" spans="1:19">
      <c r="A149" s="149"/>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1</v>
      </c>
      <c r="R149" s="662">
        <f t="shared" si="33"/>
        <v>0</v>
      </c>
      <c r="S149" s="315">
        <f t="shared" si="34"/>
        <v>0</v>
      </c>
    </row>
    <row r="150" spans="1:19">
      <c r="A150" s="149"/>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1</v>
      </c>
      <c r="R150" s="662">
        <f t="shared" si="33"/>
        <v>0</v>
      </c>
      <c r="S150" s="315">
        <f t="shared" si="34"/>
        <v>0</v>
      </c>
    </row>
    <row r="151" spans="1:19">
      <c r="A151" s="149"/>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1</v>
      </c>
      <c r="R151" s="662">
        <f t="shared" si="33"/>
        <v>0</v>
      </c>
      <c r="S151" s="315">
        <f t="shared" si="34"/>
        <v>0</v>
      </c>
    </row>
    <row r="152" spans="1:19">
      <c r="A152" s="149"/>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1</v>
      </c>
      <c r="R152" s="662">
        <f t="shared" si="33"/>
        <v>0</v>
      </c>
      <c r="S152" s="315">
        <f t="shared" si="34"/>
        <v>0</v>
      </c>
    </row>
    <row r="153" spans="1:19">
      <c r="A153" s="149"/>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1</v>
      </c>
      <c r="R153" s="662">
        <f t="shared" si="33"/>
        <v>0</v>
      </c>
      <c r="S153" s="315">
        <f t="shared" si="34"/>
        <v>0</v>
      </c>
    </row>
    <row r="154" spans="1:19">
      <c r="A154" s="149"/>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5">
        <f t="shared" si="34"/>
        <v>0</v>
      </c>
    </row>
    <row r="155" spans="1:19">
      <c r="A155" s="149"/>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1</v>
      </c>
      <c r="R155" s="662">
        <f t="shared" si="43"/>
        <v>0</v>
      </c>
      <c r="S155" s="315">
        <f t="shared" si="34"/>
        <v>0</v>
      </c>
    </row>
    <row r="156" spans="1:19">
      <c r="A156" s="149"/>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1</v>
      </c>
      <c r="R156" s="662">
        <f t="shared" si="43"/>
        <v>0</v>
      </c>
      <c r="S156" s="315">
        <f t="shared" si="34"/>
        <v>0</v>
      </c>
    </row>
    <row r="157" spans="1:19">
      <c r="A157" s="149"/>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1</v>
      </c>
      <c r="R157" s="662">
        <f t="shared" si="43"/>
        <v>0</v>
      </c>
      <c r="S157" s="315">
        <f t="shared" si="34"/>
        <v>0</v>
      </c>
    </row>
    <row r="158" spans="1:19">
      <c r="A158" s="149"/>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1</v>
      </c>
      <c r="R158" s="662">
        <f t="shared" si="43"/>
        <v>0</v>
      </c>
      <c r="S158" s="315">
        <f t="shared" si="34"/>
        <v>0</v>
      </c>
    </row>
    <row r="159" spans="1:19">
      <c r="A159" s="149"/>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1</v>
      </c>
      <c r="R159" s="662">
        <f t="shared" si="43"/>
        <v>0</v>
      </c>
      <c r="S159" s="315">
        <f t="shared" si="34"/>
        <v>0</v>
      </c>
    </row>
    <row r="160" spans="1:19">
      <c r="A160" s="149"/>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1</v>
      </c>
      <c r="R160" s="662">
        <f t="shared" si="43"/>
        <v>0</v>
      </c>
      <c r="S160" s="315">
        <f t="shared" si="34"/>
        <v>0</v>
      </c>
    </row>
    <row r="161" spans="1:19">
      <c r="A161" s="149"/>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1</v>
      </c>
      <c r="R161" s="662">
        <f t="shared" si="43"/>
        <v>0</v>
      </c>
      <c r="S161" s="315">
        <f t="shared" si="34"/>
        <v>0</v>
      </c>
    </row>
    <row r="162" spans="1:19">
      <c r="A162" s="149"/>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1</v>
      </c>
      <c r="R162" s="662">
        <f t="shared" si="43"/>
        <v>0</v>
      </c>
      <c r="S162" s="315">
        <f t="shared" si="34"/>
        <v>0</v>
      </c>
    </row>
    <row r="163" spans="1:19">
      <c r="A163" s="149"/>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1</v>
      </c>
      <c r="R163" s="662">
        <f t="shared" si="43"/>
        <v>0</v>
      </c>
      <c r="S163" s="315">
        <f t="shared" si="34"/>
        <v>0</v>
      </c>
    </row>
    <row r="164" spans="1:19">
      <c r="A164" s="149"/>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1</v>
      </c>
      <c r="R164" s="662">
        <f t="shared" si="43"/>
        <v>0</v>
      </c>
      <c r="S164" s="315">
        <f t="shared" si="34"/>
        <v>0</v>
      </c>
    </row>
    <row r="165" spans="1:19">
      <c r="A165" s="149"/>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1</v>
      </c>
      <c r="R165" s="662">
        <f t="shared" si="43"/>
        <v>0</v>
      </c>
      <c r="S165" s="315">
        <f t="shared" si="34"/>
        <v>0</v>
      </c>
    </row>
    <row r="166" spans="1:19">
      <c r="A166" s="149"/>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1</v>
      </c>
      <c r="R166" s="662">
        <f t="shared" si="43"/>
        <v>0</v>
      </c>
      <c r="S166" s="315">
        <f t="shared" si="34"/>
        <v>0</v>
      </c>
    </row>
    <row r="167" spans="1:19">
      <c r="A167" s="149"/>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1</v>
      </c>
      <c r="R167" s="662">
        <f t="shared" si="43"/>
        <v>0</v>
      </c>
      <c r="S167" s="315">
        <f t="shared" si="34"/>
        <v>0</v>
      </c>
    </row>
    <row r="168" spans="1:19">
      <c r="A168" s="149"/>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1</v>
      </c>
      <c r="R168" s="662">
        <f t="shared" si="43"/>
        <v>0</v>
      </c>
      <c r="S168" s="315">
        <f t="shared" si="34"/>
        <v>0</v>
      </c>
    </row>
    <row r="169" spans="1:19">
      <c r="A169" s="149"/>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1</v>
      </c>
      <c r="R169" s="662">
        <f t="shared" si="43"/>
        <v>0</v>
      </c>
      <c r="S169" s="315">
        <f t="shared" si="34"/>
        <v>0</v>
      </c>
    </row>
    <row r="170" spans="1:19">
      <c r="A170" s="149"/>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1</v>
      </c>
      <c r="R170" s="662">
        <f t="shared" si="43"/>
        <v>0</v>
      </c>
      <c r="S170" s="315">
        <f t="shared" si="34"/>
        <v>0</v>
      </c>
    </row>
    <row r="171" spans="1:19">
      <c r="A171" s="149"/>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1</v>
      </c>
      <c r="R171" s="662">
        <f t="shared" si="43"/>
        <v>0</v>
      </c>
      <c r="S171" s="315">
        <f t="shared" si="34"/>
        <v>0</v>
      </c>
    </row>
    <row r="172" spans="1:19">
      <c r="A172" s="149"/>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1</v>
      </c>
      <c r="R172" s="662">
        <f t="shared" si="43"/>
        <v>0</v>
      </c>
      <c r="S172" s="315">
        <f t="shared" si="34"/>
        <v>0</v>
      </c>
    </row>
    <row r="173" spans="1:19">
      <c r="A173" s="149"/>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1</v>
      </c>
      <c r="R173" s="662">
        <f t="shared" si="43"/>
        <v>0</v>
      </c>
      <c r="S173" s="315">
        <f t="shared" si="34"/>
        <v>0</v>
      </c>
    </row>
    <row r="174" spans="1:19">
      <c r="A174" s="149"/>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1</v>
      </c>
      <c r="R174" s="662">
        <f t="shared" si="43"/>
        <v>0</v>
      </c>
      <c r="S174" s="315">
        <f t="shared" si="34"/>
        <v>0</v>
      </c>
    </row>
    <row r="175" spans="1:19">
      <c r="A175" s="149"/>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1</v>
      </c>
      <c r="R175" s="662">
        <f t="shared" si="43"/>
        <v>0</v>
      </c>
      <c r="S175" s="315">
        <f t="shared" si="34"/>
        <v>0</v>
      </c>
    </row>
    <row r="176" spans="1:19">
      <c r="A176" s="149"/>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1</v>
      </c>
      <c r="R176" s="662">
        <f t="shared" si="43"/>
        <v>0</v>
      </c>
      <c r="S176" s="315">
        <f t="shared" si="34"/>
        <v>0</v>
      </c>
    </row>
    <row r="177" spans="1:19">
      <c r="A177" s="149"/>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1</v>
      </c>
      <c r="R177" s="662">
        <f t="shared" si="43"/>
        <v>0</v>
      </c>
      <c r="S177" s="315">
        <f t="shared" si="34"/>
        <v>0</v>
      </c>
    </row>
    <row r="178" spans="1:19">
      <c r="A178" s="149"/>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1</v>
      </c>
      <c r="R178" s="662">
        <f t="shared" si="43"/>
        <v>0</v>
      </c>
      <c r="S178" s="315">
        <f t="shared" si="34"/>
        <v>0</v>
      </c>
    </row>
    <row r="179" spans="1:19">
      <c r="A179" s="149"/>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1</v>
      </c>
      <c r="R179" s="662">
        <f t="shared" si="43"/>
        <v>0</v>
      </c>
      <c r="S179" s="315">
        <f t="shared" si="34"/>
        <v>0</v>
      </c>
    </row>
    <row r="180" spans="1:19">
      <c r="A180" s="149"/>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1</v>
      </c>
      <c r="R180" s="662">
        <f t="shared" si="43"/>
        <v>0</v>
      </c>
      <c r="S180" s="315">
        <f t="shared" si="34"/>
        <v>0</v>
      </c>
    </row>
    <row r="181" spans="1:19">
      <c r="A181" s="149"/>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1</v>
      </c>
      <c r="R181" s="662">
        <f t="shared" si="43"/>
        <v>0</v>
      </c>
      <c r="S181" s="315">
        <f t="shared" si="34"/>
        <v>0</v>
      </c>
    </row>
    <row r="182" spans="1:19">
      <c r="A182" s="149"/>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1</v>
      </c>
      <c r="R182" s="662">
        <f t="shared" si="43"/>
        <v>0</v>
      </c>
      <c r="S182" s="315">
        <f t="shared" si="34"/>
        <v>0</v>
      </c>
    </row>
    <row r="183" spans="1:19">
      <c r="A183" s="149"/>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1</v>
      </c>
      <c r="R183" s="662">
        <f t="shared" si="43"/>
        <v>0</v>
      </c>
      <c r="S183" s="315">
        <f t="shared" si="34"/>
        <v>0</v>
      </c>
    </row>
    <row r="184" spans="1:19">
      <c r="A184" s="149"/>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1</v>
      </c>
      <c r="R184" s="662">
        <f t="shared" si="43"/>
        <v>0</v>
      </c>
      <c r="S184" s="315">
        <f t="shared" si="34"/>
        <v>0</v>
      </c>
    </row>
    <row r="185" spans="1:19">
      <c r="A185" s="149"/>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1</v>
      </c>
      <c r="R185" s="662">
        <f t="shared" si="43"/>
        <v>0</v>
      </c>
      <c r="S185" s="315">
        <f t="shared" si="34"/>
        <v>0</v>
      </c>
    </row>
    <row r="186" spans="1:19">
      <c r="A186" s="149"/>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1</v>
      </c>
      <c r="R186" s="662">
        <f t="shared" si="43"/>
        <v>0</v>
      </c>
      <c r="S186" s="315">
        <f t="shared" si="34"/>
        <v>0</v>
      </c>
    </row>
    <row r="187" spans="1:19">
      <c r="A187" s="149"/>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1</v>
      </c>
      <c r="R187" s="662">
        <f t="shared" si="43"/>
        <v>0</v>
      </c>
      <c r="S187" s="315">
        <f t="shared" ref="S187:S222" si="44">ROUND(R187*B187/10000,0)</f>
        <v>0</v>
      </c>
    </row>
    <row r="188" spans="1:19">
      <c r="A188" s="149"/>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1</v>
      </c>
      <c r="R188" s="662">
        <f t="shared" si="43"/>
        <v>0</v>
      </c>
      <c r="S188" s="315">
        <f t="shared" si="44"/>
        <v>0</v>
      </c>
    </row>
    <row r="189" spans="1:19">
      <c r="A189" s="149"/>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1</v>
      </c>
      <c r="R189" s="662">
        <f t="shared" si="43"/>
        <v>0</v>
      </c>
      <c r="S189" s="315">
        <f t="shared" si="44"/>
        <v>0</v>
      </c>
    </row>
    <row r="190" spans="1:19">
      <c r="A190" s="149"/>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1</v>
      </c>
      <c r="R190" s="662">
        <f t="shared" si="43"/>
        <v>0</v>
      </c>
      <c r="S190" s="315">
        <f t="shared" si="44"/>
        <v>0</v>
      </c>
    </row>
    <row r="191" spans="1:19">
      <c r="A191" s="149"/>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1</v>
      </c>
      <c r="R191" s="662">
        <f t="shared" si="43"/>
        <v>0</v>
      </c>
      <c r="S191" s="315">
        <f t="shared" si="44"/>
        <v>0</v>
      </c>
    </row>
    <row r="192" spans="1:19">
      <c r="A192" s="149"/>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1</v>
      </c>
      <c r="R192" s="662">
        <f t="shared" si="43"/>
        <v>0</v>
      </c>
      <c r="S192" s="315">
        <f t="shared" si="44"/>
        <v>0</v>
      </c>
    </row>
    <row r="193" spans="1:19">
      <c r="A193" s="149"/>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1</v>
      </c>
      <c r="R193" s="662">
        <f t="shared" si="43"/>
        <v>0</v>
      </c>
      <c r="S193" s="315">
        <f t="shared" si="44"/>
        <v>0</v>
      </c>
    </row>
    <row r="194" spans="1:19">
      <c r="A194" s="149"/>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1</v>
      </c>
      <c r="R194" s="662">
        <f t="shared" si="43"/>
        <v>0</v>
      </c>
      <c r="S194" s="315">
        <f t="shared" si="44"/>
        <v>0</v>
      </c>
    </row>
    <row r="195" spans="1:19">
      <c r="A195" s="149"/>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1</v>
      </c>
      <c r="R195" s="662">
        <f t="shared" si="43"/>
        <v>0</v>
      </c>
      <c r="S195" s="315">
        <f t="shared" si="44"/>
        <v>0</v>
      </c>
    </row>
    <row r="196" spans="1:19">
      <c r="A196" s="149"/>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1</v>
      </c>
      <c r="R196" s="662">
        <f t="shared" si="43"/>
        <v>0</v>
      </c>
      <c r="S196" s="315">
        <f t="shared" si="44"/>
        <v>0</v>
      </c>
    </row>
    <row r="197" spans="1:19">
      <c r="A197" s="149"/>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1</v>
      </c>
      <c r="R197" s="662">
        <f t="shared" si="43"/>
        <v>0</v>
      </c>
      <c r="S197" s="315">
        <f t="shared" si="44"/>
        <v>0</v>
      </c>
    </row>
    <row r="198" spans="1:19">
      <c r="A198" s="149"/>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1</v>
      </c>
      <c r="R198" s="662">
        <f t="shared" si="43"/>
        <v>0</v>
      </c>
      <c r="S198" s="315">
        <f t="shared" si="44"/>
        <v>0</v>
      </c>
    </row>
    <row r="199" spans="1:19">
      <c r="A199" s="149"/>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1</v>
      </c>
      <c r="R199" s="662">
        <f t="shared" si="43"/>
        <v>0</v>
      </c>
      <c r="S199" s="315">
        <f t="shared" si="44"/>
        <v>0</v>
      </c>
    </row>
    <row r="200" spans="1:19">
      <c r="A200" s="149"/>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1</v>
      </c>
      <c r="R200" s="662">
        <f t="shared" si="43"/>
        <v>0</v>
      </c>
      <c r="S200" s="315">
        <f t="shared" si="44"/>
        <v>0</v>
      </c>
    </row>
    <row r="201" spans="1:19">
      <c r="A201" s="149"/>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1</v>
      </c>
      <c r="R201" s="662">
        <f t="shared" si="43"/>
        <v>0</v>
      </c>
      <c r="S201" s="315">
        <f t="shared" si="44"/>
        <v>0</v>
      </c>
    </row>
    <row r="202" spans="1:19">
      <c r="A202" s="149"/>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1</v>
      </c>
      <c r="R202" s="662">
        <f t="shared" si="43"/>
        <v>0</v>
      </c>
      <c r="S202" s="315">
        <f t="shared" si="44"/>
        <v>0</v>
      </c>
    </row>
    <row r="203" spans="1:19">
      <c r="A203" s="149"/>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1</v>
      </c>
      <c r="R203" s="662">
        <f t="shared" si="43"/>
        <v>0</v>
      </c>
      <c r="S203" s="315">
        <f t="shared" si="44"/>
        <v>0</v>
      </c>
    </row>
    <row r="204" spans="1:19">
      <c r="A204" s="149"/>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1</v>
      </c>
      <c r="R204" s="662">
        <f t="shared" si="43"/>
        <v>0</v>
      </c>
      <c r="S204" s="315">
        <f t="shared" si="44"/>
        <v>0</v>
      </c>
    </row>
    <row r="205" spans="1:19">
      <c r="A205" s="149"/>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1</v>
      </c>
      <c r="R205" s="662">
        <f t="shared" si="43"/>
        <v>0</v>
      </c>
      <c r="S205" s="315">
        <f t="shared" si="44"/>
        <v>0</v>
      </c>
    </row>
    <row r="206" spans="1:19">
      <c r="A206" s="149"/>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1</v>
      </c>
      <c r="R206" s="662">
        <f t="shared" si="43"/>
        <v>0</v>
      </c>
      <c r="S206" s="315">
        <f t="shared" si="44"/>
        <v>0</v>
      </c>
    </row>
    <row r="207" spans="1:19">
      <c r="A207" s="149"/>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1</v>
      </c>
      <c r="R207" s="662">
        <f t="shared" si="43"/>
        <v>0</v>
      </c>
      <c r="S207" s="315">
        <f t="shared" si="44"/>
        <v>0</v>
      </c>
    </row>
    <row r="208" spans="1:19">
      <c r="A208" s="149"/>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1</v>
      </c>
      <c r="R208" s="662">
        <f t="shared" si="43"/>
        <v>0</v>
      </c>
      <c r="S208" s="315">
        <f t="shared" si="44"/>
        <v>0</v>
      </c>
    </row>
    <row r="209" spans="1:19">
      <c r="A209" s="149"/>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1</v>
      </c>
      <c r="R209" s="662">
        <f t="shared" si="43"/>
        <v>0</v>
      </c>
      <c r="S209" s="315">
        <f t="shared" si="44"/>
        <v>0</v>
      </c>
    </row>
    <row r="210" spans="1:19">
      <c r="A210" s="149"/>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1</v>
      </c>
      <c r="R210" s="662">
        <f t="shared" si="43"/>
        <v>0</v>
      </c>
      <c r="S210" s="315">
        <f t="shared" si="44"/>
        <v>0</v>
      </c>
    </row>
    <row r="211" spans="1:19">
      <c r="A211" s="149"/>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1</v>
      </c>
      <c r="R211" s="662">
        <f t="shared" si="43"/>
        <v>0</v>
      </c>
      <c r="S211" s="315">
        <f t="shared" si="44"/>
        <v>0</v>
      </c>
    </row>
    <row r="212" spans="1:19">
      <c r="A212" s="149"/>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1</v>
      </c>
      <c r="R212" s="662">
        <f t="shared" si="43"/>
        <v>0</v>
      </c>
      <c r="S212" s="315">
        <f t="shared" si="44"/>
        <v>0</v>
      </c>
    </row>
    <row r="213" spans="1:19">
      <c r="A213" s="149"/>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1</v>
      </c>
      <c r="R213" s="662">
        <f t="shared" si="43"/>
        <v>0</v>
      </c>
      <c r="S213" s="315">
        <f t="shared" si="44"/>
        <v>0</v>
      </c>
    </row>
    <row r="214" spans="1:19">
      <c r="A214" s="149"/>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1</v>
      </c>
      <c r="R214" s="662">
        <f t="shared" si="43"/>
        <v>0</v>
      </c>
      <c r="S214" s="315">
        <f t="shared" si="44"/>
        <v>0</v>
      </c>
    </row>
    <row r="215" spans="1:19">
      <c r="A215" s="149"/>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1</v>
      </c>
      <c r="R215" s="662">
        <f t="shared" si="43"/>
        <v>0</v>
      </c>
      <c r="S215" s="315">
        <f t="shared" si="44"/>
        <v>0</v>
      </c>
    </row>
    <row r="216" spans="1:19">
      <c r="A216" s="149"/>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1</v>
      </c>
      <c r="R216" s="662">
        <f t="shared" si="43"/>
        <v>0</v>
      </c>
      <c r="S216" s="315">
        <f t="shared" si="44"/>
        <v>0</v>
      </c>
    </row>
    <row r="217" spans="1:19">
      <c r="A217" s="149"/>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1</v>
      </c>
      <c r="R217" s="662">
        <f t="shared" si="43"/>
        <v>0</v>
      </c>
      <c r="S217" s="315">
        <f t="shared" si="44"/>
        <v>0</v>
      </c>
    </row>
    <row r="218" spans="1:19">
      <c r="A218" s="149"/>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5">
        <f t="shared" si="44"/>
        <v>0</v>
      </c>
    </row>
    <row r="219" spans="1:19">
      <c r="A219" s="149"/>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1</v>
      </c>
      <c r="R219" s="662">
        <f t="shared" si="53"/>
        <v>0</v>
      </c>
      <c r="S219" s="315">
        <f t="shared" si="44"/>
        <v>0</v>
      </c>
    </row>
    <row r="220" spans="1:19">
      <c r="A220" s="149"/>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1</v>
      </c>
      <c r="R220" s="662">
        <f t="shared" si="53"/>
        <v>0</v>
      </c>
      <c r="S220" s="315">
        <f t="shared" si="44"/>
        <v>0</v>
      </c>
    </row>
    <row r="221" spans="1:19">
      <c r="A221" s="149"/>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1</v>
      </c>
      <c r="R221" s="662">
        <f t="shared" si="53"/>
        <v>0</v>
      </c>
      <c r="S221" s="315">
        <f t="shared" si="44"/>
        <v>0</v>
      </c>
    </row>
    <row r="222" spans="1:19">
      <c r="A222" s="149"/>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1</v>
      </c>
      <c r="R222" s="662">
        <f t="shared" si="53"/>
        <v>0</v>
      </c>
      <c r="S222" s="315">
        <f t="shared" si="44"/>
        <v>0</v>
      </c>
    </row>
    <row r="223" spans="1:19">
      <c r="A223" s="149"/>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1</v>
      </c>
      <c r="R223" s="662">
        <f t="shared" si="53"/>
        <v>0</v>
      </c>
      <c r="S223" s="315">
        <f t="shared" ref="S223:S286" si="54">ROUND(R223*B223/10000,0)</f>
        <v>0</v>
      </c>
    </row>
    <row r="224" spans="1:19">
      <c r="A224" s="149"/>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1</v>
      </c>
      <c r="R224" s="662">
        <f t="shared" si="53"/>
        <v>0</v>
      </c>
      <c r="S224" s="315">
        <f t="shared" si="54"/>
        <v>0</v>
      </c>
    </row>
    <row r="225" spans="1:19">
      <c r="A225" s="149"/>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1</v>
      </c>
      <c r="R225" s="662">
        <f t="shared" si="53"/>
        <v>0</v>
      </c>
      <c r="S225" s="315">
        <f t="shared" si="54"/>
        <v>0</v>
      </c>
    </row>
    <row r="226" spans="1:19">
      <c r="A226" s="149"/>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1</v>
      </c>
      <c r="R226" s="662">
        <f t="shared" si="53"/>
        <v>0</v>
      </c>
      <c r="S226" s="315">
        <f t="shared" si="54"/>
        <v>0</v>
      </c>
    </row>
    <row r="227" spans="1:19">
      <c r="A227" s="149"/>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1</v>
      </c>
      <c r="R227" s="662">
        <f t="shared" si="53"/>
        <v>0</v>
      </c>
      <c r="S227" s="315">
        <f t="shared" si="54"/>
        <v>0</v>
      </c>
    </row>
    <row r="228" spans="1:19">
      <c r="A228" s="149"/>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1</v>
      </c>
      <c r="R228" s="662">
        <f t="shared" si="53"/>
        <v>0</v>
      </c>
      <c r="S228" s="315">
        <f t="shared" si="54"/>
        <v>0</v>
      </c>
    </row>
    <row r="229" spans="1:19">
      <c r="A229" s="149"/>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1</v>
      </c>
      <c r="R229" s="662">
        <f t="shared" si="53"/>
        <v>0</v>
      </c>
      <c r="S229" s="315">
        <f t="shared" si="54"/>
        <v>0</v>
      </c>
    </row>
    <row r="230" spans="1:19">
      <c r="A230" s="149"/>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1</v>
      </c>
      <c r="R230" s="662">
        <f t="shared" si="53"/>
        <v>0</v>
      </c>
      <c r="S230" s="315">
        <f t="shared" si="54"/>
        <v>0</v>
      </c>
    </row>
    <row r="231" spans="1:19">
      <c r="A231" s="149"/>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1</v>
      </c>
      <c r="R231" s="662">
        <f t="shared" si="53"/>
        <v>0</v>
      </c>
      <c r="S231" s="315">
        <f t="shared" si="54"/>
        <v>0</v>
      </c>
    </row>
    <row r="232" spans="1:19">
      <c r="A232" s="149"/>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1</v>
      </c>
      <c r="R232" s="662">
        <f t="shared" si="53"/>
        <v>0</v>
      </c>
      <c r="S232" s="315">
        <f t="shared" si="54"/>
        <v>0</v>
      </c>
    </row>
    <row r="233" spans="1:19">
      <c r="A233" s="149"/>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1</v>
      </c>
      <c r="R233" s="662">
        <f t="shared" si="53"/>
        <v>0</v>
      </c>
      <c r="S233" s="315">
        <f t="shared" si="54"/>
        <v>0</v>
      </c>
    </row>
    <row r="234" spans="1:19">
      <c r="A234" s="149"/>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1</v>
      </c>
      <c r="R234" s="662">
        <f t="shared" si="53"/>
        <v>0</v>
      </c>
      <c r="S234" s="315">
        <f t="shared" si="54"/>
        <v>0</v>
      </c>
    </row>
    <row r="235" spans="1:19">
      <c r="A235" s="149"/>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1</v>
      </c>
      <c r="R235" s="662">
        <f t="shared" si="53"/>
        <v>0</v>
      </c>
      <c r="S235" s="315">
        <f t="shared" si="54"/>
        <v>0</v>
      </c>
    </row>
    <row r="236" spans="1:19">
      <c r="A236" s="149"/>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1</v>
      </c>
      <c r="R236" s="662">
        <f t="shared" si="53"/>
        <v>0</v>
      </c>
      <c r="S236" s="315">
        <f t="shared" si="54"/>
        <v>0</v>
      </c>
    </row>
    <row r="237" spans="1:19">
      <c r="A237" s="149"/>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1</v>
      </c>
      <c r="R237" s="662">
        <f t="shared" si="53"/>
        <v>0</v>
      </c>
      <c r="S237" s="315">
        <f t="shared" si="54"/>
        <v>0</v>
      </c>
    </row>
    <row r="238" spans="1:19">
      <c r="A238" s="149"/>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1</v>
      </c>
      <c r="R238" s="662">
        <f t="shared" si="53"/>
        <v>0</v>
      </c>
      <c r="S238" s="315">
        <f t="shared" si="54"/>
        <v>0</v>
      </c>
    </row>
    <row r="239" spans="1:19">
      <c r="A239" s="149"/>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1</v>
      </c>
      <c r="R239" s="662">
        <f t="shared" si="53"/>
        <v>0</v>
      </c>
      <c r="S239" s="315">
        <f t="shared" si="54"/>
        <v>0</v>
      </c>
    </row>
    <row r="240" spans="1:19">
      <c r="A240" s="149"/>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1</v>
      </c>
      <c r="R240" s="662">
        <f t="shared" si="53"/>
        <v>0</v>
      </c>
      <c r="S240" s="315">
        <f t="shared" si="54"/>
        <v>0</v>
      </c>
    </row>
    <row r="241" spans="1:19">
      <c r="A241" s="149"/>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1</v>
      </c>
      <c r="R241" s="662">
        <f t="shared" si="53"/>
        <v>0</v>
      </c>
      <c r="S241" s="315">
        <f t="shared" si="54"/>
        <v>0</v>
      </c>
    </row>
    <row r="242" spans="1:19">
      <c r="A242" s="149"/>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1</v>
      </c>
      <c r="R242" s="662">
        <f t="shared" si="53"/>
        <v>0</v>
      </c>
      <c r="S242" s="315">
        <f t="shared" si="54"/>
        <v>0</v>
      </c>
    </row>
    <row r="243" spans="1:19">
      <c r="A243" s="149"/>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1</v>
      </c>
      <c r="R243" s="662">
        <f t="shared" si="53"/>
        <v>0</v>
      </c>
      <c r="S243" s="315">
        <f t="shared" si="54"/>
        <v>0</v>
      </c>
    </row>
    <row r="244" spans="1:19">
      <c r="A244" s="149"/>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1</v>
      </c>
      <c r="R244" s="662">
        <f t="shared" si="53"/>
        <v>0</v>
      </c>
      <c r="S244" s="315">
        <f t="shared" si="54"/>
        <v>0</v>
      </c>
    </row>
    <row r="245" spans="1:19">
      <c r="A245" s="149"/>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1</v>
      </c>
      <c r="R245" s="662">
        <f t="shared" si="53"/>
        <v>0</v>
      </c>
      <c r="S245" s="315">
        <f t="shared" si="54"/>
        <v>0</v>
      </c>
    </row>
    <row r="246" spans="1:19">
      <c r="A246" s="149"/>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1</v>
      </c>
      <c r="R246" s="662">
        <f t="shared" si="53"/>
        <v>0</v>
      </c>
      <c r="S246" s="315">
        <f t="shared" si="54"/>
        <v>0</v>
      </c>
    </row>
    <row r="247" spans="1:19">
      <c r="A247" s="149"/>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1</v>
      </c>
      <c r="R247" s="662">
        <f t="shared" si="53"/>
        <v>0</v>
      </c>
      <c r="S247" s="315">
        <f t="shared" si="54"/>
        <v>0</v>
      </c>
    </row>
    <row r="248" spans="1:19">
      <c r="A248" s="149"/>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1</v>
      </c>
      <c r="R248" s="662">
        <f t="shared" si="53"/>
        <v>0</v>
      </c>
      <c r="S248" s="315">
        <f t="shared" si="54"/>
        <v>0</v>
      </c>
    </row>
    <row r="249" spans="1:19">
      <c r="A249" s="149"/>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1</v>
      </c>
      <c r="R249" s="662">
        <f t="shared" si="53"/>
        <v>0</v>
      </c>
      <c r="S249" s="315">
        <f t="shared" si="54"/>
        <v>0</v>
      </c>
    </row>
    <row r="250" spans="1:19">
      <c r="A250" s="149"/>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1</v>
      </c>
      <c r="R250" s="662">
        <f t="shared" si="53"/>
        <v>0</v>
      </c>
      <c r="S250" s="315">
        <f t="shared" si="54"/>
        <v>0</v>
      </c>
    </row>
    <row r="251" spans="1:19">
      <c r="A251" s="149"/>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1</v>
      </c>
      <c r="R251" s="662">
        <f t="shared" si="53"/>
        <v>0</v>
      </c>
      <c r="S251" s="315">
        <f t="shared" si="54"/>
        <v>0</v>
      </c>
    </row>
    <row r="252" spans="1:19">
      <c r="A252" s="149"/>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1</v>
      </c>
      <c r="R252" s="662">
        <f t="shared" si="53"/>
        <v>0</v>
      </c>
      <c r="S252" s="315">
        <f t="shared" si="54"/>
        <v>0</v>
      </c>
    </row>
    <row r="253" spans="1:19">
      <c r="A253" s="149"/>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1</v>
      </c>
      <c r="R253" s="662">
        <f t="shared" si="53"/>
        <v>0</v>
      </c>
      <c r="S253" s="315">
        <f t="shared" si="54"/>
        <v>0</v>
      </c>
    </row>
    <row r="254" spans="1:19">
      <c r="A254" s="149"/>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1</v>
      </c>
      <c r="R254" s="662">
        <f t="shared" si="53"/>
        <v>0</v>
      </c>
      <c r="S254" s="315">
        <f t="shared" si="54"/>
        <v>0</v>
      </c>
    </row>
    <row r="255" spans="1:19">
      <c r="A255" s="149"/>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1</v>
      </c>
      <c r="R255" s="662">
        <f t="shared" si="53"/>
        <v>0</v>
      </c>
      <c r="S255" s="315">
        <f t="shared" si="54"/>
        <v>0</v>
      </c>
    </row>
    <row r="256" spans="1:19">
      <c r="A256" s="149"/>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1</v>
      </c>
      <c r="R256" s="662">
        <f t="shared" si="53"/>
        <v>0</v>
      </c>
      <c r="S256" s="315">
        <f t="shared" si="54"/>
        <v>0</v>
      </c>
    </row>
    <row r="257" spans="1:19">
      <c r="A257" s="149"/>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1</v>
      </c>
      <c r="R257" s="662">
        <f t="shared" si="53"/>
        <v>0</v>
      </c>
      <c r="S257" s="315">
        <f t="shared" si="54"/>
        <v>0</v>
      </c>
    </row>
    <row r="258" spans="1:19">
      <c r="A258" s="149"/>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1</v>
      </c>
      <c r="R258" s="662">
        <f t="shared" si="53"/>
        <v>0</v>
      </c>
      <c r="S258" s="315">
        <f t="shared" si="54"/>
        <v>0</v>
      </c>
    </row>
    <row r="259" spans="1:19">
      <c r="A259" s="149"/>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1</v>
      </c>
      <c r="R259" s="662">
        <f t="shared" si="53"/>
        <v>0</v>
      </c>
      <c r="S259" s="315">
        <f t="shared" si="54"/>
        <v>0</v>
      </c>
    </row>
    <row r="260" spans="1:19">
      <c r="A260" s="149"/>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1</v>
      </c>
      <c r="R260" s="662">
        <f t="shared" si="53"/>
        <v>0</v>
      </c>
      <c r="S260" s="315">
        <f t="shared" si="54"/>
        <v>0</v>
      </c>
    </row>
    <row r="261" spans="1:19">
      <c r="A261" s="149"/>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1</v>
      </c>
      <c r="R261" s="662">
        <f t="shared" si="53"/>
        <v>0</v>
      </c>
      <c r="S261" s="315">
        <f t="shared" si="54"/>
        <v>0</v>
      </c>
    </row>
    <row r="262" spans="1:19">
      <c r="A262" s="149"/>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1</v>
      </c>
      <c r="R262" s="662">
        <f t="shared" si="53"/>
        <v>0</v>
      </c>
      <c r="S262" s="315">
        <f t="shared" si="54"/>
        <v>0</v>
      </c>
    </row>
    <row r="263" spans="1:19">
      <c r="A263" s="149"/>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1</v>
      </c>
      <c r="R263" s="662">
        <f t="shared" si="53"/>
        <v>0</v>
      </c>
      <c r="S263" s="315">
        <f t="shared" si="54"/>
        <v>0</v>
      </c>
    </row>
    <row r="264" spans="1:19">
      <c r="A264" s="149"/>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1</v>
      </c>
      <c r="R264" s="662">
        <f t="shared" si="53"/>
        <v>0</v>
      </c>
      <c r="S264" s="315">
        <f t="shared" si="54"/>
        <v>0</v>
      </c>
    </row>
    <row r="265" spans="1:19">
      <c r="A265" s="149"/>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1</v>
      </c>
      <c r="R265" s="662">
        <f t="shared" si="53"/>
        <v>0</v>
      </c>
      <c r="S265" s="315">
        <f t="shared" si="54"/>
        <v>0</v>
      </c>
    </row>
    <row r="266" spans="1:19">
      <c r="A266" s="149"/>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1</v>
      </c>
      <c r="R266" s="662">
        <f t="shared" si="53"/>
        <v>0</v>
      </c>
      <c r="S266" s="315">
        <f t="shared" si="54"/>
        <v>0</v>
      </c>
    </row>
    <row r="267" spans="1:19">
      <c r="A267" s="149"/>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1</v>
      </c>
      <c r="R267" s="662">
        <f t="shared" si="53"/>
        <v>0</v>
      </c>
      <c r="S267" s="315">
        <f t="shared" si="54"/>
        <v>0</v>
      </c>
    </row>
    <row r="268" spans="1:19">
      <c r="A268" s="149"/>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1</v>
      </c>
      <c r="R268" s="662">
        <f t="shared" si="53"/>
        <v>0</v>
      </c>
      <c r="S268" s="315">
        <f t="shared" si="54"/>
        <v>0</v>
      </c>
    </row>
    <row r="269" spans="1:19">
      <c r="A269" s="149"/>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1</v>
      </c>
      <c r="R269" s="662">
        <f t="shared" si="53"/>
        <v>0</v>
      </c>
      <c r="S269" s="315">
        <f t="shared" si="54"/>
        <v>0</v>
      </c>
    </row>
    <row r="270" spans="1:19">
      <c r="A270" s="149"/>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1</v>
      </c>
      <c r="R270" s="662">
        <f t="shared" si="53"/>
        <v>0</v>
      </c>
      <c r="S270" s="315">
        <f t="shared" si="54"/>
        <v>0</v>
      </c>
    </row>
    <row r="271" spans="1:19">
      <c r="A271" s="149"/>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1</v>
      </c>
      <c r="R271" s="662">
        <f t="shared" si="53"/>
        <v>0</v>
      </c>
      <c r="S271" s="315">
        <f t="shared" si="54"/>
        <v>0</v>
      </c>
    </row>
    <row r="272" spans="1:19">
      <c r="A272" s="149"/>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1</v>
      </c>
      <c r="R272" s="662">
        <f t="shared" si="53"/>
        <v>0</v>
      </c>
      <c r="S272" s="315">
        <f t="shared" si="54"/>
        <v>0</v>
      </c>
    </row>
    <row r="273" spans="1:19">
      <c r="A273" s="149"/>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1</v>
      </c>
      <c r="R273" s="662">
        <f t="shared" si="53"/>
        <v>0</v>
      </c>
      <c r="S273" s="315">
        <f t="shared" si="54"/>
        <v>0</v>
      </c>
    </row>
    <row r="274" spans="1:19">
      <c r="A274" s="149"/>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1</v>
      </c>
      <c r="R274" s="662">
        <f t="shared" si="53"/>
        <v>0</v>
      </c>
      <c r="S274" s="315">
        <f t="shared" si="54"/>
        <v>0</v>
      </c>
    </row>
    <row r="275" spans="1:19">
      <c r="A275" s="149"/>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1</v>
      </c>
      <c r="R275" s="662">
        <f t="shared" si="53"/>
        <v>0</v>
      </c>
      <c r="S275" s="315">
        <f t="shared" si="54"/>
        <v>0</v>
      </c>
    </row>
    <row r="276" spans="1:19">
      <c r="A276" s="149"/>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1</v>
      </c>
      <c r="R276" s="662">
        <f t="shared" si="53"/>
        <v>0</v>
      </c>
      <c r="S276" s="315">
        <f t="shared" si="54"/>
        <v>0</v>
      </c>
    </row>
    <row r="277" spans="1:19">
      <c r="A277" s="149"/>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1</v>
      </c>
      <c r="R277" s="662">
        <f t="shared" si="53"/>
        <v>0</v>
      </c>
      <c r="S277" s="315">
        <f t="shared" si="54"/>
        <v>0</v>
      </c>
    </row>
    <row r="278" spans="1:19">
      <c r="A278" s="149"/>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1</v>
      </c>
      <c r="R278" s="662">
        <f t="shared" si="53"/>
        <v>0</v>
      </c>
      <c r="S278" s="315">
        <f t="shared" si="54"/>
        <v>0</v>
      </c>
    </row>
    <row r="279" spans="1:19">
      <c r="A279" s="149"/>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1</v>
      </c>
      <c r="R279" s="662">
        <f t="shared" si="53"/>
        <v>0</v>
      </c>
      <c r="S279" s="315">
        <f t="shared" si="54"/>
        <v>0</v>
      </c>
    </row>
    <row r="280" spans="1:19">
      <c r="A280" s="149"/>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1</v>
      </c>
      <c r="R280" s="662">
        <f t="shared" si="53"/>
        <v>0</v>
      </c>
      <c r="S280" s="315">
        <f t="shared" si="54"/>
        <v>0</v>
      </c>
    </row>
    <row r="281" spans="1:19">
      <c r="A281" s="149"/>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1</v>
      </c>
      <c r="R281" s="662">
        <f t="shared" si="53"/>
        <v>0</v>
      </c>
      <c r="S281" s="315">
        <f t="shared" si="54"/>
        <v>0</v>
      </c>
    </row>
    <row r="282" spans="1:19">
      <c r="A282" s="149"/>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5">
        <f t="shared" si="54"/>
        <v>0</v>
      </c>
    </row>
    <row r="283" spans="1:19">
      <c r="A283" s="149"/>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1</v>
      </c>
      <c r="R283" s="662">
        <f t="shared" si="63"/>
        <v>0</v>
      </c>
      <c r="S283" s="315">
        <f t="shared" si="54"/>
        <v>0</v>
      </c>
    </row>
    <row r="284" spans="1:19">
      <c r="A284" s="149"/>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1</v>
      </c>
      <c r="R284" s="662">
        <f t="shared" si="63"/>
        <v>0</v>
      </c>
      <c r="S284" s="315">
        <f t="shared" si="54"/>
        <v>0</v>
      </c>
    </row>
    <row r="285" spans="1:19">
      <c r="A285" s="149"/>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1</v>
      </c>
      <c r="R285" s="662">
        <f t="shared" si="63"/>
        <v>0</v>
      </c>
      <c r="S285" s="315">
        <f t="shared" si="54"/>
        <v>0</v>
      </c>
    </row>
    <row r="286" spans="1:19">
      <c r="A286" s="149"/>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1</v>
      </c>
      <c r="R286" s="662">
        <f t="shared" si="63"/>
        <v>0</v>
      </c>
      <c r="S286" s="315">
        <f t="shared" si="54"/>
        <v>0</v>
      </c>
    </row>
    <row r="287" spans="1:19">
      <c r="A287" s="149"/>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1</v>
      </c>
      <c r="R287" s="662">
        <f t="shared" si="63"/>
        <v>0</v>
      </c>
      <c r="S287" s="315">
        <f t="shared" ref="S287:S320" si="64">ROUND(R287*B287/10000,0)</f>
        <v>0</v>
      </c>
    </row>
    <row r="288" spans="1:19">
      <c r="A288" s="149"/>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1</v>
      </c>
      <c r="R288" s="662">
        <f t="shared" si="63"/>
        <v>0</v>
      </c>
      <c r="S288" s="315">
        <f t="shared" si="64"/>
        <v>0</v>
      </c>
    </row>
    <row r="289" spans="1:19">
      <c r="A289" s="149"/>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1</v>
      </c>
      <c r="R289" s="662">
        <f t="shared" si="63"/>
        <v>0</v>
      </c>
      <c r="S289" s="315">
        <f t="shared" si="64"/>
        <v>0</v>
      </c>
    </row>
    <row r="290" spans="1:19">
      <c r="A290" s="149"/>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1</v>
      </c>
      <c r="R290" s="662">
        <f t="shared" si="63"/>
        <v>0</v>
      </c>
      <c r="S290" s="315">
        <f t="shared" si="64"/>
        <v>0</v>
      </c>
    </row>
    <row r="291" spans="1:19">
      <c r="A291" s="149"/>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1</v>
      </c>
      <c r="R291" s="662">
        <f t="shared" si="63"/>
        <v>0</v>
      </c>
      <c r="S291" s="315">
        <f t="shared" si="64"/>
        <v>0</v>
      </c>
    </row>
    <row r="292" spans="1:19">
      <c r="A292" s="149"/>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1</v>
      </c>
      <c r="R292" s="662">
        <f t="shared" si="63"/>
        <v>0</v>
      </c>
      <c r="S292" s="315">
        <f t="shared" si="64"/>
        <v>0</v>
      </c>
    </row>
    <row r="293" spans="1:19">
      <c r="A293" s="149"/>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1</v>
      </c>
      <c r="R293" s="662">
        <f t="shared" si="63"/>
        <v>0</v>
      </c>
      <c r="S293" s="315">
        <f t="shared" si="64"/>
        <v>0</v>
      </c>
    </row>
    <row r="294" spans="1:19">
      <c r="A294" s="149"/>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1</v>
      </c>
      <c r="R294" s="662">
        <f t="shared" si="63"/>
        <v>0</v>
      </c>
      <c r="S294" s="315">
        <f t="shared" si="64"/>
        <v>0</v>
      </c>
    </row>
    <row r="295" spans="1:19">
      <c r="A295" s="149"/>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1</v>
      </c>
      <c r="R295" s="662">
        <f t="shared" si="63"/>
        <v>0</v>
      </c>
      <c r="S295" s="315">
        <f t="shared" si="64"/>
        <v>0</v>
      </c>
    </row>
    <row r="296" spans="1:19">
      <c r="A296" s="149"/>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1</v>
      </c>
      <c r="R296" s="662">
        <f t="shared" si="63"/>
        <v>0</v>
      </c>
      <c r="S296" s="315">
        <f t="shared" si="64"/>
        <v>0</v>
      </c>
    </row>
    <row r="297" spans="1:19">
      <c r="A297" s="149"/>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1</v>
      </c>
      <c r="R297" s="662">
        <f t="shared" si="63"/>
        <v>0</v>
      </c>
      <c r="S297" s="315">
        <f t="shared" si="64"/>
        <v>0</v>
      </c>
    </row>
    <row r="298" spans="1:19">
      <c r="A298" s="149"/>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1</v>
      </c>
      <c r="R298" s="662">
        <f t="shared" si="63"/>
        <v>0</v>
      </c>
      <c r="S298" s="315">
        <f t="shared" si="64"/>
        <v>0</v>
      </c>
    </row>
    <row r="299" spans="1:19">
      <c r="A299" s="149"/>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1</v>
      </c>
      <c r="R299" s="662">
        <f t="shared" si="63"/>
        <v>0</v>
      </c>
      <c r="S299" s="315">
        <f t="shared" si="64"/>
        <v>0</v>
      </c>
    </row>
    <row r="300" spans="1:19">
      <c r="A300" s="149"/>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1</v>
      </c>
      <c r="R300" s="662">
        <f t="shared" si="63"/>
        <v>0</v>
      </c>
      <c r="S300" s="315">
        <f t="shared" si="64"/>
        <v>0</v>
      </c>
    </row>
    <row r="301" spans="1:19">
      <c r="A301" s="149"/>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1</v>
      </c>
      <c r="R301" s="662">
        <f t="shared" si="63"/>
        <v>0</v>
      </c>
      <c r="S301" s="315">
        <f t="shared" si="64"/>
        <v>0</v>
      </c>
    </row>
    <row r="302" spans="1:19">
      <c r="A302" s="149"/>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1</v>
      </c>
      <c r="R302" s="662">
        <f t="shared" si="63"/>
        <v>0</v>
      </c>
      <c r="S302" s="315">
        <f t="shared" si="64"/>
        <v>0</v>
      </c>
    </row>
    <row r="303" spans="1:19">
      <c r="A303" s="149"/>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1</v>
      </c>
      <c r="R303" s="662">
        <f t="shared" si="63"/>
        <v>0</v>
      </c>
      <c r="S303" s="315">
        <f t="shared" si="64"/>
        <v>0</v>
      </c>
    </row>
    <row r="304" spans="1:19">
      <c r="A304" s="149"/>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1</v>
      </c>
      <c r="R304" s="662">
        <f t="shared" si="63"/>
        <v>0</v>
      </c>
      <c r="S304" s="315">
        <f t="shared" si="64"/>
        <v>0</v>
      </c>
    </row>
    <row r="305" spans="1:19">
      <c r="A305" s="149"/>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1</v>
      </c>
      <c r="R305" s="662">
        <f t="shared" si="63"/>
        <v>0</v>
      </c>
      <c r="S305" s="315">
        <f t="shared" si="64"/>
        <v>0</v>
      </c>
    </row>
    <row r="306" spans="1:19">
      <c r="A306" s="149"/>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1</v>
      </c>
      <c r="R306" s="662">
        <f t="shared" si="63"/>
        <v>0</v>
      </c>
      <c r="S306" s="315">
        <f t="shared" si="64"/>
        <v>0</v>
      </c>
    </row>
    <row r="307" spans="1:19">
      <c r="A307" s="149"/>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1</v>
      </c>
      <c r="R307" s="662">
        <f t="shared" si="63"/>
        <v>0</v>
      </c>
      <c r="S307" s="315">
        <f t="shared" si="64"/>
        <v>0</v>
      </c>
    </row>
    <row r="308" spans="1:19">
      <c r="A308" s="149"/>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1</v>
      </c>
      <c r="R308" s="662">
        <f t="shared" si="63"/>
        <v>0</v>
      </c>
      <c r="S308" s="315">
        <f t="shared" si="64"/>
        <v>0</v>
      </c>
    </row>
    <row r="309" spans="1:19">
      <c r="A309" s="149"/>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1</v>
      </c>
      <c r="R309" s="662">
        <f t="shared" si="63"/>
        <v>0</v>
      </c>
      <c r="S309" s="315">
        <f t="shared" si="64"/>
        <v>0</v>
      </c>
    </row>
    <row r="310" spans="1:19">
      <c r="A310" s="149"/>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1</v>
      </c>
      <c r="R310" s="662">
        <f t="shared" si="63"/>
        <v>0</v>
      </c>
      <c r="S310" s="315">
        <f t="shared" si="64"/>
        <v>0</v>
      </c>
    </row>
    <row r="311" spans="1:19">
      <c r="A311" s="149"/>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1</v>
      </c>
      <c r="R311" s="662">
        <f t="shared" si="63"/>
        <v>0</v>
      </c>
      <c r="S311" s="315">
        <f t="shared" si="64"/>
        <v>0</v>
      </c>
    </row>
    <row r="312" spans="1:19">
      <c r="A312" s="149"/>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1</v>
      </c>
      <c r="R312" s="662">
        <f t="shared" si="63"/>
        <v>0</v>
      </c>
      <c r="S312" s="315">
        <f t="shared" si="64"/>
        <v>0</v>
      </c>
    </row>
    <row r="313" spans="1:19">
      <c r="A313" s="149"/>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1</v>
      </c>
      <c r="R313" s="662">
        <f t="shared" si="63"/>
        <v>0</v>
      </c>
      <c r="S313" s="315">
        <f t="shared" si="64"/>
        <v>0</v>
      </c>
    </row>
    <row r="314" spans="1:19">
      <c r="A314" s="149"/>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1</v>
      </c>
      <c r="R314" s="662">
        <f t="shared" si="63"/>
        <v>0</v>
      </c>
      <c r="S314" s="315">
        <f t="shared" si="64"/>
        <v>0</v>
      </c>
    </row>
    <row r="315" spans="1:19">
      <c r="A315" s="149"/>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1</v>
      </c>
      <c r="R315" s="662">
        <f t="shared" si="63"/>
        <v>0</v>
      </c>
      <c r="S315" s="315">
        <f t="shared" si="64"/>
        <v>0</v>
      </c>
    </row>
    <row r="316" spans="1:19">
      <c r="A316" s="149"/>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1</v>
      </c>
      <c r="R316" s="662">
        <f t="shared" si="63"/>
        <v>0</v>
      </c>
      <c r="S316" s="315">
        <f t="shared" si="64"/>
        <v>0</v>
      </c>
    </row>
    <row r="317" spans="1:19">
      <c r="A317" s="149"/>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1</v>
      </c>
      <c r="R317" s="662">
        <f t="shared" si="63"/>
        <v>0</v>
      </c>
      <c r="S317" s="315">
        <f t="shared" si="64"/>
        <v>0</v>
      </c>
    </row>
    <row r="318" spans="1:19">
      <c r="A318" s="149"/>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1</v>
      </c>
      <c r="R318" s="662">
        <f t="shared" si="63"/>
        <v>0</v>
      </c>
      <c r="S318" s="315">
        <f t="shared" si="64"/>
        <v>0</v>
      </c>
    </row>
    <row r="319" spans="1:19">
      <c r="A319" s="149"/>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1</v>
      </c>
      <c r="R319" s="662">
        <f t="shared" si="63"/>
        <v>0</v>
      </c>
      <c r="S319" s="315">
        <f t="shared" si="64"/>
        <v>0</v>
      </c>
    </row>
    <row r="320" spans="1:19">
      <c r="A320" s="149"/>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1</v>
      </c>
      <c r="R320" s="662">
        <f t="shared" si="63"/>
        <v>0</v>
      </c>
      <c r="S320" s="315">
        <f t="shared" si="64"/>
        <v>0</v>
      </c>
    </row>
    <row r="321" spans="1:19">
      <c r="A321" s="149"/>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1</v>
      </c>
      <c r="R321" s="662">
        <f t="shared" si="63"/>
        <v>0</v>
      </c>
      <c r="S321" s="315">
        <f t="shared" ref="S321:S384" si="65">ROUND(R321*B321/10000,0)</f>
        <v>0</v>
      </c>
    </row>
    <row r="322" spans="1:19">
      <c r="A322" s="149"/>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1</v>
      </c>
      <c r="R322" s="662">
        <f t="shared" si="63"/>
        <v>0</v>
      </c>
      <c r="S322" s="315">
        <f t="shared" si="65"/>
        <v>0</v>
      </c>
    </row>
    <row r="323" spans="1:19">
      <c r="A323" s="149"/>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1</v>
      </c>
      <c r="R323" s="662">
        <f t="shared" si="63"/>
        <v>0</v>
      </c>
      <c r="S323" s="315">
        <f t="shared" si="65"/>
        <v>0</v>
      </c>
    </row>
    <row r="324" spans="1:19">
      <c r="A324" s="149"/>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1</v>
      </c>
      <c r="R324" s="662">
        <f t="shared" si="63"/>
        <v>0</v>
      </c>
      <c r="S324" s="315">
        <f t="shared" si="65"/>
        <v>0</v>
      </c>
    </row>
    <row r="325" spans="1:19">
      <c r="A325" s="149"/>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1</v>
      </c>
      <c r="R325" s="662">
        <f t="shared" si="63"/>
        <v>0</v>
      </c>
      <c r="S325" s="315">
        <f t="shared" si="65"/>
        <v>0</v>
      </c>
    </row>
    <row r="326" spans="1:19">
      <c r="A326" s="149"/>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1</v>
      </c>
      <c r="R326" s="662">
        <f t="shared" si="63"/>
        <v>0</v>
      </c>
      <c r="S326" s="315">
        <f t="shared" si="65"/>
        <v>0</v>
      </c>
    </row>
    <row r="327" spans="1:19">
      <c r="A327" s="149"/>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1</v>
      </c>
      <c r="R327" s="662">
        <f t="shared" si="63"/>
        <v>0</v>
      </c>
      <c r="S327" s="315">
        <f t="shared" si="65"/>
        <v>0</v>
      </c>
    </row>
    <row r="328" spans="1:19">
      <c r="A328" s="149"/>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1</v>
      </c>
      <c r="R328" s="662">
        <f t="shared" si="63"/>
        <v>0</v>
      </c>
      <c r="S328" s="315">
        <f t="shared" si="65"/>
        <v>0</v>
      </c>
    </row>
    <row r="329" spans="1:19">
      <c r="A329" s="149"/>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1</v>
      </c>
      <c r="R329" s="662">
        <f t="shared" si="63"/>
        <v>0</v>
      </c>
      <c r="S329" s="315">
        <f t="shared" si="65"/>
        <v>0</v>
      </c>
    </row>
    <row r="330" spans="1:19">
      <c r="A330" s="149"/>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1</v>
      </c>
      <c r="R330" s="662">
        <f t="shared" si="63"/>
        <v>0</v>
      </c>
      <c r="S330" s="315">
        <f t="shared" si="65"/>
        <v>0</v>
      </c>
    </row>
    <row r="331" spans="1:19">
      <c r="A331" s="149"/>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1</v>
      </c>
      <c r="R331" s="662">
        <f t="shared" si="63"/>
        <v>0</v>
      </c>
      <c r="S331" s="315">
        <f t="shared" si="65"/>
        <v>0</v>
      </c>
    </row>
    <row r="332" spans="1:19">
      <c r="A332" s="149"/>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1</v>
      </c>
      <c r="R332" s="662">
        <f t="shared" si="63"/>
        <v>0</v>
      </c>
      <c r="S332" s="315">
        <f t="shared" si="65"/>
        <v>0</v>
      </c>
    </row>
    <row r="333" spans="1:19">
      <c r="A333" s="149"/>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1</v>
      </c>
      <c r="R333" s="662">
        <f t="shared" si="63"/>
        <v>0</v>
      </c>
      <c r="S333" s="315">
        <f t="shared" si="65"/>
        <v>0</v>
      </c>
    </row>
    <row r="334" spans="1:19">
      <c r="A334" s="149"/>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1</v>
      </c>
      <c r="R334" s="662">
        <f t="shared" si="63"/>
        <v>0</v>
      </c>
      <c r="S334" s="315">
        <f t="shared" si="65"/>
        <v>0</v>
      </c>
    </row>
    <row r="335" spans="1:19">
      <c r="A335" s="149"/>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1</v>
      </c>
      <c r="R335" s="662">
        <f t="shared" si="63"/>
        <v>0</v>
      </c>
      <c r="S335" s="315">
        <f t="shared" si="65"/>
        <v>0</v>
      </c>
    </row>
    <row r="336" spans="1:19">
      <c r="A336" s="149"/>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1</v>
      </c>
      <c r="R336" s="662">
        <f t="shared" si="63"/>
        <v>0</v>
      </c>
      <c r="S336" s="315">
        <f t="shared" si="65"/>
        <v>0</v>
      </c>
    </row>
    <row r="337" spans="1:19">
      <c r="A337" s="149"/>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1</v>
      </c>
      <c r="R337" s="662">
        <f t="shared" si="63"/>
        <v>0</v>
      </c>
      <c r="S337" s="315">
        <f t="shared" si="65"/>
        <v>0</v>
      </c>
    </row>
    <row r="338" spans="1:19">
      <c r="A338" s="149"/>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1</v>
      </c>
      <c r="R338" s="662">
        <f t="shared" si="63"/>
        <v>0</v>
      </c>
      <c r="S338" s="315">
        <f t="shared" si="65"/>
        <v>0</v>
      </c>
    </row>
    <row r="339" spans="1:19">
      <c r="A339" s="149"/>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1</v>
      </c>
      <c r="R339" s="662">
        <f t="shared" si="63"/>
        <v>0</v>
      </c>
      <c r="S339" s="315">
        <f t="shared" si="65"/>
        <v>0</v>
      </c>
    </row>
    <row r="340" spans="1:19">
      <c r="A340" s="149"/>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1</v>
      </c>
      <c r="R340" s="662">
        <f t="shared" si="63"/>
        <v>0</v>
      </c>
      <c r="S340" s="315">
        <f t="shared" si="65"/>
        <v>0</v>
      </c>
    </row>
    <row r="341" spans="1:19">
      <c r="A341" s="149"/>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1</v>
      </c>
      <c r="R341" s="662">
        <f t="shared" si="63"/>
        <v>0</v>
      </c>
      <c r="S341" s="315">
        <f t="shared" si="65"/>
        <v>0</v>
      </c>
    </row>
    <row r="342" spans="1:19">
      <c r="A342" s="149"/>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1</v>
      </c>
      <c r="R342" s="662">
        <f t="shared" si="63"/>
        <v>0</v>
      </c>
      <c r="S342" s="315">
        <f t="shared" si="65"/>
        <v>0</v>
      </c>
    </row>
    <row r="343" spans="1:19">
      <c r="A343" s="149"/>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1</v>
      </c>
      <c r="R343" s="662">
        <f t="shared" si="63"/>
        <v>0</v>
      </c>
      <c r="S343" s="315">
        <f t="shared" si="65"/>
        <v>0</v>
      </c>
    </row>
    <row r="344" spans="1:19">
      <c r="A344" s="149"/>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1</v>
      </c>
      <c r="R344" s="662">
        <f t="shared" si="63"/>
        <v>0</v>
      </c>
      <c r="S344" s="315">
        <f t="shared" si="65"/>
        <v>0</v>
      </c>
    </row>
    <row r="345" spans="1:19">
      <c r="A345" s="149"/>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1</v>
      </c>
      <c r="R345" s="662">
        <f t="shared" si="63"/>
        <v>0</v>
      </c>
      <c r="S345" s="315">
        <f t="shared" si="65"/>
        <v>0</v>
      </c>
    </row>
    <row r="346" spans="1:19">
      <c r="A346" s="149"/>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5">
        <f t="shared" si="65"/>
        <v>0</v>
      </c>
    </row>
    <row r="347" spans="1:19">
      <c r="A347" s="149"/>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1</v>
      </c>
      <c r="R347" s="662">
        <f t="shared" si="74"/>
        <v>0</v>
      </c>
      <c r="S347" s="315">
        <f t="shared" si="65"/>
        <v>0</v>
      </c>
    </row>
    <row r="348" spans="1:19">
      <c r="A348" s="149"/>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1</v>
      </c>
      <c r="R348" s="662">
        <f t="shared" si="74"/>
        <v>0</v>
      </c>
      <c r="S348" s="315">
        <f t="shared" si="65"/>
        <v>0</v>
      </c>
    </row>
    <row r="349" spans="1:19">
      <c r="A349" s="149"/>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1</v>
      </c>
      <c r="R349" s="662">
        <f t="shared" si="74"/>
        <v>0</v>
      </c>
      <c r="S349" s="315">
        <f t="shared" si="65"/>
        <v>0</v>
      </c>
    </row>
    <row r="350" spans="1:19">
      <c r="A350" s="149"/>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1</v>
      </c>
      <c r="R350" s="662">
        <f t="shared" si="74"/>
        <v>0</v>
      </c>
      <c r="S350" s="315">
        <f t="shared" si="65"/>
        <v>0</v>
      </c>
    </row>
    <row r="351" spans="1:19">
      <c r="A351" s="149"/>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1</v>
      </c>
      <c r="R351" s="662">
        <f t="shared" si="74"/>
        <v>0</v>
      </c>
      <c r="S351" s="315">
        <f t="shared" si="65"/>
        <v>0</v>
      </c>
    </row>
    <row r="352" spans="1:19">
      <c r="A352" s="149"/>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1</v>
      </c>
      <c r="R352" s="662">
        <f t="shared" si="74"/>
        <v>0</v>
      </c>
      <c r="S352" s="315">
        <f t="shared" si="65"/>
        <v>0</v>
      </c>
    </row>
    <row r="353" spans="1:19">
      <c r="A353" s="149"/>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1</v>
      </c>
      <c r="R353" s="662">
        <f t="shared" si="74"/>
        <v>0</v>
      </c>
      <c r="S353" s="315">
        <f t="shared" si="65"/>
        <v>0</v>
      </c>
    </row>
    <row r="354" spans="1:19">
      <c r="A354" s="149"/>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1</v>
      </c>
      <c r="R354" s="662">
        <f t="shared" si="74"/>
        <v>0</v>
      </c>
      <c r="S354" s="315">
        <f t="shared" si="65"/>
        <v>0</v>
      </c>
    </row>
    <row r="355" spans="1:19">
      <c r="A355" s="149"/>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1</v>
      </c>
      <c r="R355" s="662">
        <f t="shared" si="74"/>
        <v>0</v>
      </c>
      <c r="S355" s="315">
        <f t="shared" si="65"/>
        <v>0</v>
      </c>
    </row>
    <row r="356" spans="1:19">
      <c r="A356" s="149"/>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1</v>
      </c>
      <c r="R356" s="662">
        <f t="shared" si="74"/>
        <v>0</v>
      </c>
      <c r="S356" s="315">
        <f t="shared" si="65"/>
        <v>0</v>
      </c>
    </row>
    <row r="357" spans="1:19">
      <c r="A357" s="149"/>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1</v>
      </c>
      <c r="R357" s="662">
        <f t="shared" si="74"/>
        <v>0</v>
      </c>
      <c r="S357" s="315">
        <f t="shared" si="65"/>
        <v>0</v>
      </c>
    </row>
    <row r="358" spans="1:19">
      <c r="A358" s="149"/>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1</v>
      </c>
      <c r="R358" s="662">
        <f t="shared" si="74"/>
        <v>0</v>
      </c>
      <c r="S358" s="315">
        <f t="shared" si="65"/>
        <v>0</v>
      </c>
    </row>
    <row r="359" spans="1:19">
      <c r="A359" s="149"/>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1</v>
      </c>
      <c r="R359" s="662">
        <f t="shared" si="74"/>
        <v>0</v>
      </c>
      <c r="S359" s="315">
        <f t="shared" si="65"/>
        <v>0</v>
      </c>
    </row>
    <row r="360" spans="1:19">
      <c r="A360" s="149"/>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1</v>
      </c>
      <c r="R360" s="662">
        <f t="shared" si="74"/>
        <v>0</v>
      </c>
      <c r="S360" s="315">
        <f t="shared" si="65"/>
        <v>0</v>
      </c>
    </row>
    <row r="361" spans="1:19">
      <c r="A361" s="149"/>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1</v>
      </c>
      <c r="R361" s="662">
        <f t="shared" si="74"/>
        <v>0</v>
      </c>
      <c r="S361" s="315">
        <f t="shared" si="65"/>
        <v>0</v>
      </c>
    </row>
    <row r="362" spans="1:19">
      <c r="A362" s="149"/>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1</v>
      </c>
      <c r="R362" s="662">
        <f t="shared" si="74"/>
        <v>0</v>
      </c>
      <c r="S362" s="315">
        <f t="shared" si="65"/>
        <v>0</v>
      </c>
    </row>
    <row r="363" spans="1:19">
      <c r="A363" s="149"/>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1</v>
      </c>
      <c r="R363" s="662">
        <f t="shared" si="74"/>
        <v>0</v>
      </c>
      <c r="S363" s="315">
        <f t="shared" si="65"/>
        <v>0</v>
      </c>
    </row>
    <row r="364" spans="1:19">
      <c r="A364" s="149"/>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1</v>
      </c>
      <c r="R364" s="662">
        <f t="shared" si="74"/>
        <v>0</v>
      </c>
      <c r="S364" s="315">
        <f t="shared" si="65"/>
        <v>0</v>
      </c>
    </row>
    <row r="365" spans="1:19">
      <c r="A365" s="149"/>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1</v>
      </c>
      <c r="R365" s="662">
        <f t="shared" si="74"/>
        <v>0</v>
      </c>
      <c r="S365" s="315">
        <f t="shared" si="65"/>
        <v>0</v>
      </c>
    </row>
    <row r="366" spans="1:19">
      <c r="A366" s="149"/>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1</v>
      </c>
      <c r="R366" s="662">
        <f t="shared" si="74"/>
        <v>0</v>
      </c>
      <c r="S366" s="315">
        <f t="shared" si="65"/>
        <v>0</v>
      </c>
    </row>
    <row r="367" spans="1:19">
      <c r="A367" s="149"/>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1</v>
      </c>
      <c r="R367" s="662">
        <f t="shared" si="74"/>
        <v>0</v>
      </c>
      <c r="S367" s="315">
        <f t="shared" si="65"/>
        <v>0</v>
      </c>
    </row>
    <row r="368" spans="1:19">
      <c r="A368" s="149"/>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1</v>
      </c>
      <c r="R368" s="662">
        <f t="shared" si="74"/>
        <v>0</v>
      </c>
      <c r="S368" s="315">
        <f t="shared" si="65"/>
        <v>0</v>
      </c>
    </row>
    <row r="369" spans="1:19">
      <c r="A369" s="149"/>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1</v>
      </c>
      <c r="R369" s="662">
        <f t="shared" si="74"/>
        <v>0</v>
      </c>
      <c r="S369" s="315">
        <f t="shared" si="65"/>
        <v>0</v>
      </c>
    </row>
    <row r="370" spans="1:19">
      <c r="A370" s="149"/>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1</v>
      </c>
      <c r="R370" s="662">
        <f t="shared" si="74"/>
        <v>0</v>
      </c>
      <c r="S370" s="315">
        <f t="shared" si="65"/>
        <v>0</v>
      </c>
    </row>
    <row r="371" spans="1:19">
      <c r="A371" s="149"/>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1</v>
      </c>
      <c r="R371" s="662">
        <f t="shared" si="74"/>
        <v>0</v>
      </c>
      <c r="S371" s="315">
        <f t="shared" si="65"/>
        <v>0</v>
      </c>
    </row>
    <row r="372" spans="1:19">
      <c r="A372" s="149"/>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1</v>
      </c>
      <c r="R372" s="662">
        <f t="shared" si="74"/>
        <v>0</v>
      </c>
      <c r="S372" s="315">
        <f t="shared" si="65"/>
        <v>0</v>
      </c>
    </row>
    <row r="373" spans="1:19">
      <c r="A373" s="149"/>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1</v>
      </c>
      <c r="R373" s="662">
        <f t="shared" si="74"/>
        <v>0</v>
      </c>
      <c r="S373" s="315">
        <f t="shared" si="65"/>
        <v>0</v>
      </c>
    </row>
    <row r="374" spans="1:19">
      <c r="A374" s="149"/>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1</v>
      </c>
      <c r="R374" s="662">
        <f t="shared" si="74"/>
        <v>0</v>
      </c>
      <c r="S374" s="315">
        <f t="shared" si="65"/>
        <v>0</v>
      </c>
    </row>
    <row r="375" spans="1:19">
      <c r="A375" s="149"/>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1</v>
      </c>
      <c r="R375" s="662">
        <f t="shared" si="74"/>
        <v>0</v>
      </c>
      <c r="S375" s="315">
        <f t="shared" si="65"/>
        <v>0</v>
      </c>
    </row>
    <row r="376" spans="1:19">
      <c r="A376" s="149"/>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1</v>
      </c>
      <c r="R376" s="662">
        <f t="shared" si="74"/>
        <v>0</v>
      </c>
      <c r="S376" s="315">
        <f t="shared" si="65"/>
        <v>0</v>
      </c>
    </row>
    <row r="377" spans="1:19">
      <c r="A377" s="149"/>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1</v>
      </c>
      <c r="R377" s="662">
        <f t="shared" si="74"/>
        <v>0</v>
      </c>
      <c r="S377" s="315">
        <f t="shared" si="65"/>
        <v>0</v>
      </c>
    </row>
    <row r="378" spans="1:19">
      <c r="A378" s="149"/>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1</v>
      </c>
      <c r="R378" s="662">
        <f t="shared" si="74"/>
        <v>0</v>
      </c>
      <c r="S378" s="315">
        <f t="shared" si="65"/>
        <v>0</v>
      </c>
    </row>
    <row r="379" spans="1:19">
      <c r="A379" s="149"/>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1</v>
      </c>
      <c r="R379" s="662">
        <f t="shared" si="74"/>
        <v>0</v>
      </c>
      <c r="S379" s="315">
        <f t="shared" si="65"/>
        <v>0</v>
      </c>
    </row>
    <row r="380" spans="1:19">
      <c r="A380" s="149"/>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1</v>
      </c>
      <c r="R380" s="662">
        <f t="shared" si="74"/>
        <v>0</v>
      </c>
      <c r="S380" s="315">
        <f t="shared" si="65"/>
        <v>0</v>
      </c>
    </row>
    <row r="381" spans="1:19">
      <c r="A381" s="149"/>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1</v>
      </c>
      <c r="R381" s="662">
        <f t="shared" si="74"/>
        <v>0</v>
      </c>
      <c r="S381" s="315">
        <f t="shared" si="65"/>
        <v>0</v>
      </c>
    </row>
    <row r="382" spans="1:19">
      <c r="A382" s="149"/>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1</v>
      </c>
      <c r="R382" s="662">
        <f t="shared" si="74"/>
        <v>0</v>
      </c>
      <c r="S382" s="315">
        <f t="shared" si="65"/>
        <v>0</v>
      </c>
    </row>
    <row r="383" spans="1:19">
      <c r="A383" s="149"/>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1</v>
      </c>
      <c r="R383" s="662">
        <f t="shared" si="74"/>
        <v>0</v>
      </c>
      <c r="S383" s="315">
        <f t="shared" si="65"/>
        <v>0</v>
      </c>
    </row>
    <row r="384" spans="1:19">
      <c r="A384" s="149"/>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1</v>
      </c>
      <c r="R384" s="662">
        <f t="shared" si="74"/>
        <v>0</v>
      </c>
      <c r="S384" s="315">
        <f t="shared" si="65"/>
        <v>0</v>
      </c>
    </row>
    <row r="385" spans="1:19">
      <c r="A385" s="149"/>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1</v>
      </c>
      <c r="R385" s="662">
        <f t="shared" si="74"/>
        <v>0</v>
      </c>
      <c r="S385" s="315">
        <f t="shared" ref="S385:S422" si="75">ROUND(R385*B385/10000,0)</f>
        <v>0</v>
      </c>
    </row>
    <row r="386" spans="1:19">
      <c r="A386" s="149"/>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1</v>
      </c>
      <c r="R386" s="662">
        <f t="shared" si="74"/>
        <v>0</v>
      </c>
      <c r="S386" s="315">
        <f t="shared" si="75"/>
        <v>0</v>
      </c>
    </row>
    <row r="387" spans="1:19">
      <c r="A387" s="149"/>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1</v>
      </c>
      <c r="R387" s="662">
        <f t="shared" si="74"/>
        <v>0</v>
      </c>
      <c r="S387" s="315">
        <f t="shared" si="75"/>
        <v>0</v>
      </c>
    </row>
    <row r="388" spans="1:19">
      <c r="A388" s="149"/>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1</v>
      </c>
      <c r="R388" s="662">
        <f t="shared" si="74"/>
        <v>0</v>
      </c>
      <c r="S388" s="315">
        <f t="shared" si="75"/>
        <v>0</v>
      </c>
    </row>
    <row r="389" spans="1:19">
      <c r="A389" s="149"/>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1</v>
      </c>
      <c r="R389" s="662">
        <f t="shared" si="74"/>
        <v>0</v>
      </c>
      <c r="S389" s="315">
        <f t="shared" si="75"/>
        <v>0</v>
      </c>
    </row>
    <row r="390" spans="1:19">
      <c r="A390" s="149"/>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1</v>
      </c>
      <c r="R390" s="662">
        <f t="shared" si="74"/>
        <v>0</v>
      </c>
      <c r="S390" s="315">
        <f t="shared" si="75"/>
        <v>0</v>
      </c>
    </row>
    <row r="391" spans="1:19">
      <c r="A391" s="149"/>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1</v>
      </c>
      <c r="R391" s="662">
        <f t="shared" si="74"/>
        <v>0</v>
      </c>
      <c r="S391" s="315">
        <f t="shared" si="75"/>
        <v>0</v>
      </c>
    </row>
    <row r="392" spans="1:19">
      <c r="A392" s="149"/>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1</v>
      </c>
      <c r="R392" s="662">
        <f t="shared" si="74"/>
        <v>0</v>
      </c>
      <c r="S392" s="315">
        <f t="shared" si="75"/>
        <v>0</v>
      </c>
    </row>
    <row r="393" spans="1:19">
      <c r="A393" s="149"/>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1</v>
      </c>
      <c r="R393" s="662">
        <f t="shared" si="74"/>
        <v>0</v>
      </c>
      <c r="S393" s="315">
        <f t="shared" si="75"/>
        <v>0</v>
      </c>
    </row>
    <row r="394" spans="1:19">
      <c r="A394" s="149"/>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1</v>
      </c>
      <c r="R394" s="662">
        <f t="shared" si="74"/>
        <v>0</v>
      </c>
      <c r="S394" s="315">
        <f t="shared" si="75"/>
        <v>0</v>
      </c>
    </row>
    <row r="395" spans="1:19">
      <c r="A395" s="149"/>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1</v>
      </c>
      <c r="R395" s="662">
        <f t="shared" si="74"/>
        <v>0</v>
      </c>
      <c r="S395" s="315">
        <f t="shared" si="75"/>
        <v>0</v>
      </c>
    </row>
    <row r="396" spans="1:19">
      <c r="A396" s="149"/>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1</v>
      </c>
      <c r="R396" s="662">
        <f t="shared" si="74"/>
        <v>0</v>
      </c>
      <c r="S396" s="315">
        <f t="shared" si="75"/>
        <v>0</v>
      </c>
    </row>
    <row r="397" spans="1:19">
      <c r="A397" s="149"/>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1</v>
      </c>
      <c r="R397" s="662">
        <f t="shared" si="74"/>
        <v>0</v>
      </c>
      <c r="S397" s="315">
        <f t="shared" si="75"/>
        <v>0</v>
      </c>
    </row>
    <row r="398" spans="1:19">
      <c r="A398" s="149"/>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1</v>
      </c>
      <c r="R398" s="662">
        <f t="shared" si="74"/>
        <v>0</v>
      </c>
      <c r="S398" s="315">
        <f t="shared" si="75"/>
        <v>0</v>
      </c>
    </row>
    <row r="399" spans="1:19">
      <c r="A399" s="149"/>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1</v>
      </c>
      <c r="R399" s="662">
        <f t="shared" si="74"/>
        <v>0</v>
      </c>
      <c r="S399" s="315">
        <f t="shared" si="75"/>
        <v>0</v>
      </c>
    </row>
    <row r="400" spans="1:19">
      <c r="A400" s="149"/>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1</v>
      </c>
      <c r="R400" s="662">
        <f t="shared" si="74"/>
        <v>0</v>
      </c>
      <c r="S400" s="315">
        <f t="shared" si="75"/>
        <v>0</v>
      </c>
    </row>
    <row r="401" spans="1:19">
      <c r="A401" s="149"/>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1</v>
      </c>
      <c r="R401" s="662">
        <f t="shared" si="74"/>
        <v>0</v>
      </c>
      <c r="S401" s="315">
        <f t="shared" si="75"/>
        <v>0</v>
      </c>
    </row>
    <row r="402" spans="1:19">
      <c r="A402" s="149"/>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1</v>
      </c>
      <c r="R402" s="662">
        <f t="shared" si="74"/>
        <v>0</v>
      </c>
      <c r="S402" s="315">
        <f t="shared" si="75"/>
        <v>0</v>
      </c>
    </row>
    <row r="403" spans="1:19">
      <c r="A403" s="149"/>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1</v>
      </c>
      <c r="R403" s="662">
        <f t="shared" si="74"/>
        <v>0</v>
      </c>
      <c r="S403" s="315">
        <f t="shared" si="75"/>
        <v>0</v>
      </c>
    </row>
    <row r="404" spans="1:19">
      <c r="A404" s="149"/>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1</v>
      </c>
      <c r="R404" s="662">
        <f t="shared" si="74"/>
        <v>0</v>
      </c>
      <c r="S404" s="315">
        <f t="shared" si="75"/>
        <v>0</v>
      </c>
    </row>
    <row r="405" spans="1:19">
      <c r="A405" s="149"/>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1</v>
      </c>
      <c r="R405" s="662">
        <f t="shared" si="74"/>
        <v>0</v>
      </c>
      <c r="S405" s="315">
        <f t="shared" si="75"/>
        <v>0</v>
      </c>
    </row>
    <row r="406" spans="1:19">
      <c r="A406" s="149"/>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1</v>
      </c>
      <c r="R406" s="662">
        <f t="shared" si="74"/>
        <v>0</v>
      </c>
      <c r="S406" s="315">
        <f t="shared" si="75"/>
        <v>0</v>
      </c>
    </row>
    <row r="407" spans="1:19">
      <c r="A407" s="149"/>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1</v>
      </c>
      <c r="R407" s="662">
        <f t="shared" si="74"/>
        <v>0</v>
      </c>
      <c r="S407" s="315">
        <f t="shared" si="75"/>
        <v>0</v>
      </c>
    </row>
    <row r="408" spans="1:19">
      <c r="A408" s="149"/>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1</v>
      </c>
      <c r="R408" s="662">
        <f t="shared" si="74"/>
        <v>0</v>
      </c>
      <c r="S408" s="315">
        <f t="shared" si="75"/>
        <v>0</v>
      </c>
    </row>
    <row r="409" spans="1:19">
      <c r="A409" s="149"/>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1</v>
      </c>
      <c r="R409" s="662">
        <f t="shared" si="74"/>
        <v>0</v>
      </c>
      <c r="S409" s="315">
        <f t="shared" si="75"/>
        <v>0</v>
      </c>
    </row>
    <row r="410" spans="1:19">
      <c r="A410" s="149"/>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5">
        <f t="shared" si="75"/>
        <v>0</v>
      </c>
    </row>
    <row r="411" spans="1:19">
      <c r="A411" s="149"/>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1</v>
      </c>
      <c r="R411" s="662">
        <f t="shared" si="84"/>
        <v>0</v>
      </c>
      <c r="S411" s="315">
        <f t="shared" si="75"/>
        <v>0</v>
      </c>
    </row>
    <row r="412" spans="1:19">
      <c r="A412" s="149"/>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1</v>
      </c>
      <c r="R412" s="662">
        <f t="shared" si="84"/>
        <v>0</v>
      </c>
      <c r="S412" s="315">
        <f t="shared" si="75"/>
        <v>0</v>
      </c>
    </row>
    <row r="413" spans="1:19">
      <c r="A413" s="149"/>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1</v>
      </c>
      <c r="R413" s="662">
        <f t="shared" si="84"/>
        <v>0</v>
      </c>
      <c r="S413" s="315">
        <f t="shared" si="75"/>
        <v>0</v>
      </c>
    </row>
    <row r="414" spans="1:19">
      <c r="A414" s="149"/>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1</v>
      </c>
      <c r="R414" s="662">
        <f t="shared" si="84"/>
        <v>0</v>
      </c>
      <c r="S414" s="315">
        <f t="shared" si="75"/>
        <v>0</v>
      </c>
    </row>
    <row r="415" spans="1:19">
      <c r="A415" s="149"/>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1</v>
      </c>
      <c r="R415" s="662">
        <f t="shared" si="84"/>
        <v>0</v>
      </c>
      <c r="S415" s="315">
        <f t="shared" si="75"/>
        <v>0</v>
      </c>
    </row>
    <row r="416" spans="1:19">
      <c r="A416" s="149"/>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1</v>
      </c>
      <c r="R416" s="662">
        <f t="shared" si="84"/>
        <v>0</v>
      </c>
      <c r="S416" s="315">
        <f t="shared" si="75"/>
        <v>0</v>
      </c>
    </row>
    <row r="417" spans="1:19">
      <c r="A417" s="149"/>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1</v>
      </c>
      <c r="R417" s="662">
        <f t="shared" si="84"/>
        <v>0</v>
      </c>
      <c r="S417" s="315">
        <f t="shared" si="75"/>
        <v>0</v>
      </c>
    </row>
    <row r="418" spans="1:19">
      <c r="A418" s="149"/>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1</v>
      </c>
      <c r="R418" s="662">
        <f t="shared" si="84"/>
        <v>0</v>
      </c>
      <c r="S418" s="315">
        <f t="shared" si="75"/>
        <v>0</v>
      </c>
    </row>
    <row r="419" spans="1:19">
      <c r="A419" s="149"/>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1</v>
      </c>
      <c r="R419" s="662">
        <f t="shared" si="84"/>
        <v>0</v>
      </c>
      <c r="S419" s="315">
        <f t="shared" si="75"/>
        <v>0</v>
      </c>
    </row>
    <row r="420" spans="1:19">
      <c r="A420" s="149"/>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1</v>
      </c>
      <c r="R420" s="662">
        <f t="shared" si="84"/>
        <v>0</v>
      </c>
      <c r="S420" s="315">
        <f t="shared" si="75"/>
        <v>0</v>
      </c>
    </row>
    <row r="421" spans="1:19">
      <c r="A421" s="149"/>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1</v>
      </c>
      <c r="R421" s="662">
        <f t="shared" si="84"/>
        <v>0</v>
      </c>
      <c r="S421" s="315">
        <f t="shared" si="75"/>
        <v>0</v>
      </c>
    </row>
    <row r="422" spans="1:19">
      <c r="A422" s="149"/>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1</v>
      </c>
      <c r="R422" s="662">
        <f t="shared" si="84"/>
        <v>0</v>
      </c>
      <c r="S422" s="315">
        <f t="shared" si="75"/>
        <v>0</v>
      </c>
    </row>
    <row r="423" spans="1:19">
      <c r="A423" s="149"/>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1</v>
      </c>
      <c r="R423" s="662">
        <f t="shared" si="84"/>
        <v>0</v>
      </c>
      <c r="S423" s="315">
        <f t="shared" ref="S423:S467" si="85">ROUND(R423*B423/10000,0)</f>
        <v>0</v>
      </c>
    </row>
    <row r="424" spans="1:19">
      <c r="A424" s="149"/>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1</v>
      </c>
      <c r="R424" s="662">
        <f t="shared" si="84"/>
        <v>0</v>
      </c>
      <c r="S424" s="315">
        <f t="shared" si="85"/>
        <v>0</v>
      </c>
    </row>
    <row r="425" spans="1:19">
      <c r="A425" s="149"/>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1</v>
      </c>
      <c r="R425" s="662">
        <f t="shared" si="84"/>
        <v>0</v>
      </c>
      <c r="S425" s="315">
        <f t="shared" si="85"/>
        <v>0</v>
      </c>
    </row>
    <row r="426" spans="1:19">
      <c r="A426" s="149"/>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1</v>
      </c>
      <c r="R426" s="662">
        <f t="shared" si="84"/>
        <v>0</v>
      </c>
      <c r="S426" s="315">
        <f t="shared" si="85"/>
        <v>0</v>
      </c>
    </row>
    <row r="427" spans="1:19">
      <c r="A427" s="149"/>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1</v>
      </c>
      <c r="R427" s="662">
        <f t="shared" si="84"/>
        <v>0</v>
      </c>
      <c r="S427" s="315">
        <f t="shared" si="85"/>
        <v>0</v>
      </c>
    </row>
    <row r="428" spans="1:19">
      <c r="A428" s="149"/>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1</v>
      </c>
      <c r="R428" s="662">
        <f t="shared" si="84"/>
        <v>0</v>
      </c>
      <c r="S428" s="315">
        <f t="shared" si="85"/>
        <v>0</v>
      </c>
    </row>
    <row r="429" spans="1:19">
      <c r="A429" s="149"/>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1</v>
      </c>
      <c r="R429" s="662">
        <f t="shared" si="84"/>
        <v>0</v>
      </c>
      <c r="S429" s="315">
        <f t="shared" si="85"/>
        <v>0</v>
      </c>
    </row>
    <row r="430" spans="1:19">
      <c r="A430" s="149"/>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1</v>
      </c>
      <c r="R430" s="662">
        <f t="shared" si="84"/>
        <v>0</v>
      </c>
      <c r="S430" s="315">
        <f t="shared" si="85"/>
        <v>0</v>
      </c>
    </row>
    <row r="431" spans="1:19">
      <c r="A431" s="149"/>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1</v>
      </c>
      <c r="R431" s="662">
        <f t="shared" si="84"/>
        <v>0</v>
      </c>
      <c r="S431" s="315">
        <f t="shared" si="85"/>
        <v>0</v>
      </c>
    </row>
    <row r="432" spans="1:19">
      <c r="A432" s="149"/>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1</v>
      </c>
      <c r="R432" s="662">
        <f t="shared" si="84"/>
        <v>0</v>
      </c>
      <c r="S432" s="315">
        <f t="shared" si="85"/>
        <v>0</v>
      </c>
    </row>
    <row r="433" spans="1:19">
      <c r="A433" s="149"/>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1</v>
      </c>
      <c r="R433" s="662">
        <f t="shared" si="84"/>
        <v>0</v>
      </c>
      <c r="S433" s="315">
        <f t="shared" si="85"/>
        <v>0</v>
      </c>
    </row>
    <row r="434" spans="1:19">
      <c r="A434" s="149"/>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1</v>
      </c>
      <c r="R434" s="662">
        <f t="shared" si="84"/>
        <v>0</v>
      </c>
      <c r="S434" s="315">
        <f t="shared" si="85"/>
        <v>0</v>
      </c>
    </row>
    <row r="435" spans="1:19">
      <c r="A435" s="149"/>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1</v>
      </c>
      <c r="R435" s="662">
        <f t="shared" si="84"/>
        <v>0</v>
      </c>
      <c r="S435" s="315">
        <f t="shared" si="85"/>
        <v>0</v>
      </c>
    </row>
    <row r="436" spans="1:19">
      <c r="A436" s="149"/>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1</v>
      </c>
      <c r="R436" s="662">
        <f t="shared" si="84"/>
        <v>0</v>
      </c>
      <c r="S436" s="315">
        <f t="shared" si="85"/>
        <v>0</v>
      </c>
    </row>
    <row r="437" spans="1:19">
      <c r="A437" s="149"/>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1</v>
      </c>
      <c r="R437" s="662">
        <f t="shared" si="84"/>
        <v>0</v>
      </c>
      <c r="S437" s="315">
        <f t="shared" si="85"/>
        <v>0</v>
      </c>
    </row>
    <row r="438" spans="1:19">
      <c r="A438" s="149"/>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1</v>
      </c>
      <c r="R438" s="662">
        <f t="shared" si="84"/>
        <v>0</v>
      </c>
      <c r="S438" s="315">
        <f t="shared" si="85"/>
        <v>0</v>
      </c>
    </row>
    <row r="439" spans="1:19">
      <c r="A439" s="149"/>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1</v>
      </c>
      <c r="R439" s="662">
        <f t="shared" si="84"/>
        <v>0</v>
      </c>
      <c r="S439" s="315">
        <f t="shared" si="85"/>
        <v>0</v>
      </c>
    </row>
    <row r="440" spans="1:19">
      <c r="A440" s="149"/>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1</v>
      </c>
      <c r="R440" s="662">
        <f t="shared" si="84"/>
        <v>0</v>
      </c>
      <c r="S440" s="315">
        <f t="shared" si="85"/>
        <v>0</v>
      </c>
    </row>
    <row r="441" spans="1:19">
      <c r="A441" s="149"/>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1</v>
      </c>
      <c r="R441" s="662">
        <f t="shared" si="84"/>
        <v>0</v>
      </c>
      <c r="S441" s="315">
        <f t="shared" si="85"/>
        <v>0</v>
      </c>
    </row>
    <row r="442" spans="1:19">
      <c r="A442" s="149"/>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1</v>
      </c>
      <c r="R442" s="662">
        <f t="shared" si="84"/>
        <v>0</v>
      </c>
      <c r="S442" s="315">
        <f t="shared" si="85"/>
        <v>0</v>
      </c>
    </row>
    <row r="443" spans="1:19">
      <c r="A443" s="149"/>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1</v>
      </c>
      <c r="R443" s="662">
        <f t="shared" si="84"/>
        <v>0</v>
      </c>
      <c r="S443" s="315">
        <f t="shared" si="85"/>
        <v>0</v>
      </c>
    </row>
    <row r="444" spans="1:19">
      <c r="A444" s="149"/>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1</v>
      </c>
      <c r="R444" s="662">
        <f t="shared" si="84"/>
        <v>0</v>
      </c>
      <c r="S444" s="315">
        <f t="shared" si="85"/>
        <v>0</v>
      </c>
    </row>
    <row r="445" spans="1:19">
      <c r="A445" s="149"/>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1</v>
      </c>
      <c r="R445" s="662">
        <f t="shared" si="84"/>
        <v>0</v>
      </c>
      <c r="S445" s="315">
        <f t="shared" si="85"/>
        <v>0</v>
      </c>
    </row>
    <row r="446" spans="1:19">
      <c r="A446" s="149"/>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1</v>
      </c>
      <c r="R446" s="662">
        <f t="shared" si="84"/>
        <v>0</v>
      </c>
      <c r="S446" s="315">
        <f t="shared" si="85"/>
        <v>0</v>
      </c>
    </row>
    <row r="447" spans="1:19">
      <c r="A447" s="149"/>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1</v>
      </c>
      <c r="R447" s="662">
        <f t="shared" si="84"/>
        <v>0</v>
      </c>
      <c r="S447" s="315">
        <f t="shared" si="85"/>
        <v>0</v>
      </c>
    </row>
    <row r="448" spans="1:19">
      <c r="A448" s="149"/>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1</v>
      </c>
      <c r="R448" s="662">
        <f t="shared" si="84"/>
        <v>0</v>
      </c>
      <c r="S448" s="315">
        <f t="shared" si="85"/>
        <v>0</v>
      </c>
    </row>
    <row r="449" spans="1:19">
      <c r="A449" s="149"/>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1</v>
      </c>
      <c r="R449" s="662">
        <f t="shared" si="84"/>
        <v>0</v>
      </c>
      <c r="S449" s="315">
        <f t="shared" si="85"/>
        <v>0</v>
      </c>
    </row>
    <row r="450" spans="1:19">
      <c r="A450" s="149"/>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1</v>
      </c>
      <c r="R450" s="662">
        <f t="shared" si="84"/>
        <v>0</v>
      </c>
      <c r="S450" s="315">
        <f t="shared" si="85"/>
        <v>0</v>
      </c>
    </row>
    <row r="451" spans="1:19">
      <c r="A451" s="149"/>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1</v>
      </c>
      <c r="R451" s="662">
        <f t="shared" si="84"/>
        <v>0</v>
      </c>
      <c r="S451" s="315">
        <f t="shared" si="85"/>
        <v>0</v>
      </c>
    </row>
    <row r="452" spans="1:19">
      <c r="A452" s="149"/>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1</v>
      </c>
      <c r="R452" s="662">
        <f t="shared" si="84"/>
        <v>0</v>
      </c>
      <c r="S452" s="315">
        <f t="shared" si="85"/>
        <v>0</v>
      </c>
    </row>
    <row r="453" spans="1:19">
      <c r="A453" s="149"/>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1</v>
      </c>
      <c r="R453" s="662">
        <f t="shared" si="84"/>
        <v>0</v>
      </c>
      <c r="S453" s="315">
        <f t="shared" si="85"/>
        <v>0</v>
      </c>
    </row>
    <row r="454" spans="1:19">
      <c r="A454" s="149"/>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1</v>
      </c>
      <c r="R454" s="662">
        <f t="shared" si="84"/>
        <v>0</v>
      </c>
      <c r="S454" s="315">
        <f t="shared" si="85"/>
        <v>0</v>
      </c>
    </row>
    <row r="455" spans="1:19">
      <c r="A455" s="149"/>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1</v>
      </c>
      <c r="R455" s="662">
        <f t="shared" si="84"/>
        <v>0</v>
      </c>
      <c r="S455" s="315">
        <f t="shared" si="85"/>
        <v>0</v>
      </c>
    </row>
    <row r="456" spans="1:19">
      <c r="A456" s="149"/>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1</v>
      </c>
      <c r="R456" s="662">
        <f t="shared" si="84"/>
        <v>0</v>
      </c>
      <c r="S456" s="315">
        <f t="shared" si="85"/>
        <v>0</v>
      </c>
    </row>
    <row r="457" spans="1:19">
      <c r="A457" s="149"/>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1</v>
      </c>
      <c r="R457" s="662">
        <f t="shared" si="84"/>
        <v>0</v>
      </c>
      <c r="S457" s="315">
        <f t="shared" si="85"/>
        <v>0</v>
      </c>
    </row>
    <row r="458" spans="1:19">
      <c r="A458" s="149"/>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1</v>
      </c>
      <c r="R458" s="662">
        <f t="shared" si="84"/>
        <v>0</v>
      </c>
      <c r="S458" s="315">
        <f t="shared" si="85"/>
        <v>0</v>
      </c>
    </row>
    <row r="459" spans="1:19">
      <c r="A459" s="149"/>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1</v>
      </c>
      <c r="R459" s="662">
        <f t="shared" si="84"/>
        <v>0</v>
      </c>
      <c r="S459" s="315">
        <f t="shared" si="85"/>
        <v>0</v>
      </c>
    </row>
    <row r="460" spans="1:19">
      <c r="A460" s="149"/>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1</v>
      </c>
      <c r="R460" s="662">
        <f t="shared" si="84"/>
        <v>0</v>
      </c>
      <c r="S460" s="315">
        <f t="shared" si="85"/>
        <v>0</v>
      </c>
    </row>
    <row r="461" spans="1:19">
      <c r="A461" s="149"/>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1</v>
      </c>
      <c r="R461" s="662">
        <f t="shared" si="84"/>
        <v>0</v>
      </c>
      <c r="S461" s="315">
        <f t="shared" si="85"/>
        <v>0</v>
      </c>
    </row>
    <row r="462" spans="1:19">
      <c r="A462" s="149"/>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1</v>
      </c>
      <c r="R462" s="662">
        <f t="shared" si="84"/>
        <v>0</v>
      </c>
      <c r="S462" s="315">
        <f t="shared" si="85"/>
        <v>0</v>
      </c>
    </row>
    <row r="463" spans="1:19">
      <c r="A463" s="149"/>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1</v>
      </c>
      <c r="R463" s="662">
        <f t="shared" si="84"/>
        <v>0</v>
      </c>
      <c r="S463" s="315">
        <f t="shared" si="85"/>
        <v>0</v>
      </c>
    </row>
    <row r="464" spans="1:19">
      <c r="A464" s="149"/>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1</v>
      </c>
      <c r="R464" s="662">
        <f t="shared" si="84"/>
        <v>0</v>
      </c>
      <c r="S464" s="315">
        <f t="shared" si="85"/>
        <v>0</v>
      </c>
    </row>
    <row r="465" spans="1:19">
      <c r="A465" s="149"/>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1</v>
      </c>
      <c r="R465" s="662">
        <f t="shared" si="84"/>
        <v>0</v>
      </c>
      <c r="S465" s="315">
        <f t="shared" si="85"/>
        <v>0</v>
      </c>
    </row>
    <row r="466" spans="1:19">
      <c r="A466" s="149"/>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1</v>
      </c>
      <c r="R466" s="662">
        <f t="shared" si="84"/>
        <v>0</v>
      </c>
      <c r="S466" s="315">
        <f t="shared" si="85"/>
        <v>0</v>
      </c>
    </row>
    <row r="467" spans="1:19">
      <c r="A467" s="149"/>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1</v>
      </c>
      <c r="R467" s="662">
        <f t="shared" si="84"/>
        <v>0</v>
      </c>
      <c r="S467" s="315">
        <f t="shared" si="85"/>
        <v>0</v>
      </c>
    </row>
    <row r="468" spans="1:19">
      <c r="A468" s="149"/>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1</v>
      </c>
      <c r="R468" s="662">
        <f t="shared" si="84"/>
        <v>0</v>
      </c>
      <c r="S468" s="315">
        <f t="shared" ref="S468:S497" si="86">ROUND(R468*B468/10000,0)</f>
        <v>0</v>
      </c>
    </row>
    <row r="469" spans="1:19">
      <c r="A469" s="149"/>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1</v>
      </c>
      <c r="R469" s="662">
        <f t="shared" si="84"/>
        <v>0</v>
      </c>
      <c r="S469" s="315">
        <f t="shared" si="86"/>
        <v>0</v>
      </c>
    </row>
    <row r="470" spans="1:19">
      <c r="A470" s="149"/>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1</v>
      </c>
      <c r="R470" s="662">
        <f t="shared" si="84"/>
        <v>0</v>
      </c>
      <c r="S470" s="315">
        <f t="shared" si="86"/>
        <v>0</v>
      </c>
    </row>
    <row r="471" spans="1:19">
      <c r="A471" s="149"/>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1</v>
      </c>
      <c r="R471" s="662">
        <f t="shared" si="84"/>
        <v>0</v>
      </c>
      <c r="S471" s="315">
        <f t="shared" si="86"/>
        <v>0</v>
      </c>
    </row>
    <row r="472" spans="1:19">
      <c r="A472" s="149"/>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1</v>
      </c>
      <c r="R472" s="662">
        <f t="shared" si="84"/>
        <v>0</v>
      </c>
      <c r="S472" s="315">
        <f t="shared" si="86"/>
        <v>0</v>
      </c>
    </row>
    <row r="473" spans="1:19">
      <c r="A473" s="149"/>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1</v>
      </c>
      <c r="R473" s="662">
        <f t="shared" si="84"/>
        <v>0</v>
      </c>
      <c r="S473" s="315">
        <f t="shared" si="86"/>
        <v>0</v>
      </c>
    </row>
    <row r="474" spans="1:19">
      <c r="A474" s="149"/>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5">
        <f t="shared" si="86"/>
        <v>0</v>
      </c>
    </row>
    <row r="475" spans="1:19">
      <c r="A475" s="149"/>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1</v>
      </c>
      <c r="R475" s="662">
        <f t="shared" si="95"/>
        <v>0</v>
      </c>
      <c r="S475" s="315">
        <f t="shared" si="86"/>
        <v>0</v>
      </c>
    </row>
    <row r="476" spans="1:19">
      <c r="A476" s="149"/>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1</v>
      </c>
      <c r="R476" s="662">
        <f t="shared" si="95"/>
        <v>0</v>
      </c>
      <c r="S476" s="315">
        <f t="shared" si="86"/>
        <v>0</v>
      </c>
    </row>
    <row r="477" spans="1:19">
      <c r="A477" s="149"/>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1</v>
      </c>
      <c r="R477" s="662">
        <f t="shared" si="95"/>
        <v>0</v>
      </c>
      <c r="S477" s="315">
        <f t="shared" si="86"/>
        <v>0</v>
      </c>
    </row>
    <row r="478" spans="1:19">
      <c r="A478" s="149"/>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1</v>
      </c>
      <c r="R478" s="662">
        <f t="shared" si="95"/>
        <v>0</v>
      </c>
      <c r="S478" s="315">
        <f t="shared" si="86"/>
        <v>0</v>
      </c>
    </row>
    <row r="479" spans="1:19">
      <c r="A479" s="149"/>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1</v>
      </c>
      <c r="R479" s="662">
        <f t="shared" si="95"/>
        <v>0</v>
      </c>
      <c r="S479" s="315">
        <f t="shared" si="86"/>
        <v>0</v>
      </c>
    </row>
    <row r="480" spans="1:19">
      <c r="A480" s="149"/>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1</v>
      </c>
      <c r="R480" s="662">
        <f t="shared" si="95"/>
        <v>0</v>
      </c>
      <c r="S480" s="315">
        <f t="shared" si="86"/>
        <v>0</v>
      </c>
    </row>
    <row r="481" spans="1:19">
      <c r="A481" s="149"/>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1</v>
      </c>
      <c r="R481" s="662">
        <f t="shared" si="95"/>
        <v>0</v>
      </c>
      <c r="S481" s="315">
        <f t="shared" si="86"/>
        <v>0</v>
      </c>
    </row>
    <row r="482" spans="1:19">
      <c r="A482" s="149"/>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1</v>
      </c>
      <c r="R482" s="662">
        <f t="shared" si="95"/>
        <v>0</v>
      </c>
      <c r="S482" s="315">
        <f t="shared" si="86"/>
        <v>0</v>
      </c>
    </row>
    <row r="483" spans="1:19">
      <c r="A483" s="149"/>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1</v>
      </c>
      <c r="R483" s="662">
        <f t="shared" si="95"/>
        <v>0</v>
      </c>
      <c r="S483" s="315">
        <f t="shared" si="86"/>
        <v>0</v>
      </c>
    </row>
    <row r="484" spans="1:19">
      <c r="A484" s="149"/>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1</v>
      </c>
      <c r="R484" s="662">
        <f t="shared" si="95"/>
        <v>0</v>
      </c>
      <c r="S484" s="315">
        <f t="shared" si="86"/>
        <v>0</v>
      </c>
    </row>
    <row r="485" spans="1:19">
      <c r="A485" s="149"/>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1</v>
      </c>
      <c r="R485" s="662">
        <f t="shared" si="95"/>
        <v>0</v>
      </c>
      <c r="S485" s="315">
        <f t="shared" si="86"/>
        <v>0</v>
      </c>
    </row>
    <row r="486" spans="1:19">
      <c r="A486" s="149"/>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1</v>
      </c>
      <c r="R486" s="662">
        <f t="shared" si="95"/>
        <v>0</v>
      </c>
      <c r="S486" s="315">
        <f t="shared" si="86"/>
        <v>0</v>
      </c>
    </row>
    <row r="487" spans="1:19">
      <c r="A487" s="149"/>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1</v>
      </c>
      <c r="R487" s="662">
        <f t="shared" si="95"/>
        <v>0</v>
      </c>
      <c r="S487" s="315">
        <f t="shared" si="86"/>
        <v>0</v>
      </c>
    </row>
    <row r="488" spans="1:19">
      <c r="A488" s="149"/>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1</v>
      </c>
      <c r="R488" s="662">
        <f t="shared" si="95"/>
        <v>0</v>
      </c>
      <c r="S488" s="315">
        <f t="shared" si="86"/>
        <v>0</v>
      </c>
    </row>
    <row r="489" spans="1:19">
      <c r="A489" s="149"/>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1</v>
      </c>
      <c r="R489" s="662">
        <f t="shared" si="95"/>
        <v>0</v>
      </c>
      <c r="S489" s="315">
        <f t="shared" si="86"/>
        <v>0</v>
      </c>
    </row>
    <row r="490" spans="1:19">
      <c r="A490" s="149"/>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1</v>
      </c>
      <c r="R490" s="662">
        <f t="shared" si="95"/>
        <v>0</v>
      </c>
      <c r="S490" s="315">
        <f t="shared" si="86"/>
        <v>0</v>
      </c>
    </row>
    <row r="491" spans="1:19">
      <c r="A491" s="149"/>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1</v>
      </c>
      <c r="R491" s="662">
        <f t="shared" si="95"/>
        <v>0</v>
      </c>
      <c r="S491" s="315">
        <f t="shared" si="86"/>
        <v>0</v>
      </c>
    </row>
    <row r="492" spans="1:19">
      <c r="A492" s="149"/>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1</v>
      </c>
      <c r="R492" s="662">
        <f t="shared" si="95"/>
        <v>0</v>
      </c>
      <c r="S492" s="315">
        <f t="shared" si="86"/>
        <v>0</v>
      </c>
    </row>
    <row r="493" spans="1:19">
      <c r="A493" s="149"/>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1</v>
      </c>
      <c r="R493" s="662">
        <f t="shared" si="95"/>
        <v>0</v>
      </c>
      <c r="S493" s="315">
        <f t="shared" si="86"/>
        <v>0</v>
      </c>
    </row>
    <row r="494" spans="1:19">
      <c r="A494" s="149"/>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1</v>
      </c>
      <c r="R494" s="662">
        <f t="shared" si="95"/>
        <v>0</v>
      </c>
      <c r="S494" s="315">
        <f t="shared" si="86"/>
        <v>0</v>
      </c>
    </row>
    <row r="495" spans="1:19">
      <c r="A495" s="149"/>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1</v>
      </c>
      <c r="R495" s="662">
        <f t="shared" si="95"/>
        <v>0</v>
      </c>
      <c r="S495" s="315">
        <f t="shared" si="86"/>
        <v>0</v>
      </c>
    </row>
    <row r="496" spans="1:19">
      <c r="A496" s="149"/>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1</v>
      </c>
      <c r="R496" s="662">
        <f t="shared" si="95"/>
        <v>0</v>
      </c>
      <c r="S496" s="315">
        <f t="shared" si="86"/>
        <v>0</v>
      </c>
    </row>
    <row r="497" spans="1:19">
      <c r="A497" s="149"/>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1</v>
      </c>
      <c r="R497" s="662">
        <f t="shared" si="95"/>
        <v>0</v>
      </c>
      <c r="S497" s="315">
        <f t="shared" si="86"/>
        <v>0</v>
      </c>
    </row>
    <row r="498" spans="1:19">
      <c r="A498" s="149"/>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1</v>
      </c>
      <c r="R498" s="662">
        <f t="shared" si="95"/>
        <v>0</v>
      </c>
      <c r="S498" s="315">
        <f t="shared" ref="S498:S524" si="96">ROUND(R498*B498/10000,0)</f>
        <v>0</v>
      </c>
    </row>
    <row r="499" spans="1:19">
      <c r="A499" s="149"/>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1</v>
      </c>
      <c r="R499" s="662">
        <f t="shared" si="95"/>
        <v>0</v>
      </c>
      <c r="S499" s="315">
        <f t="shared" si="96"/>
        <v>0</v>
      </c>
    </row>
    <row r="500" spans="1:19">
      <c r="A500" s="149"/>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1</v>
      </c>
      <c r="R500" s="662">
        <f t="shared" si="95"/>
        <v>0</v>
      </c>
      <c r="S500" s="315">
        <f t="shared" si="96"/>
        <v>0</v>
      </c>
    </row>
    <row r="501" spans="1:19">
      <c r="A501" s="149"/>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1</v>
      </c>
      <c r="R501" s="662">
        <f t="shared" si="95"/>
        <v>0</v>
      </c>
      <c r="S501" s="315">
        <f t="shared" si="96"/>
        <v>0</v>
      </c>
    </row>
    <row r="502" spans="1:19">
      <c r="A502" s="149"/>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1</v>
      </c>
      <c r="R502" s="662">
        <f t="shared" si="95"/>
        <v>0</v>
      </c>
      <c r="S502" s="315">
        <f t="shared" si="96"/>
        <v>0</v>
      </c>
    </row>
    <row r="503" spans="1:19">
      <c r="A503" s="149"/>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1</v>
      </c>
      <c r="R503" s="662">
        <f t="shared" si="95"/>
        <v>0</v>
      </c>
      <c r="S503" s="315">
        <f t="shared" si="96"/>
        <v>0</v>
      </c>
    </row>
    <row r="504" spans="1:19">
      <c r="A504" s="149"/>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1</v>
      </c>
      <c r="R504" s="662">
        <f t="shared" si="95"/>
        <v>0</v>
      </c>
      <c r="S504" s="315">
        <f t="shared" si="96"/>
        <v>0</v>
      </c>
    </row>
    <row r="505" spans="1:19">
      <c r="A505" s="149"/>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1</v>
      </c>
      <c r="R505" s="662">
        <f t="shared" si="95"/>
        <v>0</v>
      </c>
      <c r="S505" s="315">
        <f t="shared" si="96"/>
        <v>0</v>
      </c>
    </row>
    <row r="506" spans="1:19">
      <c r="A506" s="149"/>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1</v>
      </c>
      <c r="R506" s="662">
        <f t="shared" si="95"/>
        <v>0</v>
      </c>
      <c r="S506" s="315">
        <f t="shared" si="96"/>
        <v>0</v>
      </c>
    </row>
    <row r="507" spans="1:19">
      <c r="A507" s="149"/>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1</v>
      </c>
      <c r="R507" s="662">
        <f t="shared" si="95"/>
        <v>0</v>
      </c>
      <c r="S507" s="315">
        <f t="shared" si="96"/>
        <v>0</v>
      </c>
    </row>
    <row r="508" spans="1:19">
      <c r="A508" s="149"/>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1</v>
      </c>
      <c r="R508" s="662">
        <f t="shared" si="95"/>
        <v>0</v>
      </c>
      <c r="S508" s="315">
        <f t="shared" si="96"/>
        <v>0</v>
      </c>
    </row>
    <row r="509" spans="1:19">
      <c r="A509" s="149"/>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1</v>
      </c>
      <c r="R509" s="662">
        <f t="shared" si="95"/>
        <v>0</v>
      </c>
      <c r="S509" s="315">
        <f t="shared" si="96"/>
        <v>0</v>
      </c>
    </row>
    <row r="510" spans="1:19">
      <c r="A510" s="149"/>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1</v>
      </c>
      <c r="R510" s="662">
        <f t="shared" si="95"/>
        <v>0</v>
      </c>
      <c r="S510" s="315">
        <f t="shared" si="96"/>
        <v>0</v>
      </c>
    </row>
    <row r="511" spans="1:19">
      <c r="A511" s="149"/>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1</v>
      </c>
      <c r="R511" s="662">
        <f t="shared" si="95"/>
        <v>0</v>
      </c>
      <c r="S511" s="315">
        <f t="shared" si="96"/>
        <v>0</v>
      </c>
    </row>
    <row r="512" spans="1:19">
      <c r="A512" s="149"/>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1</v>
      </c>
      <c r="R512" s="662">
        <f t="shared" si="95"/>
        <v>0</v>
      </c>
      <c r="S512" s="315">
        <f t="shared" si="96"/>
        <v>0</v>
      </c>
    </row>
    <row r="513" spans="1:19">
      <c r="A513" s="149"/>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1</v>
      </c>
      <c r="R513" s="662">
        <f t="shared" si="95"/>
        <v>0</v>
      </c>
      <c r="S513" s="315">
        <f t="shared" si="96"/>
        <v>0</v>
      </c>
    </row>
    <row r="514" spans="1:19">
      <c r="A514" s="149"/>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1</v>
      </c>
      <c r="R514" s="662">
        <f t="shared" si="95"/>
        <v>0</v>
      </c>
      <c r="S514" s="315">
        <f t="shared" si="96"/>
        <v>0</v>
      </c>
    </row>
    <row r="515" spans="1:19">
      <c r="A515" s="149"/>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1</v>
      </c>
      <c r="R515" s="662">
        <f t="shared" si="95"/>
        <v>0</v>
      </c>
      <c r="S515" s="315">
        <f t="shared" si="96"/>
        <v>0</v>
      </c>
    </row>
    <row r="516" spans="1:19">
      <c r="A516" s="149"/>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1</v>
      </c>
      <c r="R516" s="662">
        <f t="shared" si="95"/>
        <v>0</v>
      </c>
      <c r="S516" s="315">
        <f t="shared" si="96"/>
        <v>0</v>
      </c>
    </row>
    <row r="517" spans="1:19">
      <c r="A517" s="149"/>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1</v>
      </c>
      <c r="R517" s="662">
        <f t="shared" si="95"/>
        <v>0</v>
      </c>
      <c r="S517" s="315">
        <f t="shared" si="96"/>
        <v>0</v>
      </c>
    </row>
    <row r="518" spans="1:19">
      <c r="A518" s="149"/>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1</v>
      </c>
      <c r="R518" s="662">
        <f t="shared" si="95"/>
        <v>0</v>
      </c>
      <c r="S518" s="315">
        <f t="shared" si="96"/>
        <v>0</v>
      </c>
    </row>
    <row r="519" spans="1:19">
      <c r="A519" s="149"/>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1</v>
      </c>
      <c r="R519" s="662">
        <f t="shared" si="95"/>
        <v>0</v>
      </c>
      <c r="S519" s="315">
        <f t="shared" si="96"/>
        <v>0</v>
      </c>
    </row>
    <row r="520" spans="1:19">
      <c r="A520" s="149"/>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1</v>
      </c>
      <c r="R520" s="662">
        <f t="shared" si="95"/>
        <v>0</v>
      </c>
      <c r="S520" s="315">
        <f t="shared" si="96"/>
        <v>0</v>
      </c>
    </row>
    <row r="521" spans="1:19">
      <c r="A521" s="149"/>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1</v>
      </c>
      <c r="R521" s="662">
        <f t="shared" si="95"/>
        <v>0</v>
      </c>
      <c r="S521" s="315">
        <f t="shared" si="96"/>
        <v>0</v>
      </c>
    </row>
    <row r="522" spans="1:19">
      <c r="A522" s="149"/>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1</v>
      </c>
      <c r="R522" s="662">
        <f t="shared" si="95"/>
        <v>0</v>
      </c>
      <c r="S522" s="315">
        <f t="shared" si="96"/>
        <v>0</v>
      </c>
    </row>
    <row r="523" spans="1:19">
      <c r="A523" s="149"/>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1</v>
      </c>
      <c r="R523" s="662">
        <f t="shared" si="95"/>
        <v>0</v>
      </c>
      <c r="S523" s="315">
        <f t="shared" si="96"/>
        <v>0</v>
      </c>
    </row>
    <row r="524" spans="1:19">
      <c r="A524" s="149"/>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1</v>
      </c>
      <c r="R524" s="662">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J66" sqref="J6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523.07650000000001</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3779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276836</v>
      </c>
      <c r="D5" s="210" t="s">
        <v>1469</v>
      </c>
      <c r="E5" s="211" t="s">
        <v>1470</v>
      </c>
      <c r="F5" s="211" t="s">
        <v>1471</v>
      </c>
      <c r="G5" s="212"/>
    </row>
    <row r="6" spans="1:8" s="213" customFormat="1" ht="13.5" customHeight="1">
      <c r="A6" s="777" t="s">
        <v>1472</v>
      </c>
      <c r="B6" s="214" t="s">
        <v>1473</v>
      </c>
      <c r="C6" s="215">
        <f>ROUND(基准地价修正!C37*基准地价修正!D37,0)</f>
        <v>0</v>
      </c>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276836</v>
      </c>
      <c r="D8" s="221"/>
      <c r="E8" s="219"/>
      <c r="F8" s="220"/>
      <c r="G8" s="1855" t="s">
        <v>3385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276836</v>
      </c>
      <c r="D10" s="844">
        <f ca="1">IF(B1="",'数据-汇总表'!E6,IF(INDIRECT("'数据-取费表'!c"&amp;$G$1)="住宅",INDIRECT("'数据-取费表'!s"&amp;$G$1),INDIRECT("'数据-取费表'!k"&amp;$G$1)+INDIRECT("'数据-取费表'!s"&amp;$G$1)))</f>
        <v>1384.1800000000003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1384.1800000000003</v>
      </c>
      <c r="E19" s="210">
        <f>'数据-取费表'!B31</f>
        <v>200</v>
      </c>
      <c r="F19" s="230"/>
      <c r="G19" s="1855" t="s">
        <v>3387</v>
      </c>
    </row>
    <row r="20" spans="1:7" s="213" customFormat="1" ht="13.5" customHeight="1">
      <c r="A20" s="254" t="s">
        <v>1574</v>
      </c>
      <c r="B20" s="209" t="s">
        <v>1575</v>
      </c>
      <c r="C20" s="231">
        <f ca="1">ROUND((C5+C19)*F20,0)</f>
        <v>5537</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9647</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9551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96</v>
      </c>
      <c r="D25" s="237"/>
      <c r="E25" s="240"/>
      <c r="F25" s="238"/>
      <c r="G25" s="241" t="s">
        <v>1588</v>
      </c>
    </row>
    <row r="26" spans="1:7" s="213" customFormat="1">
      <c r="A26" s="779"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14119</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ROUND((C5+C19+C20)*F27,0)</f>
        <v>14119</v>
      </c>
      <c r="D28" s="234"/>
      <c r="E28" s="235"/>
      <c r="F28" s="245"/>
      <c r="G28" s="246"/>
    </row>
    <row r="29" spans="1:7" s="213" customFormat="1" ht="13.5" customHeight="1">
      <c r="A29" s="779"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330497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4905534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4429376</v>
      </c>
      <c r="D34" s="216"/>
      <c r="E34" s="219"/>
      <c r="F34" s="256"/>
      <c r="G34" s="218"/>
    </row>
    <row r="35" spans="1:7" ht="13.5" customHeight="1">
      <c r="A35" s="779" t="s">
        <v>351</v>
      </c>
      <c r="B35" s="214" t="s">
        <v>1527</v>
      </c>
      <c r="C35" s="219">
        <f ca="1">ROUND(C34*F35,0)</f>
        <v>132881</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276836</v>
      </c>
      <c r="D37" s="216">
        <f ca="1">D19</f>
        <v>1384.1800000000003</v>
      </c>
      <c r="E37" s="248">
        <f>'数据-取费表'!B35</f>
        <v>200</v>
      </c>
      <c r="F37" s="258"/>
      <c r="G37" s="260"/>
    </row>
    <row r="38" spans="1:7" ht="13.5" customHeight="1">
      <c r="A38" s="779" t="s">
        <v>354</v>
      </c>
      <c r="B38" s="214" t="s">
        <v>1533</v>
      </c>
      <c r="C38" s="219">
        <f ca="1">ROUND(C34*F38,0)</f>
        <v>66441</v>
      </c>
      <c r="D38" s="219"/>
      <c r="E38" s="219"/>
      <c r="F38" s="258">
        <f>'数据-取费表'!B36</f>
        <v>1.4999999999999999E-2</v>
      </c>
      <c r="G38" s="218" t="s">
        <v>1528</v>
      </c>
    </row>
    <row r="39" spans="1:7" s="213" customFormat="1" ht="13.5" customHeight="1">
      <c r="A39" s="254" t="s">
        <v>1534</v>
      </c>
      <c r="B39" s="209" t="s">
        <v>1535</v>
      </c>
      <c r="C39" s="231">
        <f ca="1">ROUND(C33*F20,0)</f>
        <v>98111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86312</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84620</v>
      </c>
      <c r="D42" s="237"/>
      <c r="E42" s="237"/>
      <c r="F42" s="238"/>
      <c r="G42" s="3638" t="s">
        <v>1591</v>
      </c>
    </row>
    <row r="43" spans="1:7" ht="13.5" customHeight="1">
      <c r="A43" s="779" t="s">
        <v>347</v>
      </c>
      <c r="B43" s="214" t="s">
        <v>1545</v>
      </c>
      <c r="C43" s="237">
        <f ca="1">ROUND(IF('数据-取费表'!B22&lt;=1,C39*F22*'数据-取费表'!B20/2,C39*(POWER((1+F22),'数据-取费表'!B20/2)-1)),0)</f>
        <v>1692</v>
      </c>
      <c r="D43" s="237"/>
      <c r="E43" s="237"/>
      <c r="F43" s="238"/>
      <c r="G43" s="3639"/>
    </row>
    <row r="44" spans="1:7" ht="13.5" customHeight="1">
      <c r="A44" s="779" t="s">
        <v>348</v>
      </c>
      <c r="B44" s="214" t="s">
        <v>1546</v>
      </c>
      <c r="C44" s="237">
        <f ca="1">ROUND(IF('数据-取费表'!B22&lt;=1,C40*F22*'数据-取费表'!B20/2,C40*(POWER((1+F22),'数据-取费表'!B20/2)-1)),4)</f>
        <v>2.9999999999999997E-4</v>
      </c>
      <c r="D44" s="237"/>
      <c r="E44" s="237"/>
      <c r="F44" s="238"/>
      <c r="G44" s="3640"/>
    </row>
    <row r="45" spans="1:7" s="213" customFormat="1" ht="13.5" customHeight="1">
      <c r="A45" s="254" t="s">
        <v>1547</v>
      </c>
      <c r="B45" s="243" t="s">
        <v>1513</v>
      </c>
      <c r="C45" s="244">
        <f ca="1">C46</f>
        <v>250182</v>
      </c>
      <c r="D45" s="234">
        <f ca="1">C47</f>
        <v>1E-3</v>
      </c>
      <c r="E45" s="235" t="s">
        <v>1539</v>
      </c>
      <c r="F45" s="245">
        <f ca="1">F27</f>
        <v>0.05</v>
      </c>
      <c r="G45" s="246" t="s">
        <v>1548</v>
      </c>
    </row>
    <row r="46" spans="1:7" s="213" customFormat="1" ht="13.5" customHeight="1">
      <c r="A46" s="779" t="s">
        <v>346</v>
      </c>
      <c r="B46" s="247" t="s">
        <v>1549</v>
      </c>
      <c r="C46" s="248">
        <f ca="1">ROUND((C33+C39)*F27,0)</f>
        <v>250182</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5765021</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4900268</v>
      </c>
      <c r="D51" s="231"/>
      <c r="E51" s="231"/>
      <c r="F51" s="263"/>
      <c r="G51" s="233" t="s">
        <v>1560</v>
      </c>
    </row>
    <row r="52" spans="1:7" s="207" customFormat="1" ht="16.5" thickBot="1">
      <c r="A52" s="264" t="s">
        <v>1561</v>
      </c>
      <c r="B52" s="265"/>
      <c r="C52" s="266">
        <f ca="1">C31+C51</f>
        <v>5230765</v>
      </c>
      <c r="D52" s="265"/>
      <c r="E52" s="265"/>
      <c r="F52" s="265"/>
      <c r="G52" s="267"/>
    </row>
    <row r="55" spans="1:7" ht="15">
      <c r="B55" s="269" t="s">
        <v>1562</v>
      </c>
      <c r="C55" s="270"/>
    </row>
    <row r="56" spans="1:7">
      <c r="B56" s="272" t="s">
        <v>802</v>
      </c>
      <c r="C56" s="274">
        <f ca="1">1-C57</f>
        <v>6.2999999999999945E-2</v>
      </c>
    </row>
    <row r="57" spans="1:7">
      <c r="B57" s="272" t="s">
        <v>803</v>
      </c>
      <c r="C57" s="273">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1384.1800000000003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1384.1800000000003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28</v>
      </c>
      <c r="D20" s="845">
        <f ca="1">IF(C1="",'数据-汇总表'!E6,IF(INDIRECT("'数据-取费表'!c"&amp;$K$1)="住宅",INDIRECT("'数据-取费表'!s"&amp;$K$1),INDIRECT("'数据-取费表'!k"&amp;$K$1)+INDIRECT("'数据-取费表'!s"&amp;$K$1)))</f>
        <v>1384.1800000000003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38.840000000000003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828</v>
      </c>
      <c r="C2" s="1386" t="s">
        <v>805</v>
      </c>
      <c r="D2" s="1386"/>
      <c r="E2" s="1387"/>
      <c r="F2" s="1388"/>
      <c r="G2" s="2705"/>
      <c r="H2" s="2694"/>
      <c r="I2" s="2694"/>
      <c r="J2" s="2694"/>
      <c r="K2" s="2695"/>
      <c r="L2" s="2694"/>
      <c r="M2" s="2694"/>
    </row>
    <row r="3" spans="1:37" ht="18" customHeight="1" thickBot="1">
      <c r="A3" s="1389" t="s">
        <v>806</v>
      </c>
      <c r="B3" s="1390">
        <f ca="1">IF(ISERROR(B2*10000/F43),0,ROUND(B2*10000/F43,0))</f>
        <v>5982</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52</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52</v>
      </c>
      <c r="D6" s="154" t="s">
        <v>2107</v>
      </c>
      <c r="E6" s="301" t="s">
        <v>696</v>
      </c>
      <c r="F6" s="302">
        <f ca="1">INDIRECT("'数据-取费表'!u"&amp;$G$1)</f>
        <v>1.2</v>
      </c>
      <c r="G6" s="1383"/>
      <c r="H6" s="1068" t="s">
        <v>398</v>
      </c>
      <c r="I6" s="3649" t="s">
        <v>694</v>
      </c>
      <c r="J6" s="300">
        <f ca="1">ROUND(M6*M8*M7*(1-M9)/10000,0)</f>
        <v>0</v>
      </c>
      <c r="K6" s="154" t="s">
        <v>2106</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1384.1800000000003</v>
      </c>
      <c r="G7" s="1383"/>
      <c r="H7" s="303"/>
      <c r="I7" s="3650"/>
      <c r="J7" s="305"/>
      <c r="K7" s="306"/>
      <c r="L7" s="301" t="s">
        <v>697</v>
      </c>
      <c r="M7" s="302">
        <f ca="1">F7</f>
        <v>1384.1800000000003</v>
      </c>
    </row>
    <row r="8" spans="1:37" ht="18" customHeight="1">
      <c r="A8" s="303"/>
      <c r="B8" s="3650"/>
      <c r="C8" s="305"/>
      <c r="D8" s="306"/>
      <c r="E8" s="301" t="s">
        <v>698</v>
      </c>
      <c r="F8" s="302">
        <f ca="1">INDIRECT("'数据-取费表'!ai"&amp;$G$1)</f>
        <v>365</v>
      </c>
      <c r="G8" s="1383"/>
      <c r="H8" s="303"/>
      <c r="I8" s="3650"/>
      <c r="J8" s="305"/>
      <c r="K8" s="306"/>
      <c r="L8" s="301" t="s">
        <v>698</v>
      </c>
      <c r="M8" s="302">
        <f ca="1">INDIRECT("'数据-取费表'!ai"&amp;$G$1)</f>
        <v>365</v>
      </c>
    </row>
    <row r="9" spans="1:37" ht="18" customHeight="1">
      <c r="A9" s="303"/>
      <c r="B9" s="3651"/>
      <c r="C9" s="305"/>
      <c r="D9" s="306"/>
      <c r="E9" s="301" t="s">
        <v>699</v>
      </c>
      <c r="F9" s="311">
        <f ca="1">INDIRECT("'数据-取费表'!w"&amp;$G$1)</f>
        <v>0.15</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3403</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490</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443</v>
      </c>
      <c r="D14" s="1344" t="s">
        <v>708</v>
      </c>
      <c r="E14" s="1341"/>
      <c r="F14" s="318"/>
      <c r="G14" s="1383"/>
      <c r="H14" s="981" t="s">
        <v>398</v>
      </c>
      <c r="I14" s="301" t="s">
        <v>709</v>
      </c>
      <c r="J14" s="21">
        <f ca="1">C29</f>
        <v>576</v>
      </c>
      <c r="K14" s="12"/>
      <c r="L14" s="806"/>
      <c r="M14" s="807"/>
    </row>
    <row r="15" spans="1:37" s="1396" customFormat="1" ht="18" customHeight="1" thickBot="1">
      <c r="A15" s="981" t="s">
        <v>399</v>
      </c>
      <c r="B15" s="301" t="s">
        <v>710</v>
      </c>
      <c r="C15" s="21">
        <f ca="1">ROUND(C14*F15,0)</f>
        <v>13</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28</v>
      </c>
      <c r="D17" s="301" t="s">
        <v>717</v>
      </c>
      <c r="E17" s="301" t="s">
        <v>718</v>
      </c>
      <c r="F17" s="23">
        <f>'数据-取费表'!B35</f>
        <v>200</v>
      </c>
      <c r="G17" s="1395"/>
      <c r="H17" s="981" t="s">
        <v>398</v>
      </c>
      <c r="I17" s="301" t="s">
        <v>719</v>
      </c>
      <c r="J17" s="2315">
        <f ca="1">ROUND(IF(AND(项目基本情况!B11="自然人",项目基本情况!B10="北京市"),J6*M17/(1+'数据-取费表'!C42),J18+J19+J20),2)</f>
        <v>0.14000000000000001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491</v>
      </c>
      <c r="D19" s="130" t="s">
        <v>726</v>
      </c>
      <c r="E19" s="1359"/>
      <c r="F19" s="23"/>
      <c r="G19" s="1383"/>
      <c r="H19" s="981" t="s">
        <v>399</v>
      </c>
      <c r="I19" s="301" t="s">
        <v>727</v>
      </c>
      <c r="J19" s="21">
        <f ca="1">IF(K19="按租金收入计税",ROUND(J6*M19/(1+'数据-取费表'!C42),2),ROUND(C29*M19*0.7,2))</f>
        <v>0</v>
      </c>
      <c r="K19" s="1369" t="s">
        <v>3337</v>
      </c>
      <c r="L19" s="301" t="s">
        <v>712</v>
      </c>
      <c r="M19" s="321">
        <f>IF(K19="按租金收入计税",'数据-取费表'!B51,'数据-取费表'!B50)</f>
        <v>0.12</v>
      </c>
    </row>
    <row r="20" spans="1:37" s="1396" customFormat="1" ht="18" customHeight="1">
      <c r="A20" s="981" t="s">
        <v>402</v>
      </c>
      <c r="B20" s="301" t="s">
        <v>728</v>
      </c>
      <c r="C20" s="21">
        <f ca="1">ROUND(C19*F20,0)</f>
        <v>10</v>
      </c>
      <c r="D20" s="322" t="s">
        <v>729</v>
      </c>
      <c r="E20" s="301" t="s">
        <v>712</v>
      </c>
      <c r="F20" s="321">
        <f>'数据-取费表'!B37</f>
        <v>0.02</v>
      </c>
      <c r="G20" s="1395"/>
      <c r="H20" s="981" t="s">
        <v>680</v>
      </c>
      <c r="I20" s="154" t="s">
        <v>730</v>
      </c>
      <c r="J20" s="22">
        <f ca="1">ROUND(M20*M21/10000,2)</f>
        <v>0.14000000000000001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929.76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2.88</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8</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25</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576</v>
      </c>
      <c r="D29" s="1091"/>
      <c r="E29" s="1089"/>
      <c r="F29" s="1092"/>
      <c r="G29" s="1395"/>
      <c r="H29" s="333" t="s">
        <v>396</v>
      </c>
      <c r="I29" s="334" t="s">
        <v>768</v>
      </c>
      <c r="J29" s="335">
        <f ca="1">ROUND(J26/(1+F40)^F41,0)</f>
        <v>0</v>
      </c>
      <c r="K29" s="336" t="s">
        <v>769</v>
      </c>
      <c r="L29" s="337"/>
      <c r="M29" s="338">
        <f ca="1">INDIRECT("'数据-取费表'!k"&amp;$G$1)</f>
        <v>1384.1800000000003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8.8000000000000007</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2.72</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5.94</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0.14000000000000001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929.76</v>
      </c>
      <c r="G35" s="1383"/>
      <c r="H35" s="2696"/>
      <c r="I35" s="1397"/>
      <c r="J35" s="1398"/>
      <c r="K35" s="2700"/>
      <c r="L35" s="2699"/>
      <c r="M35" s="2699"/>
    </row>
    <row r="36" spans="1:18" ht="18" customHeight="1">
      <c r="A36" s="1101" t="s">
        <v>402</v>
      </c>
      <c r="B36" s="301" t="s">
        <v>738</v>
      </c>
      <c r="C36" s="21">
        <f ca="1">ROUND(C29*F36,2)</f>
        <v>2.88</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0.74</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0.26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39</v>
      </c>
      <c r="D39" s="1094" t="s">
        <v>773</v>
      </c>
      <c r="E39" s="1095"/>
      <c r="F39" s="1096"/>
      <c r="G39" s="1383"/>
      <c r="H39" s="2699"/>
      <c r="I39" s="1397"/>
      <c r="J39" s="1398"/>
      <c r="K39" s="2703"/>
      <c r="L39" s="2699"/>
      <c r="M39" s="2699"/>
    </row>
    <row r="40" spans="1:18" ht="18" customHeight="1">
      <c r="A40" s="298" t="s">
        <v>395</v>
      </c>
      <c r="B40" s="299" t="s">
        <v>774</v>
      </c>
      <c r="C40" s="300">
        <f ca="1">ROUND(C39*(1-((1+F42)/(1+F40))^F41)/(F40-F42),0)</f>
        <v>814</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38.840000000000003</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5881</v>
      </c>
      <c r="D43" s="336" t="s">
        <v>777</v>
      </c>
      <c r="E43" s="337" t="s">
        <v>778</v>
      </c>
      <c r="F43" s="338">
        <f ca="1">INDIRECT("'数据-取费表'!k"&amp;$G$1)</f>
        <v>1384.1800000000003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-878</v>
      </c>
      <c r="D46" s="1405" t="str">
        <f>C2</f>
        <v>万元</v>
      </c>
      <c r="E46" s="1399"/>
      <c r="F46" s="1399"/>
      <c r="I46" s="1406" t="s">
        <v>810</v>
      </c>
      <c r="J46" s="1407"/>
      <c r="K46" s="1408"/>
      <c r="L46" s="1409">
        <f ca="1">IF(M47="住宅",0,IF(L48&gt;J51,L60,J60))</f>
        <v>14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3396</v>
      </c>
      <c r="K47" s="1415" t="s">
        <v>816</v>
      </c>
      <c r="L47" s="1416">
        <f ca="1">INDIRECT("'数据-取费表'!d"&amp;$G$1)</f>
        <v>50</v>
      </c>
      <c r="M47" s="1379" t="str">
        <f>IF(ISNUMBER(FIND("住宅",C1)),"住宅","非住宅")</f>
        <v>非住宅</v>
      </c>
      <c r="O47" s="1417" t="s">
        <v>403</v>
      </c>
      <c r="P47" s="1418" t="s">
        <v>817</v>
      </c>
      <c r="Q47" s="1419">
        <f ca="1">C40+J29</f>
        <v>814</v>
      </c>
      <c r="R47" s="1419" t="s">
        <v>818</v>
      </c>
    </row>
    <row r="48" spans="1:18" s="1383" customFormat="1" ht="28.5" thickBot="1">
      <c r="A48" s="1109" t="s">
        <v>438</v>
      </c>
      <c r="B48" s="299" t="s">
        <v>692</v>
      </c>
      <c r="C48" s="1358">
        <f ca="1">C49+C53+C55</f>
        <v>0</v>
      </c>
      <c r="D48" s="1111"/>
      <c r="E48" s="1112"/>
      <c r="F48" s="961"/>
      <c r="G48" s="721"/>
      <c r="H48" s="722"/>
      <c r="I48" s="1420" t="s">
        <v>819</v>
      </c>
      <c r="J48" s="1421" t="s">
        <v>3397</v>
      </c>
      <c r="K48" s="1422" t="s">
        <v>820</v>
      </c>
      <c r="L48" s="1423">
        <f ca="1">INDIRECT("'数据-取费表'!f"&amp;$G$1)</f>
        <v>38.840000000000003</v>
      </c>
      <c r="O48" s="1417" t="s">
        <v>404</v>
      </c>
      <c r="P48" s="1418" t="s">
        <v>821</v>
      </c>
      <c r="Q48" s="1419">
        <f ca="1">J60</f>
        <v>14</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2015</v>
      </c>
      <c r="K49" s="1422" t="s">
        <v>824</v>
      </c>
      <c r="L49" s="1426"/>
      <c r="O49" s="1427" t="s">
        <v>405</v>
      </c>
      <c r="P49" s="1418" t="s">
        <v>825</v>
      </c>
      <c r="Q49" s="1419">
        <f ca="1">C29</f>
        <v>576</v>
      </c>
      <c r="R49" s="1419" t="s">
        <v>818</v>
      </c>
    </row>
    <row r="50" spans="1:18" s="1383" customFormat="1" ht="13.5" thickBot="1">
      <c r="A50" s="975"/>
      <c r="B50" s="978"/>
      <c r="C50" s="1117"/>
      <c r="D50" s="952"/>
      <c r="E50" s="1055" t="s">
        <v>697</v>
      </c>
      <c r="F50" s="1056">
        <f ca="1">F7</f>
        <v>1384.1800000000003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86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38.840000000000003</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f ca="1">IF(M47="住宅",IF(D1="——",MAX(J51,L48),MAX(J51,L48-'数据-取费表'!B24)),IF(D1="——",MIN(J51,L48),MIN(J51,L48-'数据-取费表'!B24)))</f>
        <v>38.840000000000003</v>
      </c>
      <c r="K53" s="3647" t="s">
        <v>837</v>
      </c>
      <c r="L53" s="3648"/>
      <c r="O53" s="1417" t="s">
        <v>409</v>
      </c>
      <c r="P53" s="1418" t="s">
        <v>838</v>
      </c>
      <c r="Q53" s="1419">
        <f ca="1">Q47+Q48</f>
        <v>828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0.20300000000000001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490</v>
      </c>
      <c r="D56" s="1446"/>
      <c r="E56" s="1447"/>
      <c r="F56" s="1439"/>
      <c r="I56" s="1448" t="s">
        <v>842</v>
      </c>
      <c r="J56" s="1449" t="s">
        <v>3398</v>
      </c>
      <c r="K56" s="1420" t="s">
        <v>843</v>
      </c>
      <c r="L56" s="1423" t="str">
        <f ca="1">IF(L48&lt;J51,"——",L48-J53)</f>
        <v>——</v>
      </c>
      <c r="O56" s="1417" t="s">
        <v>403</v>
      </c>
      <c r="P56" s="1418" t="s">
        <v>817</v>
      </c>
      <c r="Q56" s="1419">
        <f ca="1">C40+J29</f>
        <v>814</v>
      </c>
      <c r="R56" s="1419" t="s">
        <v>818</v>
      </c>
    </row>
    <row r="57" spans="1:18" s="1383" customFormat="1" ht="24.75" thickBot="1">
      <c r="A57" s="1450"/>
      <c r="B57" s="949" t="s">
        <v>767</v>
      </c>
      <c r="C57" s="237">
        <f ca="1">C29</f>
        <v>576</v>
      </c>
      <c r="D57" s="1451"/>
      <c r="E57" s="1452"/>
      <c r="F57" s="1453"/>
      <c r="I57" s="1454" t="s">
        <v>844</v>
      </c>
      <c r="J57" s="1455">
        <f ca="1">IF(OR(M47="住宅",J51&lt;L48,J56="是"),"——",J51-L48)</f>
        <v>12.159999999999997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230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0.14000000000000001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814</v>
      </c>
      <c r="R62" s="1419" t="s">
        <v>410</v>
      </c>
    </row>
    <row r="63" spans="1:18" s="1383" customFormat="1" ht="13.5" thickBot="1">
      <c r="A63" s="325"/>
      <c r="B63" s="955"/>
      <c r="C63" s="26"/>
      <c r="D63" s="965"/>
      <c r="E63" s="949" t="s">
        <v>788</v>
      </c>
      <c r="F63" s="302">
        <f t="shared" ca="1" si="0"/>
        <v>929.76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2.88</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0.74</v>
      </c>
      <c r="D65" s="963" t="s">
        <v>743</v>
      </c>
      <c r="E65" s="949" t="s">
        <v>744</v>
      </c>
      <c r="F65" s="329">
        <f t="shared" ca="1" si="0"/>
        <v>1.5E-3</v>
      </c>
      <c r="I65" s="1461" t="s">
        <v>867</v>
      </c>
      <c r="J65" s="1462">
        <v>40</v>
      </c>
      <c r="K65" s="1462">
        <v>30</v>
      </c>
      <c r="L65" s="1462">
        <v>50</v>
      </c>
      <c r="M65" s="1464">
        <v>0.02</v>
      </c>
      <c r="O65" s="1417" t="s">
        <v>403</v>
      </c>
      <c r="P65" s="1418" t="s">
        <v>868</v>
      </c>
      <c r="Q65" s="1419">
        <f ca="1">C40+J29</f>
        <v>814</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-4</v>
      </c>
      <c r="D67" s="962" t="s">
        <v>753</v>
      </c>
      <c r="E67" s="967"/>
      <c r="F67" s="968"/>
      <c r="O67" s="1427" t="s">
        <v>405</v>
      </c>
      <c r="P67" s="1418" t="s">
        <v>850</v>
      </c>
      <c r="Q67" s="1465">
        <f ca="1">L51</f>
        <v>86</v>
      </c>
      <c r="R67" s="1419" t="s">
        <v>870</v>
      </c>
    </row>
    <row r="68" spans="1:18" s="1383" customFormat="1" ht="16.5" thickBot="1">
      <c r="A68" s="946" t="s">
        <v>395</v>
      </c>
      <c r="B68" s="947" t="s">
        <v>774</v>
      </c>
      <c r="C68" s="300">
        <f ca="1">ROUND(C67*(1-((1+F70)/(1+F68))^F69)/(F68-F70),0)</f>
        <v>-64</v>
      </c>
      <c r="D68" s="964" t="s">
        <v>758</v>
      </c>
      <c r="E68" s="949" t="s">
        <v>759</v>
      </c>
      <c r="F68" s="311">
        <f ca="1">F40</f>
        <v>5.5E-2</v>
      </c>
      <c r="O68" s="1427" t="s">
        <v>406</v>
      </c>
      <c r="P68" s="1466" t="s">
        <v>871</v>
      </c>
      <c r="Q68" s="1419">
        <f ca="1">ROUND(Q69-Q70*Q71,0)</f>
        <v>5</v>
      </c>
      <c r="R68" s="1419" t="s">
        <v>414</v>
      </c>
    </row>
    <row r="69" spans="1:18" s="1383" customFormat="1" ht="13.5" thickBot="1">
      <c r="A69" s="950"/>
      <c r="B69" s="951"/>
      <c r="C69" s="305"/>
      <c r="D69" s="969" t="s">
        <v>762</v>
      </c>
      <c r="E69" s="949" t="s">
        <v>763</v>
      </c>
      <c r="F69" s="332">
        <f ca="1">F41</f>
        <v>38.840000000000003</v>
      </c>
      <c r="O69" s="1427" t="s">
        <v>411</v>
      </c>
      <c r="P69" s="1466" t="s">
        <v>872</v>
      </c>
      <c r="Q69" s="1419">
        <f ca="1">C39</f>
        <v>39</v>
      </c>
      <c r="R69" s="1419" t="s">
        <v>818</v>
      </c>
    </row>
    <row r="70" spans="1:18" s="1383" customFormat="1" ht="13.5" thickBot="1">
      <c r="A70" s="953"/>
      <c r="B70" s="954"/>
      <c r="C70" s="309"/>
      <c r="D70" s="965"/>
      <c r="E70" s="949" t="s">
        <v>766</v>
      </c>
      <c r="F70" s="1053"/>
      <c r="O70" s="1427" t="s">
        <v>412</v>
      </c>
      <c r="P70" s="1466" t="s">
        <v>873</v>
      </c>
      <c r="Q70" s="1419">
        <f ca="1">C13</f>
        <v>490</v>
      </c>
      <c r="R70" s="1419" t="s">
        <v>818</v>
      </c>
    </row>
    <row r="71" spans="1:18" s="1383" customFormat="1" ht="13.5" thickBot="1">
      <c r="A71" s="970" t="s">
        <v>396</v>
      </c>
      <c r="B71" s="971" t="s">
        <v>776</v>
      </c>
      <c r="C71" s="335">
        <f ca="1">ROUND(C68*10000/F71,0)</f>
        <v>-462</v>
      </c>
      <c r="D71" s="972" t="s">
        <v>777</v>
      </c>
      <c r="E71" s="973" t="s">
        <v>778</v>
      </c>
      <c r="F71" s="338">
        <f ca="1">F43</f>
        <v>1384.1800000000003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34</v>
      </c>
      <c r="D75" s="1383"/>
      <c r="E75" s="1383"/>
      <c r="F75" s="1383"/>
      <c r="K75" s="1401"/>
      <c r="L75" s="1383"/>
      <c r="O75" s="1417" t="s">
        <v>409</v>
      </c>
      <c r="P75" s="1418" t="s">
        <v>838</v>
      </c>
      <c r="Q75" s="1419">
        <f ca="1">Q65+Q66</f>
        <v>814</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0.128</v>
      </c>
    </row>
    <row r="80" spans="1:18">
      <c r="B80" s="339" t="s">
        <v>800</v>
      </c>
      <c r="C80" s="273">
        <f ca="1">ROUND(C75/C39,3)</f>
        <v>0.872</v>
      </c>
    </row>
    <row r="81" spans="2:3">
      <c r="B81" s="269" t="s">
        <v>801</v>
      </c>
      <c r="C81" s="237"/>
    </row>
    <row r="82" spans="2:3">
      <c r="B82" s="272" t="s">
        <v>802</v>
      </c>
      <c r="C82" s="274">
        <f ca="1">1-C83</f>
        <v>0.39800000000000002</v>
      </c>
    </row>
    <row r="83" spans="2:3">
      <c r="B83" s="272" t="s">
        <v>803</v>
      </c>
      <c r="C83" s="273">
        <f ca="1">ROUND(C13/C40,3)</f>
        <v>0.60199999999999998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5" sqref="E5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t="e">
        <f ca="1">C6+C10+C12</f>
        <v>#N/A</v>
      </c>
      <c r="D5" s="1363" t="s">
        <v>889</v>
      </c>
      <c r="E5" s="1070"/>
      <c r="F5" s="1071"/>
      <c r="G5" s="1383"/>
      <c r="H5" s="298">
        <v>1</v>
      </c>
      <c r="I5" s="299" t="s">
        <v>888</v>
      </c>
      <c r="J5" s="1069" t="e">
        <f ca="1">J6+J10+J12</f>
        <v>#N/A</v>
      </c>
      <c r="K5" s="1363" t="s">
        <v>889</v>
      </c>
      <c r="L5" s="1070"/>
      <c r="M5" s="1071"/>
    </row>
    <row r="6" spans="1:37" ht="18" customHeight="1">
      <c r="A6" s="1068" t="s">
        <v>398</v>
      </c>
      <c r="B6" s="3649" t="s">
        <v>694</v>
      </c>
      <c r="C6" s="1073" t="e">
        <f ca="1">ROUND(F6*F8*F7*(1-F9),0)</f>
        <v>#N/A</v>
      </c>
      <c r="D6" s="154" t="s">
        <v>2104</v>
      </c>
      <c r="E6" s="301" t="s">
        <v>696</v>
      </c>
      <c r="F6" s="302" t="e">
        <f ca="1">INDIRECT("'数据-取费表'!u"&amp;$G$1)</f>
        <v>#N/A</v>
      </c>
      <c r="G6" s="1383"/>
      <c r="H6" s="1068" t="s">
        <v>398</v>
      </c>
      <c r="I6" s="3649" t="s">
        <v>694</v>
      </c>
      <c r="J6" s="300" t="e">
        <f ca="1">ROUND(M6*M8*M7*(1-M9),0)</f>
        <v>#N/A</v>
      </c>
      <c r="K6" s="1375" t="s">
        <v>2105</v>
      </c>
      <c r="L6" s="301" t="s">
        <v>696</v>
      </c>
      <c r="M6" s="302" t="e">
        <f ca="1">INDIRECT("'数据-取费表'!z"&amp;$G$1)</f>
        <v>#N/A</v>
      </c>
    </row>
    <row r="7" spans="1:37" ht="18" customHeight="1">
      <c r="A7" s="1072"/>
      <c r="B7" s="3650"/>
      <c r="C7" s="1074"/>
      <c r="D7" s="306"/>
      <c r="E7" s="1075" t="s">
        <v>697</v>
      </c>
      <c r="F7" s="302" t="e">
        <f ca="1">IF(INDIRECT("'数据-取费表'!ah"&amp;$G$1)="",INDIRECT("'数据-取费表'!k"&amp;$G$1),INDIRECT("'数据-取费表'!ah"&amp;$G$1))</f>
        <v>#N/A</v>
      </c>
      <c r="G7" s="1383"/>
      <c r="H7" s="303"/>
      <c r="I7" s="3650"/>
      <c r="J7" s="305"/>
      <c r="K7" s="306"/>
      <c r="L7" s="301" t="s">
        <v>697</v>
      </c>
      <c r="M7" s="302" t="e">
        <f ca="1">F7</f>
        <v>#N/A</v>
      </c>
    </row>
    <row r="8" spans="1:37" ht="18" customHeight="1">
      <c r="A8" s="303"/>
      <c r="B8" s="3650"/>
      <c r="C8" s="305"/>
      <c r="D8" s="306"/>
      <c r="E8" s="301" t="s">
        <v>698</v>
      </c>
      <c r="F8" s="302" t="e">
        <f ca="1">INDIRECT("'数据-取费表'!ai"&amp;$G$1)</f>
        <v>#N/A</v>
      </c>
      <c r="G8" s="1383"/>
      <c r="H8" s="303"/>
      <c r="I8" s="3650"/>
      <c r="J8" s="305"/>
      <c r="K8" s="306"/>
      <c r="L8" s="301" t="s">
        <v>698</v>
      </c>
      <c r="M8" s="302" t="e">
        <f ca="1">INDIRECT("'数据-取费表'!ai"&amp;$G$1)</f>
        <v>#N/A</v>
      </c>
    </row>
    <row r="9" spans="1:37" ht="18" customHeight="1">
      <c r="A9" s="303"/>
      <c r="B9" s="3651"/>
      <c r="C9" s="305"/>
      <c r="D9" s="306"/>
      <c r="E9" s="301" t="s">
        <v>699</v>
      </c>
      <c r="F9" s="311" t="e">
        <f ca="1">INDIRECT("'数据-取费表'!w"&amp;$G$1)</f>
        <v>#N/A</v>
      </c>
      <c r="G9" s="1383"/>
      <c r="H9" s="303"/>
      <c r="I9" s="3651"/>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2114</v>
      </c>
      <c r="E10" s="312" t="s">
        <v>701</v>
      </c>
      <c r="F10" s="1115" t="s">
        <v>3403</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ROUND(INDIRECT("'数据-取费表'!l"&amp;$G$1)*F43+'数据-取费表'!L14*INDIRECT("'数据-取费表'!S"&amp;$G$1),0)</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ROUND(INDIRECT("'数据-取费表'!l"&amp;$G$1)*F43*F16,0)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ROUND(F17*(F43+INDIRECT("'数据-取费表'!S"&amp;$G$1)),0)</f>
        <v>#N/A</v>
      </c>
      <c r="D17" s="301" t="s">
        <v>717</v>
      </c>
      <c r="E17" s="301" t="s">
        <v>718</v>
      </c>
      <c r="F17" s="23">
        <f>'数据-取费表'!B35</f>
        <v>200</v>
      </c>
      <c r="G17" s="1395"/>
      <c r="H17" s="981" t="s">
        <v>398</v>
      </c>
      <c r="I17" s="301"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ROUND(J6*M18/(1+'数据-取费表'!C42),0)</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IF(K19="按租金收入计税",ROUND(J6*M19/(1+'数据-取费表'!C42),0),ROUND(C29*M19*0.7,0))</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ROUND(M20*M21,0)</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t="e">
        <f ca="1">ROUND(J14*M22,0)</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t="e">
        <f ca="1">ROUND(J13*M23,0)</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ht="18" customHeight="1">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t="e">
        <f ca="1">IF(项目基本情况!B11="自然人","——",ROUND(C6*F32/(1+'数据-取费表'!C42),0))</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IF(项目基本情况!B11="自然人","——",IF(D33="按租金收入计税",ROUND(C6*F33/(1+'数据-取费表'!C42),0),IF(D33="按房产原值计税",ROUND(C29*F33*0.7,0),INDIRECT("'数据-取费表'!Aj"&amp;$G$1))))</f>
        <v>#N/A</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IF(项目基本情况!B11="自然人","——",ROUND(F34*F35,0))</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ROUND(C29*F36,0)</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ROUND(C13*F37,0)</f>
        <v>#N/A</v>
      </c>
      <c r="D37" s="1343" t="s">
        <v>743</v>
      </c>
      <c r="E37" s="301" t="s">
        <v>744</v>
      </c>
      <c r="F37" s="329" t="e">
        <f ca="1">INDIRECT("'数据-取费表'!Al"&amp;$G$1)</f>
        <v>#N/A</v>
      </c>
      <c r="G37" s="1383"/>
      <c r="H37" s="2699" t="e">
        <f ca="1">C39/C5</f>
        <v>#N/A</v>
      </c>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3353</v>
      </c>
      <c r="B45" s="1399"/>
      <c r="C45" s="1471" t="e">
        <f ca="1">ROUND((C68-C40)/10000,4)</f>
        <v>#N/A</v>
      </c>
      <c r="D45" s="3431" t="s">
        <v>3354</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3396</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3397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51</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t="e">
        <f ca="1">IF(M47="住宅",IF(D1="——",MAX(J51,L48),MAX(J51,L48-'数据-取费表'!B24)),IF(D1="——",MIN(J51,L48),MIN(J51,L48-'数据-取费表'!B24)))</f>
        <v>#N/A</v>
      </c>
      <c r="K53" s="3647" t="s">
        <v>837</v>
      </c>
      <c r="L53" s="3648"/>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1" t="e">
        <f ca="1">C13</f>
        <v>#N/A</v>
      </c>
      <c r="D56" s="1446"/>
      <c r="E56" s="1447"/>
      <c r="F56" s="1439"/>
      <c r="I56" s="1448" t="s">
        <v>842</v>
      </c>
      <c r="J56" s="1449" t="s">
        <v>3398</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3360</v>
      </c>
      <c r="E2" s="3443"/>
      <c r="F2" s="2845"/>
      <c r="G2" s="2846"/>
      <c r="H2" s="2847"/>
      <c r="I2" s="2848"/>
      <c r="J2" s="3658" t="s">
        <v>2319</v>
      </c>
      <c r="K2" s="365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0" t="s">
        <v>2329</v>
      </c>
      <c r="K3" s="366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0" t="s">
        <v>2331</v>
      </c>
      <c r="K4" s="366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6" t="s">
        <v>2335</v>
      </c>
      <c r="B6" s="3667"/>
      <c r="C6" s="3668"/>
      <c r="D6" s="2869"/>
      <c r="E6" s="2870"/>
      <c r="F6" s="2871"/>
      <c r="G6" s="2872"/>
      <c r="H6" s="2847"/>
      <c r="I6" s="2848"/>
      <c r="J6" s="3652">
        <v>1</v>
      </c>
      <c r="K6" s="365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2"/>
      <c r="K7" s="365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9" t="s">
        <v>2349</v>
      </c>
      <c r="C8" s="3670"/>
      <c r="D8" s="2888" t="s">
        <v>2350</v>
      </c>
      <c r="E8" s="2889" t="s">
        <v>2351</v>
      </c>
      <c r="F8" s="2890" t="s">
        <v>2352</v>
      </c>
      <c r="G8" s="2891"/>
      <c r="H8" s="2847"/>
      <c r="I8" s="2848"/>
      <c r="J8" s="3652"/>
      <c r="K8" s="365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9" t="s">
        <v>2355</v>
      </c>
      <c r="C9" s="3670"/>
      <c r="D9" s="2888">
        <f>ROUND(D6*E9,0)</f>
        <v>0</v>
      </c>
      <c r="E9" s="2892"/>
      <c r="F9" s="2893" t="s">
        <v>2356</v>
      </c>
      <c r="G9" s="2872"/>
      <c r="H9" s="2847"/>
      <c r="I9" s="2848"/>
      <c r="J9" s="3652"/>
      <c r="K9" s="3654"/>
      <c r="L9" s="2882" t="s">
        <v>2357</v>
      </c>
      <c r="M9" s="2883"/>
      <c r="N9" s="2859"/>
      <c r="O9" s="2884"/>
      <c r="P9" s="2884"/>
      <c r="Q9" s="2885">
        <v>365</v>
      </c>
      <c r="R9" s="2886">
        <f t="shared" si="0"/>
        <v>0</v>
      </c>
      <c r="S9" s="2840"/>
      <c r="T9" s="2840"/>
      <c r="U9" s="2840"/>
      <c r="V9" s="2848"/>
    </row>
    <row r="10" spans="1:22" s="2852" customFormat="1" ht="13.15" customHeight="1">
      <c r="A10" s="2887">
        <v>2</v>
      </c>
      <c r="B10" s="3669" t="s">
        <v>2358</v>
      </c>
      <c r="C10" s="3670"/>
      <c r="D10" s="2888">
        <f>ROUND(D6*E10,0)</f>
        <v>0</v>
      </c>
      <c r="E10" s="2892"/>
      <c r="F10" s="2893" t="s">
        <v>2359</v>
      </c>
      <c r="G10" s="2872"/>
      <c r="H10" s="2847"/>
      <c r="I10" s="2848"/>
      <c r="J10" s="3652"/>
      <c r="K10" s="3654"/>
      <c r="L10" s="2882" t="s">
        <v>2360</v>
      </c>
      <c r="M10" s="2883"/>
      <c r="N10" s="2859"/>
      <c r="O10" s="2884"/>
      <c r="P10" s="2884"/>
      <c r="Q10" s="2885">
        <v>365</v>
      </c>
      <c r="R10" s="2886">
        <f t="shared" si="0"/>
        <v>0</v>
      </c>
      <c r="S10" s="2840"/>
      <c r="T10" s="2840"/>
      <c r="U10" s="2840"/>
      <c r="V10" s="2848"/>
    </row>
    <row r="11" spans="1:22" s="2852" customFormat="1" ht="13.15" customHeight="1">
      <c r="A11" s="2887">
        <v>3</v>
      </c>
      <c r="B11" s="3669" t="s">
        <v>2361</v>
      </c>
      <c r="C11" s="3670"/>
      <c r="D11" s="2888">
        <f>D12+D14+D15+D16</f>
        <v>0</v>
      </c>
      <c r="E11" s="2894" t="e">
        <f>D11/D6</f>
        <v>#DIV/0!</v>
      </c>
      <c r="F11" s="2890"/>
      <c r="G11" s="2891"/>
      <c r="H11" s="2847"/>
      <c r="I11" s="2848"/>
      <c r="J11" s="3652"/>
      <c r="K11" s="365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2" t="s">
        <v>2364</v>
      </c>
      <c r="C12" s="3663"/>
      <c r="D12" s="2896">
        <f>ROUND(D13*1.2%*(1-30%),0)</f>
        <v>0</v>
      </c>
      <c r="E12" s="2897">
        <v>1.2E-2</v>
      </c>
      <c r="F12" s="2890" t="s">
        <v>2365</v>
      </c>
      <c r="G12" s="2891"/>
      <c r="H12" s="2847"/>
      <c r="I12" s="2848"/>
      <c r="J12" s="3652"/>
      <c r="K12" s="365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2"/>
      <c r="K13" s="365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2" t="s">
        <v>2370</v>
      </c>
      <c r="C14" s="3663"/>
      <c r="D14" s="2896">
        <f>ROUND(E14*B5/10000,0)</f>
        <v>0</v>
      </c>
      <c r="E14" s="2885"/>
      <c r="F14" s="2890" t="s">
        <v>2371</v>
      </c>
      <c r="G14" s="2891"/>
      <c r="H14" s="2847"/>
      <c r="I14" s="2848"/>
      <c r="J14" s="3652"/>
      <c r="K14" s="365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2" t="s">
        <v>2374</v>
      </c>
      <c r="C15" s="3663"/>
      <c r="D15" s="2896">
        <f>ROUND(D6*E15,0)</f>
        <v>0</v>
      </c>
      <c r="E15" s="2897">
        <v>5.5E-2</v>
      </c>
      <c r="F15" s="2890" t="s">
        <v>2375</v>
      </c>
      <c r="G15" s="2872"/>
      <c r="H15" s="2847"/>
      <c r="I15" s="2848"/>
      <c r="J15" s="3652">
        <v>2</v>
      </c>
      <c r="K15" s="365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2" t="s">
        <v>2383</v>
      </c>
      <c r="C16" s="3663"/>
      <c r="D16" s="2907">
        <f>D6*E16</f>
        <v>0</v>
      </c>
      <c r="E16" s="2908"/>
      <c r="F16" s="2893" t="s">
        <v>2384</v>
      </c>
      <c r="G16" s="2872"/>
      <c r="H16" s="2847"/>
      <c r="I16" s="2848"/>
      <c r="J16" s="3652"/>
      <c r="K16" s="365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2386</v>
      </c>
      <c r="C17" s="3665"/>
      <c r="D17" s="2910">
        <f>ROUND(D6*E17,0)</f>
        <v>0</v>
      </c>
      <c r="E17" s="2911"/>
      <c r="F17" s="2912" t="s">
        <v>2387</v>
      </c>
      <c r="G17" s="2872"/>
      <c r="H17" s="2847"/>
      <c r="I17" s="2848"/>
      <c r="J17" s="3652"/>
      <c r="K17" s="365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2"/>
      <c r="K18" s="365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2"/>
      <c r="K19" s="365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2"/>
      <c r="K21" s="365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2"/>
      <c r="K22" s="365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2"/>
      <c r="K23" s="365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2"/>
      <c r="K24" s="365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6">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8" t="s">
        <v>2319</v>
      </c>
      <c r="K32" s="365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0" t="s">
        <v>2329</v>
      </c>
      <c r="K33" s="366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0" t="s">
        <v>2331</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2">
        <v>1</v>
      </c>
      <c r="K36" s="365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2"/>
      <c r="K40" s="365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6">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828</v>
      </c>
      <c r="C2" s="1871" t="s">
        <v>1651</v>
      </c>
      <c r="D2" s="1872" t="s">
        <v>1652</v>
      </c>
      <c r="E2" s="2606">
        <f>SUM(E6:E13)</f>
        <v>1384.1800000000003</v>
      </c>
      <c r="F2" s="2706"/>
      <c r="G2" s="1488"/>
      <c r="H2" s="1488"/>
      <c r="I2" s="1488"/>
      <c r="J2" s="1488"/>
      <c r="K2" s="1488"/>
      <c r="L2" s="1488"/>
      <c r="M2" s="1488"/>
      <c r="N2" s="1488"/>
      <c r="O2" s="1488"/>
      <c r="P2" s="1488"/>
      <c r="Q2" s="1488"/>
      <c r="R2" s="1488"/>
      <c r="S2" s="1488"/>
    </row>
    <row r="3" spans="1:22" ht="15.75">
      <c r="A3" s="1869" t="s">
        <v>686</v>
      </c>
      <c r="B3" s="2600">
        <f ca="1">ROUND(B2*10000/E2,0)</f>
        <v>5982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1" t="s">
        <v>1654</v>
      </c>
      <c r="C5" s="367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828</v>
      </c>
      <c r="C6" s="1871" t="s">
        <v>1651</v>
      </c>
      <c r="D6" s="2708"/>
      <c r="E6" s="2605">
        <f>IF(OR(A6=0,F6="否"),0,'数据-取费表'!K6+'数据-取费表'!S6)</f>
        <v>1384.1800000000003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1384.1800000000003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1" t="s">
        <v>1667</v>
      </c>
      <c r="D4" s="3692"/>
      <c r="E4" s="3693" t="s">
        <v>1668</v>
      </c>
      <c r="F4" s="3694"/>
      <c r="G4" s="3691" t="s">
        <v>1669</v>
      </c>
      <c r="H4" s="3692"/>
      <c r="I4" s="3691" t="s">
        <v>1670</v>
      </c>
      <c r="J4" s="3692"/>
      <c r="K4" s="1888" t="s">
        <v>1671</v>
      </c>
      <c r="L4" s="2714"/>
      <c r="M4" s="2715"/>
      <c r="N4" s="2715"/>
      <c r="O4" s="2715"/>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7"/>
      <c r="B5" s="358"/>
      <c r="C5" s="3710" t="s">
        <v>1673</v>
      </c>
      <c r="D5" s="3711"/>
      <c r="E5" s="3717" t="s">
        <v>1674</v>
      </c>
      <c r="F5" s="3718"/>
      <c r="G5" s="3710" t="s">
        <v>1675</v>
      </c>
      <c r="H5" s="3711"/>
      <c r="I5" s="3710" t="s">
        <v>1676</v>
      </c>
      <c r="J5" s="3711"/>
      <c r="K5" s="1889"/>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1889"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12" t="s">
        <v>1680</v>
      </c>
      <c r="Q7" s="3714"/>
      <c r="R7" s="700" t="s">
        <v>20</v>
      </c>
      <c r="S7" s="701">
        <f t="shared" ref="S7:S15" si="0">F7</f>
        <v>0</v>
      </c>
      <c r="T7" s="700" t="s">
        <v>20</v>
      </c>
      <c r="U7" s="701">
        <f t="shared" ref="U7:U15" si="1">H7</f>
        <v>0</v>
      </c>
      <c r="V7" s="700" t="s">
        <v>20</v>
      </c>
      <c r="W7" s="701">
        <f t="shared" ref="W7:W15" si="2">J7</f>
        <v>0</v>
      </c>
      <c r="X7" s="702"/>
      <c r="Y7" s="3712" t="s">
        <v>1680</v>
      </c>
      <c r="Z7" s="3713"/>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12" t="s">
        <v>1683</v>
      </c>
      <c r="Q8" s="3713"/>
      <c r="R8" s="700" t="s">
        <v>20</v>
      </c>
      <c r="S8" s="701">
        <f t="shared" si="0"/>
        <v>100</v>
      </c>
      <c r="T8" s="700" t="s">
        <v>20</v>
      </c>
      <c r="U8" s="701">
        <f t="shared" si="1"/>
        <v>100</v>
      </c>
      <c r="V8" s="700" t="s">
        <v>20</v>
      </c>
      <c r="W8" s="701">
        <f t="shared" si="2"/>
        <v>100</v>
      </c>
      <c r="X8" s="702"/>
      <c r="Y8" s="3712" t="s">
        <v>1683</v>
      </c>
      <c r="Z8" s="3713"/>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7"/>
      <c r="Q11" s="1342" t="str">
        <f t="shared" si="6"/>
        <v>容积率</v>
      </c>
      <c r="R11" s="700" t="s">
        <v>18</v>
      </c>
      <c r="S11" s="701" t="e">
        <f t="shared" si="0"/>
        <v>#N/A</v>
      </c>
      <c r="T11" s="700" t="s">
        <v>18</v>
      </c>
      <c r="U11" s="701" t="e">
        <f t="shared" si="1"/>
        <v>#N/A</v>
      </c>
      <c r="V11" s="700" t="s">
        <v>18</v>
      </c>
      <c r="W11" s="701" t="e">
        <f t="shared" si="2"/>
        <v>#N/A</v>
      </c>
      <c r="X11" s="702"/>
      <c r="Y11" s="3545"/>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7"/>
      <c r="Q12" s="1342">
        <f t="shared" si="6"/>
        <v>111</v>
      </c>
      <c r="R12" s="700" t="s">
        <v>18</v>
      </c>
      <c r="S12" s="701">
        <f t="shared" si="0"/>
        <v>100</v>
      </c>
      <c r="T12" s="700" t="s">
        <v>18</v>
      </c>
      <c r="U12" s="701">
        <f t="shared" si="1"/>
        <v>100</v>
      </c>
      <c r="V12" s="700" t="s">
        <v>18</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7"/>
      <c r="Q13" s="1342">
        <f t="shared" si="6"/>
        <v>111</v>
      </c>
      <c r="R13" s="700" t="s">
        <v>18</v>
      </c>
      <c r="S13" s="701">
        <f t="shared" si="0"/>
        <v>100</v>
      </c>
      <c r="T13" s="700" t="s">
        <v>18</v>
      </c>
      <c r="U13" s="701">
        <f t="shared" si="1"/>
        <v>100</v>
      </c>
      <c r="V13" s="700" t="s">
        <v>18</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7"/>
      <c r="Q14" s="1342">
        <f t="shared" si="6"/>
        <v>111</v>
      </c>
      <c r="R14" s="700" t="s">
        <v>18</v>
      </c>
      <c r="S14" s="701">
        <f t="shared" si="0"/>
        <v>100</v>
      </c>
      <c r="T14" s="700" t="s">
        <v>18</v>
      </c>
      <c r="U14" s="701">
        <f t="shared" si="1"/>
        <v>100</v>
      </c>
      <c r="V14" s="700" t="s">
        <v>18</v>
      </c>
      <c r="W14" s="701">
        <f t="shared" si="2"/>
        <v>100</v>
      </c>
      <c r="X14" s="702"/>
      <c r="Y14" s="354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85" t="s">
        <v>1691</v>
      </c>
      <c r="Q15" s="1351" t="str">
        <f t="shared" si="6"/>
        <v>居住社区成熟度</v>
      </c>
      <c r="R15" s="704" t="s">
        <v>18</v>
      </c>
      <c r="S15" s="705">
        <f t="shared" si="0"/>
        <v>100</v>
      </c>
      <c r="T15" s="704" t="s">
        <v>18</v>
      </c>
      <c r="U15" s="705">
        <f t="shared" si="1"/>
        <v>100</v>
      </c>
      <c r="V15" s="704" t="s">
        <v>18</v>
      </c>
      <c r="W15" s="705">
        <f t="shared" si="2"/>
        <v>100</v>
      </c>
      <c r="X15" s="1354"/>
      <c r="Y15" s="3678"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86"/>
      <c r="Q16" s="1351"/>
      <c r="R16" s="704"/>
      <c r="S16" s="705"/>
      <c r="T16" s="704"/>
      <c r="U16" s="705"/>
      <c r="V16" s="704"/>
      <c r="W16" s="705"/>
      <c r="X16" s="1354"/>
      <c r="Y16" s="367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86"/>
      <c r="Q17" s="1351" t="str">
        <f>B17</f>
        <v>交通便捷度</v>
      </c>
      <c r="R17" s="704" t="s">
        <v>18</v>
      </c>
      <c r="S17" s="705">
        <f>F17</f>
        <v>100</v>
      </c>
      <c r="T17" s="704" t="s">
        <v>18</v>
      </c>
      <c r="U17" s="705">
        <f>H17</f>
        <v>100</v>
      </c>
      <c r="V17" s="704" t="s">
        <v>18</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86"/>
      <c r="Q18" s="1351"/>
      <c r="R18" s="704"/>
      <c r="S18" s="705"/>
      <c r="T18" s="704"/>
      <c r="U18" s="705"/>
      <c r="V18" s="704"/>
      <c r="W18" s="705"/>
      <c r="X18" s="1354"/>
      <c r="Y18" s="367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86"/>
      <c r="Q19" s="1351" t="str">
        <f>B19</f>
        <v>公共配套设施</v>
      </c>
      <c r="R19" s="704" t="s">
        <v>18</v>
      </c>
      <c r="S19" s="705">
        <f>F19</f>
        <v>100</v>
      </c>
      <c r="T19" s="704" t="s">
        <v>18</v>
      </c>
      <c r="U19" s="705">
        <f>H19</f>
        <v>100</v>
      </c>
      <c r="V19" s="704" t="s">
        <v>18</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86"/>
      <c r="Q20" s="1351"/>
      <c r="R20" s="704"/>
      <c r="S20" s="705"/>
      <c r="T20" s="704"/>
      <c r="U20" s="705"/>
      <c r="V20" s="704"/>
      <c r="W20" s="705"/>
      <c r="X20" s="1354"/>
      <c r="Y20" s="367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86"/>
      <c r="Q22" s="1351"/>
      <c r="R22" s="704"/>
      <c r="S22" s="705"/>
      <c r="T22" s="704"/>
      <c r="U22" s="705"/>
      <c r="V22" s="704"/>
      <c r="W22" s="705"/>
      <c r="X22" s="1354"/>
      <c r="Y22" s="367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86"/>
      <c r="Q23" s="1351" t="str">
        <f>B23</f>
        <v>自然及人文环境</v>
      </c>
      <c r="R23" s="704" t="s">
        <v>18</v>
      </c>
      <c r="S23" s="705">
        <f>F23</f>
        <v>100</v>
      </c>
      <c r="T23" s="704" t="s">
        <v>18</v>
      </c>
      <c r="U23" s="705">
        <f>H23</f>
        <v>100</v>
      </c>
      <c r="V23" s="704" t="s">
        <v>18</v>
      </c>
      <c r="W23" s="705">
        <f>J23</f>
        <v>100</v>
      </c>
      <c r="X23" s="1354"/>
      <c r="Y23" s="367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86"/>
      <c r="Q24" s="1351"/>
      <c r="R24" s="704"/>
      <c r="S24" s="705"/>
      <c r="T24" s="704"/>
      <c r="U24" s="705"/>
      <c r="V24" s="704"/>
      <c r="W24" s="705"/>
      <c r="X24" s="1354"/>
      <c r="Y24" s="3679"/>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8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86"/>
      <c r="Q26" s="1351" t="str">
        <f t="shared" si="11"/>
        <v>朝向</v>
      </c>
      <c r="R26" s="704" t="s">
        <v>18</v>
      </c>
      <c r="S26" s="705">
        <f t="shared" si="12"/>
        <v>100</v>
      </c>
      <c r="T26" s="704" t="s">
        <v>18</v>
      </c>
      <c r="U26" s="705">
        <f t="shared" si="13"/>
        <v>100</v>
      </c>
      <c r="V26" s="704" t="s">
        <v>18</v>
      </c>
      <c r="W26" s="705">
        <f t="shared" si="14"/>
        <v>100</v>
      </c>
      <c r="X26" s="1354"/>
      <c r="Y26" s="367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86"/>
      <c r="Q27" s="1342">
        <f t="shared" si="11"/>
        <v>111</v>
      </c>
      <c r="R27" s="700" t="s">
        <v>18</v>
      </c>
      <c r="S27" s="701">
        <f t="shared" si="12"/>
        <v>100</v>
      </c>
      <c r="T27" s="700" t="s">
        <v>18</v>
      </c>
      <c r="U27" s="701">
        <f t="shared" si="13"/>
        <v>100</v>
      </c>
      <c r="V27" s="700" t="s">
        <v>18</v>
      </c>
      <c r="W27" s="701">
        <f t="shared" si="14"/>
        <v>100</v>
      </c>
      <c r="X27" s="702"/>
      <c r="Y27" s="367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86"/>
      <c r="Q28" s="1351">
        <f t="shared" si="11"/>
        <v>111</v>
      </c>
      <c r="R28" s="704" t="s">
        <v>18</v>
      </c>
      <c r="S28" s="705">
        <f t="shared" si="12"/>
        <v>100</v>
      </c>
      <c r="T28" s="704" t="s">
        <v>18</v>
      </c>
      <c r="U28" s="705">
        <f t="shared" si="13"/>
        <v>100</v>
      </c>
      <c r="V28" s="704" t="s">
        <v>18</v>
      </c>
      <c r="W28" s="705">
        <f t="shared" si="14"/>
        <v>100</v>
      </c>
      <c r="X28" s="1354"/>
      <c r="Y28" s="367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86"/>
      <c r="Q29" s="1351">
        <f t="shared" si="11"/>
        <v>111</v>
      </c>
      <c r="R29" s="704" t="s">
        <v>18</v>
      </c>
      <c r="S29" s="705">
        <f t="shared" si="12"/>
        <v>100</v>
      </c>
      <c r="T29" s="704" t="s">
        <v>18</v>
      </c>
      <c r="U29" s="705">
        <f t="shared" si="13"/>
        <v>100</v>
      </c>
      <c r="V29" s="704" t="s">
        <v>18</v>
      </c>
      <c r="W29" s="705">
        <f t="shared" si="14"/>
        <v>100</v>
      </c>
      <c r="X29" s="1354"/>
      <c r="Y29" s="367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86"/>
      <c r="Q30" s="1351">
        <f t="shared" si="11"/>
        <v>111</v>
      </c>
      <c r="R30" s="704" t="s">
        <v>18</v>
      </c>
      <c r="S30" s="705">
        <f t="shared" si="12"/>
        <v>100</v>
      </c>
      <c r="T30" s="704" t="s">
        <v>18</v>
      </c>
      <c r="U30" s="705">
        <f t="shared" si="13"/>
        <v>100</v>
      </c>
      <c r="V30" s="704" t="s">
        <v>18</v>
      </c>
      <c r="W30" s="705">
        <f t="shared" si="14"/>
        <v>100</v>
      </c>
      <c r="X30" s="1354"/>
      <c r="Y30" s="367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86"/>
      <c r="Q31" s="1351">
        <f t="shared" si="11"/>
        <v>111</v>
      </c>
      <c r="R31" s="704" t="s">
        <v>18</v>
      </c>
      <c r="S31" s="705">
        <f t="shared" si="12"/>
        <v>100</v>
      </c>
      <c r="T31" s="704" t="s">
        <v>18</v>
      </c>
      <c r="U31" s="705">
        <f t="shared" si="13"/>
        <v>100</v>
      </c>
      <c r="V31" s="704" t="s">
        <v>18</v>
      </c>
      <c r="W31" s="705">
        <f t="shared" si="14"/>
        <v>100</v>
      </c>
      <c r="X31" s="1354"/>
      <c r="Y31" s="3679"/>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0"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1"/>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1"/>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1"/>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1"/>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1"/>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1"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1"/>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1"/>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1"/>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1"/>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1"/>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1"/>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1"/>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82"/>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6" t="str">
        <f>A47</f>
        <v>成交单价（元/平方米）</v>
      </c>
      <c r="Q47" s="3676"/>
      <c r="R47" s="3677">
        <f>E47</f>
        <v>0</v>
      </c>
      <c r="S47" s="3677"/>
      <c r="T47" s="3677">
        <f>G47</f>
        <v>0</v>
      </c>
      <c r="U47" s="3677"/>
      <c r="V47" s="3677">
        <f>I47</f>
        <v>0</v>
      </c>
      <c r="W47" s="3677"/>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707"/>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707"/>
      <c r="AC6" s="3690"/>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87"/>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85" t="s">
        <v>1691</v>
      </c>
      <c r="Q15" s="1351" t="str">
        <f t="shared" si="6"/>
        <v>商业繁华度</v>
      </c>
      <c r="R15" s="704" t="s">
        <v>14</v>
      </c>
      <c r="S15" s="705">
        <f t="shared" si="0"/>
        <v>100</v>
      </c>
      <c r="T15" s="704" t="s">
        <v>14</v>
      </c>
      <c r="U15" s="705">
        <f t="shared" si="1"/>
        <v>100</v>
      </c>
      <c r="V15" s="704" t="s">
        <v>14</v>
      </c>
      <c r="W15" s="705">
        <f t="shared" si="2"/>
        <v>100</v>
      </c>
      <c r="X15" s="1354"/>
      <c r="Y15" s="3678"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86"/>
      <c r="Q16" s="1351"/>
      <c r="R16" s="704"/>
      <c r="S16" s="705"/>
      <c r="T16" s="704"/>
      <c r="U16" s="705"/>
      <c r="V16" s="704"/>
      <c r="W16" s="705"/>
      <c r="X16" s="1354"/>
      <c r="Y16" s="367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86"/>
      <c r="Q18" s="1351"/>
      <c r="R18" s="704"/>
      <c r="S18" s="705"/>
      <c r="T18" s="704"/>
      <c r="U18" s="705"/>
      <c r="V18" s="704"/>
      <c r="W18" s="705"/>
      <c r="X18" s="1354"/>
      <c r="Y18" s="3679"/>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86"/>
      <c r="Q20" s="1351"/>
      <c r="R20" s="704"/>
      <c r="S20" s="705"/>
      <c r="T20" s="704"/>
      <c r="U20" s="705"/>
      <c r="V20" s="704"/>
      <c r="W20" s="705"/>
      <c r="X20" s="1354"/>
      <c r="Y20" s="3679"/>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86"/>
      <c r="Q22" s="1351"/>
      <c r="R22" s="704"/>
      <c r="S22" s="705"/>
      <c r="T22" s="704"/>
      <c r="U22" s="705"/>
      <c r="V22" s="704"/>
      <c r="W22" s="705"/>
      <c r="X22" s="1354"/>
      <c r="Y22" s="367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86"/>
      <c r="Q23" s="1351" t="str">
        <f>B23</f>
        <v>自然及人文环境</v>
      </c>
      <c r="R23" s="704" t="s">
        <v>14</v>
      </c>
      <c r="S23" s="705">
        <f>F23</f>
        <v>100</v>
      </c>
      <c r="T23" s="704" t="s">
        <v>14</v>
      </c>
      <c r="U23" s="705">
        <f>H23</f>
        <v>100</v>
      </c>
      <c r="V23" s="704" t="s">
        <v>14</v>
      </c>
      <c r="W23" s="705">
        <f>J23</f>
        <v>100</v>
      </c>
      <c r="X23" s="1354"/>
      <c r="Y23" s="367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86"/>
      <c r="Q24" s="1351"/>
      <c r="R24" s="704"/>
      <c r="S24" s="705"/>
      <c r="T24" s="704"/>
      <c r="U24" s="705"/>
      <c r="V24" s="704"/>
      <c r="W24" s="705"/>
      <c r="X24" s="1354"/>
      <c r="Y24" s="3679"/>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86"/>
      <c r="Q25" s="1351" t="str">
        <f t="shared" ref="Q25:Q46" si="11">B25</f>
        <v>临街状况</v>
      </c>
      <c r="R25" s="704" t="s">
        <v>14</v>
      </c>
      <c r="S25" s="705">
        <f>F25</f>
        <v>100</v>
      </c>
      <c r="T25" s="704" t="s">
        <v>14</v>
      </c>
      <c r="U25" s="705">
        <f>H25</f>
        <v>100</v>
      </c>
      <c r="V25" s="704" t="s">
        <v>14</v>
      </c>
      <c r="W25" s="705">
        <f>J25</f>
        <v>100</v>
      </c>
      <c r="X25" s="1354"/>
      <c r="Y25" s="3679"/>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86"/>
      <c r="Q26" s="1351" t="str">
        <f t="shared" si="11"/>
        <v>平面位置/可视性</v>
      </c>
      <c r="R26" s="704" t="s">
        <v>14</v>
      </c>
      <c r="S26" s="705">
        <f>F26</f>
        <v>100</v>
      </c>
      <c r="T26" s="704" t="s">
        <v>14</v>
      </c>
      <c r="U26" s="705">
        <f>H26</f>
        <v>100</v>
      </c>
      <c r="V26" s="704" t="s">
        <v>14</v>
      </c>
      <c r="W26" s="705">
        <f>J26</f>
        <v>100</v>
      </c>
      <c r="X26" s="1354"/>
      <c r="Y26" s="3679"/>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86"/>
      <c r="Q27" s="1342" t="str">
        <f t="shared" si="11"/>
        <v>人流量</v>
      </c>
      <c r="R27" s="700" t="s">
        <v>14</v>
      </c>
      <c r="S27" s="701">
        <f>F27</f>
        <v>100</v>
      </c>
      <c r="T27" s="700" t="s">
        <v>14</v>
      </c>
      <c r="U27" s="701">
        <f>H27</f>
        <v>100</v>
      </c>
      <c r="V27" s="700" t="s">
        <v>14</v>
      </c>
      <c r="W27" s="701">
        <f>J27</f>
        <v>100</v>
      </c>
      <c r="X27" s="702"/>
      <c r="Y27" s="3679"/>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8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86"/>
      <c r="Q29" s="1351">
        <f t="shared" si="11"/>
        <v>111</v>
      </c>
      <c r="R29" s="704" t="s">
        <v>14</v>
      </c>
      <c r="S29" s="705">
        <f t="shared" si="12"/>
        <v>100</v>
      </c>
      <c r="T29" s="704" t="s">
        <v>14</v>
      </c>
      <c r="U29" s="705">
        <f t="shared" si="13"/>
        <v>100</v>
      </c>
      <c r="V29" s="704" t="s">
        <v>14</v>
      </c>
      <c r="W29" s="705">
        <f t="shared" si="14"/>
        <v>100</v>
      </c>
      <c r="X29" s="1354"/>
      <c r="Y29" s="367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0"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81"/>
      <c r="Q33" s="706" t="str">
        <f t="shared" si="11"/>
        <v>项目建筑规模</v>
      </c>
      <c r="R33" s="707" t="s">
        <v>14</v>
      </c>
      <c r="S33" s="708" t="e">
        <f t="shared" si="12"/>
        <v>#N/A</v>
      </c>
      <c r="T33" s="707" t="s">
        <v>14</v>
      </c>
      <c r="U33" s="708" t="e">
        <f t="shared" si="13"/>
        <v>#N/A</v>
      </c>
      <c r="V33" s="707" t="s">
        <v>14</v>
      </c>
      <c r="W33" s="708" t="e">
        <f t="shared" si="14"/>
        <v>#N/A</v>
      </c>
      <c r="X33" s="709"/>
      <c r="Y33" s="3683"/>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1"/>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1"/>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81"/>
      <c r="Q36" s="1351" t="str">
        <f t="shared" si="11"/>
        <v>成新度</v>
      </c>
      <c r="R36" s="704" t="s">
        <v>14</v>
      </c>
      <c r="S36" s="705" t="e">
        <f t="shared" si="12"/>
        <v>#N/A</v>
      </c>
      <c r="T36" s="704" t="s">
        <v>14</v>
      </c>
      <c r="U36" s="705" t="e">
        <f t="shared" si="13"/>
        <v>#N/A</v>
      </c>
      <c r="V36" s="704" t="s">
        <v>14</v>
      </c>
      <c r="W36" s="705" t="e">
        <f t="shared" si="14"/>
        <v>#N/A</v>
      </c>
      <c r="X36" s="1354"/>
      <c r="Y36" s="3683"/>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1"/>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1" t="s">
        <v>1696</v>
      </c>
      <c r="Q38" s="1351" t="str">
        <f t="shared" si="11"/>
        <v>业态</v>
      </c>
      <c r="R38" s="704" t="s">
        <v>14</v>
      </c>
      <c r="S38" s="705">
        <f t="shared" si="12"/>
        <v>100</v>
      </c>
      <c r="T38" s="704" t="s">
        <v>14</v>
      </c>
      <c r="U38" s="705">
        <f t="shared" si="13"/>
        <v>100</v>
      </c>
      <c r="V38" s="704" t="s">
        <v>14</v>
      </c>
      <c r="W38" s="705">
        <f t="shared" si="14"/>
        <v>100</v>
      </c>
      <c r="X38" s="1354"/>
      <c r="Y38" s="368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1"/>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1"/>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1"/>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1"/>
      <c r="Q42" s="1351" t="str">
        <f t="shared" si="11"/>
        <v>内部装修</v>
      </c>
      <c r="R42" s="704" t="s">
        <v>14</v>
      </c>
      <c r="S42" s="705">
        <f t="shared" si="12"/>
        <v>100</v>
      </c>
      <c r="T42" s="704" t="s">
        <v>14</v>
      </c>
      <c r="U42" s="705">
        <f t="shared" si="13"/>
        <v>100</v>
      </c>
      <c r="V42" s="704" t="s">
        <v>14</v>
      </c>
      <c r="W42" s="705">
        <f t="shared" si="14"/>
        <v>100</v>
      </c>
      <c r="X42" s="1354"/>
      <c r="Y42" s="368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1"/>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1"/>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1"/>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6" t="str">
        <f>A47</f>
        <v>成交单价（元/平方米）</v>
      </c>
      <c r="Q47" s="3676"/>
      <c r="R47" s="3707">
        <f>E47</f>
        <v>0</v>
      </c>
      <c r="S47" s="3707"/>
      <c r="T47" s="3707">
        <f>G47</f>
        <v>0</v>
      </c>
      <c r="U47" s="3707"/>
      <c r="V47" s="3707">
        <f>I47</f>
        <v>0</v>
      </c>
      <c r="W47" s="3707"/>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725" t="s">
        <v>1775</v>
      </c>
      <c r="Q4" s="3726"/>
      <c r="R4" s="3729" t="s">
        <v>1771</v>
      </c>
      <c r="S4" s="3730"/>
      <c r="T4" s="3729" t="s">
        <v>1772</v>
      </c>
      <c r="U4" s="3730"/>
      <c r="V4" s="3731" t="s">
        <v>1773</v>
      </c>
      <c r="W4" s="3731"/>
      <c r="X4" s="1957"/>
      <c r="Y4" s="3729" t="s">
        <v>1775</v>
      </c>
      <c r="Z4" s="3730"/>
      <c r="AA4" s="3733" t="s">
        <v>1771</v>
      </c>
      <c r="AB4" s="3733" t="s">
        <v>1772</v>
      </c>
      <c r="AC4" s="3722" t="s">
        <v>1773</v>
      </c>
    </row>
    <row r="5" spans="1:29" ht="15">
      <c r="A5" s="357"/>
      <c r="B5" s="358"/>
      <c r="C5" s="3710" t="s">
        <v>1673</v>
      </c>
      <c r="D5" s="3711"/>
      <c r="E5" s="3717" t="s">
        <v>1674</v>
      </c>
      <c r="F5" s="3718"/>
      <c r="G5" s="3710" t="s">
        <v>1675</v>
      </c>
      <c r="H5" s="3711"/>
      <c r="I5" s="3710" t="s">
        <v>1676</v>
      </c>
      <c r="J5" s="3711"/>
      <c r="K5" s="558"/>
      <c r="L5" s="2714"/>
      <c r="M5" s="2715"/>
      <c r="N5" s="2715"/>
      <c r="O5" s="2715"/>
      <c r="P5" s="3727"/>
      <c r="Q5" s="3698"/>
      <c r="R5" s="3703"/>
      <c r="S5" s="3704"/>
      <c r="T5" s="3703"/>
      <c r="U5" s="3704"/>
      <c r="V5" s="3707"/>
      <c r="W5" s="3707"/>
      <c r="X5" s="1354"/>
      <c r="Y5" s="3703"/>
      <c r="Z5" s="3704"/>
      <c r="AA5" s="3689"/>
      <c r="AB5" s="3689"/>
      <c r="AC5" s="3723"/>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728"/>
      <c r="Q6" s="3700"/>
      <c r="R6" s="3703"/>
      <c r="S6" s="3704"/>
      <c r="T6" s="3705"/>
      <c r="U6" s="3706"/>
      <c r="V6" s="3707"/>
      <c r="W6" s="3707"/>
      <c r="X6" s="1354"/>
      <c r="Y6" s="3705"/>
      <c r="Z6" s="3706"/>
      <c r="AA6" s="3690"/>
      <c r="AB6" s="3690"/>
      <c r="AC6" s="3724"/>
    </row>
    <row r="7" spans="1:29" s="108" customFormat="1" ht="15.75" thickBot="1">
      <c r="A7" s="361" t="s">
        <v>1679</v>
      </c>
      <c r="B7" s="362"/>
      <c r="C7" s="363">
        <f>'数据-取费表'!B2</f>
        <v>45378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2" t="s">
        <v>1683</v>
      </c>
      <c r="Q8" s="3713"/>
      <c r="R8" s="700" t="s">
        <v>14</v>
      </c>
      <c r="S8" s="701">
        <f t="shared" si="0"/>
        <v>100</v>
      </c>
      <c r="T8" s="700" t="s">
        <v>14</v>
      </c>
      <c r="U8" s="701">
        <f t="shared" si="1"/>
        <v>100</v>
      </c>
      <c r="V8" s="700" t="s">
        <v>14</v>
      </c>
      <c r="W8" s="701">
        <f t="shared" si="2"/>
        <v>100</v>
      </c>
      <c r="X8" s="702"/>
      <c r="Y8" s="3712" t="s">
        <v>1683</v>
      </c>
      <c r="Z8" s="3713"/>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7"/>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85" t="s">
        <v>1691</v>
      </c>
      <c r="Q15" s="1351" t="str">
        <f t="shared" si="6"/>
        <v>办公集聚程度</v>
      </c>
      <c r="R15" s="704" t="s">
        <v>14</v>
      </c>
      <c r="S15" s="705">
        <f t="shared" si="0"/>
        <v>100</v>
      </c>
      <c r="T15" s="704" t="s">
        <v>14</v>
      </c>
      <c r="U15" s="705">
        <f t="shared" si="1"/>
        <v>100</v>
      </c>
      <c r="V15" s="704" t="s">
        <v>14</v>
      </c>
      <c r="W15" s="705">
        <f t="shared" si="2"/>
        <v>100</v>
      </c>
      <c r="X15" s="1354"/>
      <c r="Y15" s="3678"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86"/>
      <c r="Q16" s="1351"/>
      <c r="R16" s="704"/>
      <c r="S16" s="705"/>
      <c r="T16" s="704"/>
      <c r="U16" s="705"/>
      <c r="V16" s="704"/>
      <c r="W16" s="705"/>
      <c r="X16" s="1354"/>
      <c r="Y16" s="367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86"/>
      <c r="Q18" s="1351"/>
      <c r="R18" s="704"/>
      <c r="S18" s="705"/>
      <c r="T18" s="704"/>
      <c r="U18" s="705"/>
      <c r="V18" s="704"/>
      <c r="W18" s="705"/>
      <c r="X18" s="1354"/>
      <c r="Y18" s="3679"/>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86"/>
      <c r="Q20" s="1351"/>
      <c r="R20" s="704"/>
      <c r="S20" s="705"/>
      <c r="T20" s="704"/>
      <c r="U20" s="705"/>
      <c r="V20" s="704"/>
      <c r="W20" s="705"/>
      <c r="X20" s="1354"/>
      <c r="Y20" s="3679"/>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86"/>
      <c r="Q22" s="1351"/>
      <c r="R22" s="704"/>
      <c r="S22" s="705"/>
      <c r="T22" s="704"/>
      <c r="U22" s="705"/>
      <c r="V22" s="704"/>
      <c r="W22" s="705"/>
      <c r="X22" s="1354"/>
      <c r="Y22" s="3679"/>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86"/>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86"/>
      <c r="Q24" s="1351"/>
      <c r="R24" s="704"/>
      <c r="S24" s="705"/>
      <c r="T24" s="704"/>
      <c r="U24" s="705"/>
      <c r="V24" s="704"/>
      <c r="W24" s="705"/>
      <c r="X24" s="1354"/>
      <c r="Y24" s="3679"/>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86"/>
      <c r="Q25" s="1351" t="str">
        <f>B25</f>
        <v>毗邻道路的类型与等级</v>
      </c>
      <c r="R25" s="704" t="s">
        <v>14</v>
      </c>
      <c r="S25" s="705">
        <f>F25</f>
        <v>100</v>
      </c>
      <c r="T25" s="704" t="s">
        <v>14</v>
      </c>
      <c r="U25" s="705">
        <f>H25</f>
        <v>100</v>
      </c>
      <c r="V25" s="704" t="s">
        <v>14</v>
      </c>
      <c r="W25" s="705">
        <f>J25</f>
        <v>100</v>
      </c>
      <c r="X25" s="1354"/>
      <c r="Y25" s="367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86"/>
      <c r="Q26" s="1351"/>
      <c r="R26" s="704"/>
      <c r="S26" s="705"/>
      <c r="T26" s="704"/>
      <c r="U26" s="705"/>
      <c r="V26" s="704"/>
      <c r="W26" s="705"/>
      <c r="X26" s="1354"/>
      <c r="Y26" s="3679"/>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86"/>
      <c r="Q27" s="1351" t="str">
        <f t="shared" ref="Q27:Q47" si="11">B27</f>
        <v>楼层</v>
      </c>
      <c r="R27" s="704" t="s">
        <v>14</v>
      </c>
      <c r="S27" s="705">
        <f>F27</f>
        <v>100</v>
      </c>
      <c r="T27" s="704" t="s">
        <v>14</v>
      </c>
      <c r="U27" s="705">
        <f>H27</f>
        <v>100</v>
      </c>
      <c r="V27" s="704" t="s">
        <v>14</v>
      </c>
      <c r="W27" s="705">
        <f>J27</f>
        <v>100</v>
      </c>
      <c r="X27" s="1354"/>
      <c r="Y27" s="3679"/>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86"/>
      <c r="Q28" s="1342" t="str">
        <f t="shared" si="11"/>
        <v>朝向</v>
      </c>
      <c r="R28" s="700" t="s">
        <v>14</v>
      </c>
      <c r="S28" s="701">
        <f>F28</f>
        <v>100</v>
      </c>
      <c r="T28" s="700" t="s">
        <v>14</v>
      </c>
      <c r="U28" s="701">
        <f>H28</f>
        <v>100</v>
      </c>
      <c r="V28" s="700" t="s">
        <v>14</v>
      </c>
      <c r="W28" s="701">
        <f>J28</f>
        <v>100</v>
      </c>
      <c r="X28" s="702"/>
      <c r="Y28" s="367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86"/>
      <c r="Q29" s="1351">
        <f t="shared" si="11"/>
        <v>111</v>
      </c>
      <c r="R29" s="704" t="s">
        <v>14</v>
      </c>
      <c r="S29" s="705">
        <f t="shared" ref="S29:S47" si="12">F29</f>
        <v>100</v>
      </c>
      <c r="T29" s="704" t="s">
        <v>14</v>
      </c>
      <c r="U29" s="705">
        <f t="shared" ref="U29:U47" si="13">H29</f>
        <v>100</v>
      </c>
      <c r="V29" s="704" t="s">
        <v>14</v>
      </c>
      <c r="W29" s="705">
        <f t="shared" ref="W29:W47" si="14">J29</f>
        <v>100</v>
      </c>
      <c r="X29" s="1354"/>
      <c r="Y29" s="367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86"/>
      <c r="Q32" s="1351">
        <f t="shared" si="11"/>
        <v>111</v>
      </c>
      <c r="R32" s="704" t="s">
        <v>14</v>
      </c>
      <c r="S32" s="705">
        <f t="shared" si="12"/>
        <v>100</v>
      </c>
      <c r="T32" s="704" t="s">
        <v>14</v>
      </c>
      <c r="U32" s="705">
        <f t="shared" si="13"/>
        <v>100</v>
      </c>
      <c r="V32" s="704" t="s">
        <v>14</v>
      </c>
      <c r="W32" s="705">
        <f t="shared" si="14"/>
        <v>100</v>
      </c>
      <c r="X32" s="1354"/>
      <c r="Y32" s="3679"/>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0"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1"/>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1"/>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1"/>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1"/>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1"/>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1"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1"/>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1"/>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1"/>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1"/>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1"/>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82"/>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7" t="str">
        <f>A48</f>
        <v>成交单价（元/平方米）</v>
      </c>
      <c r="Q48" s="3676"/>
      <c r="R48" s="3677">
        <f>E48</f>
        <v>0</v>
      </c>
      <c r="S48" s="3677"/>
      <c r="T48" s="3677">
        <f>G48</f>
        <v>0</v>
      </c>
      <c r="U48" s="3677"/>
      <c r="V48" s="3677">
        <f>I48</f>
        <v>0</v>
      </c>
      <c r="W48" s="3677"/>
      <c r="X48" s="396"/>
      <c r="Y48" s="711"/>
      <c r="Z48" s="396"/>
      <c r="AA48" s="396"/>
      <c r="AB48" s="396"/>
      <c r="AC48" s="577"/>
    </row>
    <row r="49" spans="1:29" ht="15.75" thickBot="1">
      <c r="A49" s="436" t="s">
        <v>1793</v>
      </c>
      <c r="B49" s="437"/>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估价对象为北京市房地产，为所有。根据《国有土地使用证》[]，估价对象（分摊）出让国有建设用地使用权面积为929.76平方米，建筑面积为1384.18平方米。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估价对象为北京市房地产,属开发建设的商业项目，该项目尚在开发建设中。根据《国有土地使用证》[]，估价对象（分摊）出让国有建设用地使用权面积为929.76平方米，规划建筑面积为1384.18平方米。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1384.1800000000003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912"/>
      <c r="M4" s="913"/>
      <c r="N4" s="913"/>
      <c r="O4" s="9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912"/>
      <c r="M5" s="913"/>
      <c r="N5" s="913"/>
      <c r="O5" s="913"/>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912"/>
      <c r="M6" s="913"/>
      <c r="N6" s="913"/>
      <c r="O6" s="913"/>
      <c r="P6" s="3699"/>
      <c r="Q6" s="3700"/>
      <c r="R6" s="3703"/>
      <c r="S6" s="3704"/>
      <c r="T6" s="3705"/>
      <c r="U6" s="3706"/>
      <c r="V6" s="3707"/>
      <c r="W6" s="3707"/>
      <c r="X6" s="1354"/>
      <c r="Y6" s="3705"/>
      <c r="Z6" s="3706"/>
      <c r="AA6" s="3690"/>
      <c r="AB6" s="3690"/>
      <c r="AC6" s="3690"/>
    </row>
    <row r="7" spans="1:29" s="108" customFormat="1" ht="15.75" thickBot="1">
      <c r="A7" s="361" t="s">
        <v>1679</v>
      </c>
      <c r="B7" s="362"/>
      <c r="C7" s="363">
        <f>'数据-取费表'!B2</f>
        <v>45378</v>
      </c>
      <c r="D7" s="364">
        <v>100</v>
      </c>
      <c r="E7" s="365"/>
      <c r="F7" s="366">
        <f>SUMIF(52:52,YEAR(E7)&amp;"-"&amp;MONTH(E7),53:53)</f>
        <v>0</v>
      </c>
      <c r="G7" s="365"/>
      <c r="H7" s="364">
        <f>SUMIF(52:52,YEAR(G7)&amp;"-"&amp;MONTH(G7),53:53)</f>
        <v>0</v>
      </c>
      <c r="I7" s="365"/>
      <c r="J7" s="364">
        <f>SUMIF(52:52,YEAR(I7)&amp;"-"&amp;MONTH(I7),53:53)</f>
        <v>0</v>
      </c>
      <c r="K7" s="559"/>
      <c r="L7" s="914"/>
      <c r="M7" s="915"/>
      <c r="N7" s="915"/>
      <c r="O7" s="915"/>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2" t="s">
        <v>1683</v>
      </c>
      <c r="Q8" s="3713"/>
      <c r="R8" s="700" t="s">
        <v>14</v>
      </c>
      <c r="S8" s="701">
        <f t="shared" si="0"/>
        <v>100</v>
      </c>
      <c r="T8" s="700" t="s">
        <v>14</v>
      </c>
      <c r="U8" s="701">
        <f t="shared" si="1"/>
        <v>100</v>
      </c>
      <c r="V8" s="700" t="s">
        <v>14</v>
      </c>
      <c r="W8" s="701">
        <f t="shared" si="2"/>
        <v>100</v>
      </c>
      <c r="X8" s="702"/>
      <c r="Y8" s="3712" t="s">
        <v>1683</v>
      </c>
      <c r="Z8" s="3713"/>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76"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6"/>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6"/>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6"/>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6"/>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6"/>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79"/>
      <c r="Q16" s="1351"/>
      <c r="R16" s="704"/>
      <c r="S16" s="705"/>
      <c r="T16" s="704"/>
      <c r="U16" s="705"/>
      <c r="V16" s="704"/>
      <c r="W16" s="705"/>
      <c r="X16" s="1354"/>
      <c r="Y16" s="3679"/>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79"/>
      <c r="Q18" s="1351"/>
      <c r="R18" s="704"/>
      <c r="S18" s="705"/>
      <c r="T18" s="704"/>
      <c r="U18" s="705"/>
      <c r="V18" s="704"/>
      <c r="W18" s="705"/>
      <c r="X18" s="1354"/>
      <c r="Y18" s="3679"/>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79"/>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79"/>
      <c r="Q20" s="1351"/>
      <c r="R20" s="704"/>
      <c r="S20" s="705"/>
      <c r="T20" s="704"/>
      <c r="U20" s="705"/>
      <c r="V20" s="704"/>
      <c r="W20" s="705"/>
      <c r="X20" s="1354"/>
      <c r="Y20" s="3679"/>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79"/>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79"/>
      <c r="Q22" s="1351"/>
      <c r="R22" s="704"/>
      <c r="S22" s="705"/>
      <c r="T22" s="704"/>
      <c r="U22" s="705"/>
      <c r="V22" s="704"/>
      <c r="W22" s="705"/>
      <c r="X22" s="1354"/>
      <c r="Y22" s="3679"/>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79"/>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79"/>
      <c r="Q24" s="1351"/>
      <c r="R24" s="704"/>
      <c r="S24" s="705"/>
      <c r="T24" s="704"/>
      <c r="U24" s="705"/>
      <c r="V24" s="704"/>
      <c r="W24" s="705"/>
      <c r="X24" s="1354"/>
      <c r="Y24" s="367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79"/>
      <c r="Q25" s="1351">
        <f>B25</f>
        <v>111</v>
      </c>
      <c r="R25" s="704" t="s">
        <v>14</v>
      </c>
      <c r="S25" s="705">
        <f>F25</f>
        <v>100</v>
      </c>
      <c r="T25" s="704" t="s">
        <v>14</v>
      </c>
      <c r="U25" s="705">
        <f>H25</f>
        <v>100</v>
      </c>
      <c r="V25" s="704" t="s">
        <v>14</v>
      </c>
      <c r="W25" s="705">
        <f>J25</f>
        <v>100</v>
      </c>
      <c r="X25" s="1354"/>
      <c r="Y25" s="367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79"/>
      <c r="Q26" s="1351">
        <f t="shared" ref="Q26:Q40" si="11">B26</f>
        <v>111</v>
      </c>
      <c r="R26" s="704" t="s">
        <v>14</v>
      </c>
      <c r="S26" s="705">
        <f>F26</f>
        <v>100</v>
      </c>
      <c r="T26" s="704" t="s">
        <v>14</v>
      </c>
      <c r="U26" s="705">
        <f>H26</f>
        <v>100</v>
      </c>
      <c r="V26" s="704" t="s">
        <v>14</v>
      </c>
      <c r="W26" s="705">
        <f>J26</f>
        <v>100</v>
      </c>
      <c r="X26" s="1354"/>
      <c r="Y26" s="367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79"/>
      <c r="Q27" s="1342">
        <f t="shared" si="11"/>
        <v>111</v>
      </c>
      <c r="R27" s="700" t="s">
        <v>14</v>
      </c>
      <c r="S27" s="701">
        <f>F27</f>
        <v>100</v>
      </c>
      <c r="T27" s="700" t="s">
        <v>14</v>
      </c>
      <c r="U27" s="701">
        <f>H27</f>
        <v>100</v>
      </c>
      <c r="V27" s="700" t="s">
        <v>14</v>
      </c>
      <c r="W27" s="701">
        <f>J27</f>
        <v>100</v>
      </c>
      <c r="X27" s="702"/>
      <c r="Y27" s="367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79"/>
      <c r="Q28" s="1351">
        <f t="shared" si="11"/>
        <v>111</v>
      </c>
      <c r="R28" s="704" t="s">
        <v>14</v>
      </c>
      <c r="S28" s="705">
        <f t="shared" ref="S28:S40" si="12">F28</f>
        <v>100</v>
      </c>
      <c r="T28" s="704" t="s">
        <v>14</v>
      </c>
      <c r="U28" s="705">
        <f t="shared" ref="U28:U40" si="13">H28</f>
        <v>100</v>
      </c>
      <c r="V28" s="704" t="s">
        <v>14</v>
      </c>
      <c r="W28" s="705">
        <f t="shared" ref="W28:W40" si="14">J28</f>
        <v>100</v>
      </c>
      <c r="X28" s="1354"/>
      <c r="Y28" s="3679"/>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83"/>
      <c r="Q30" s="706" t="str">
        <f t="shared" si="11"/>
        <v>项目建筑规模</v>
      </c>
      <c r="R30" s="707" t="s">
        <v>14</v>
      </c>
      <c r="S30" s="708" t="e">
        <f t="shared" si="12"/>
        <v>#N/A</v>
      </c>
      <c r="T30" s="707" t="s">
        <v>14</v>
      </c>
      <c r="U30" s="708" t="e">
        <f t="shared" si="13"/>
        <v>#N/A</v>
      </c>
      <c r="V30" s="707" t="s">
        <v>14</v>
      </c>
      <c r="W30" s="708" t="e">
        <f t="shared" si="14"/>
        <v>#N/A</v>
      </c>
      <c r="X30" s="709"/>
      <c r="Y30" s="3683"/>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83"/>
      <c r="Q33" s="1351" t="str">
        <f t="shared" si="11"/>
        <v>成新度</v>
      </c>
      <c r="R33" s="704" t="s">
        <v>14</v>
      </c>
      <c r="S33" s="705" t="e">
        <f t="shared" si="12"/>
        <v>#N/A</v>
      </c>
      <c r="T33" s="704" t="s">
        <v>14</v>
      </c>
      <c r="U33" s="705" t="e">
        <f t="shared" si="13"/>
        <v>#N/A</v>
      </c>
      <c r="V33" s="704" t="s">
        <v>14</v>
      </c>
      <c r="W33" s="705" t="e">
        <f t="shared" si="14"/>
        <v>#N/A</v>
      </c>
      <c r="X33" s="1354"/>
      <c r="Y33" s="3683"/>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83"/>
      <c r="Q38" s="706">
        <f t="shared" si="11"/>
        <v>111</v>
      </c>
      <c r="R38" s="707" t="s">
        <v>14</v>
      </c>
      <c r="S38" s="708">
        <f t="shared" si="12"/>
        <v>100</v>
      </c>
      <c r="T38" s="707" t="s">
        <v>14</v>
      </c>
      <c r="U38" s="708">
        <f t="shared" si="13"/>
        <v>100</v>
      </c>
      <c r="V38" s="707" t="s">
        <v>14</v>
      </c>
      <c r="W38" s="708">
        <f t="shared" si="14"/>
        <v>100</v>
      </c>
      <c r="X38" s="709"/>
      <c r="Y38" s="368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76" t="str">
        <f>A41</f>
        <v>成交单价（元/平方米）</v>
      </c>
      <c r="Q41" s="3676"/>
      <c r="R41" s="3677">
        <f>E41</f>
        <v>0</v>
      </c>
      <c r="S41" s="3677"/>
      <c r="T41" s="3677">
        <f>G41</f>
        <v>0</v>
      </c>
      <c r="U41" s="3677"/>
      <c r="V41" s="3677">
        <f>I41</f>
        <v>0</v>
      </c>
      <c r="W41" s="3677"/>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1" t="s">
        <v>1679</v>
      </c>
      <c r="B7" s="362"/>
      <c r="C7" s="363">
        <f>'数据-取费表'!B2</f>
        <v>45378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6"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6"/>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6"/>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6"/>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6"/>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79"/>
      <c r="Q15" s="1351"/>
      <c r="R15" s="704"/>
      <c r="S15" s="705"/>
      <c r="T15" s="704"/>
      <c r="U15" s="705"/>
      <c r="V15" s="704"/>
      <c r="W15" s="705"/>
      <c r="X15" s="1354"/>
      <c r="Y15" s="3679"/>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79"/>
      <c r="Q17" s="1351"/>
      <c r="R17" s="704"/>
      <c r="S17" s="705"/>
      <c r="T17" s="704"/>
      <c r="U17" s="705"/>
      <c r="V17" s="704"/>
      <c r="W17" s="705"/>
      <c r="X17" s="1354"/>
      <c r="Y17" s="3679"/>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79"/>
      <c r="Q19" s="1351"/>
      <c r="R19" s="704"/>
      <c r="S19" s="705"/>
      <c r="T19" s="704"/>
      <c r="U19" s="705"/>
      <c r="V19" s="704"/>
      <c r="W19" s="705"/>
      <c r="X19" s="1354"/>
      <c r="Y19" s="3679"/>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79"/>
      <c r="Q21" s="1351"/>
      <c r="R21" s="704"/>
      <c r="S21" s="705"/>
      <c r="T21" s="704"/>
      <c r="U21" s="705"/>
      <c r="V21" s="704"/>
      <c r="W21" s="705"/>
      <c r="X21" s="1354"/>
      <c r="Y21" s="3679"/>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79"/>
      <c r="Q24" s="1351">
        <f t="shared" ref="Q24:Q36"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3"/>
      <c r="M37" s="2724"/>
      <c r="N37" s="2715"/>
      <c r="O37" s="2724"/>
      <c r="P37" s="3676" t="str">
        <f>A37</f>
        <v>成交单价</v>
      </c>
      <c r="Q37" s="3676"/>
      <c r="R37" s="3677">
        <f>E37</f>
        <v>0</v>
      </c>
      <c r="S37" s="3677"/>
      <c r="T37" s="3677">
        <f>G37</f>
        <v>0</v>
      </c>
      <c r="U37" s="3677"/>
      <c r="V37" s="3677">
        <f>I37</f>
        <v>0</v>
      </c>
      <c r="W37" s="3677"/>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73" t="str">
        <f>A39</f>
        <v>估价对象XX用房的比较价值（楼面单价，元/平方米）</v>
      </c>
      <c r="Q39" s="3674"/>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1" t="s">
        <v>1679</v>
      </c>
      <c r="B7" s="362"/>
      <c r="C7" s="363">
        <f>'数据-取费表'!B2</f>
        <v>45378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6"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6"/>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6"/>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79"/>
      <c r="Q15" s="1351"/>
      <c r="R15" s="704"/>
      <c r="S15" s="705"/>
      <c r="T15" s="704"/>
      <c r="U15" s="705"/>
      <c r="V15" s="704"/>
      <c r="W15" s="705"/>
      <c r="X15" s="1354"/>
      <c r="Y15" s="3679"/>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79"/>
      <c r="Q17" s="1351"/>
      <c r="R17" s="704"/>
      <c r="S17" s="705"/>
      <c r="T17" s="704"/>
      <c r="U17" s="705"/>
      <c r="V17" s="704"/>
      <c r="W17" s="705"/>
      <c r="X17" s="1354"/>
      <c r="Y17" s="3679"/>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79"/>
      <c r="Q19" s="1351"/>
      <c r="R19" s="704"/>
      <c r="S19" s="705"/>
      <c r="T19" s="704"/>
      <c r="U19" s="705"/>
      <c r="V19" s="704"/>
      <c r="W19" s="705"/>
      <c r="X19" s="1354"/>
      <c r="Y19" s="3679"/>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79"/>
      <c r="Q21" s="1351"/>
      <c r="R21" s="704"/>
      <c r="S21" s="705"/>
      <c r="T21" s="704"/>
      <c r="U21" s="705"/>
      <c r="V21" s="704"/>
      <c r="W21" s="705"/>
      <c r="X21" s="1354"/>
      <c r="Y21" s="3679"/>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79"/>
      <c r="Q24" s="1351">
        <f t="shared" ref="Q24:Q34"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6" t="str">
        <f>A35</f>
        <v>成交单价（元/平方米）</v>
      </c>
      <c r="Q35" s="3676"/>
      <c r="R35" s="3677">
        <f>E35</f>
        <v>0</v>
      </c>
      <c r="S35" s="3677"/>
      <c r="T35" s="3677">
        <f>G35</f>
        <v>0</v>
      </c>
      <c r="U35" s="3677"/>
      <c r="V35" s="3677">
        <f>I35</f>
        <v>0</v>
      </c>
      <c r="W35" s="3677"/>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73" t="str">
        <f>A37</f>
        <v>估价对象XX用房的比较价值（楼面单价，元/平方米）</v>
      </c>
      <c r="Q37" s="3674"/>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30"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30" s="108" customFormat="1" ht="15.75" thickBot="1">
      <c r="A7" s="361" t="s">
        <v>1679</v>
      </c>
      <c r="B7" s="362"/>
      <c r="C7" s="363">
        <f>'数据-取费表'!B2</f>
        <v>45378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12" t="s">
        <v>1683</v>
      </c>
      <c r="Q8" s="3713"/>
      <c r="R8" s="700" t="s">
        <v>14</v>
      </c>
      <c r="S8" s="701">
        <f t="shared" si="0"/>
        <v>0</v>
      </c>
      <c r="T8" s="700" t="s">
        <v>14</v>
      </c>
      <c r="U8" s="701">
        <f t="shared" si="1"/>
        <v>0</v>
      </c>
      <c r="V8" s="700" t="s">
        <v>14</v>
      </c>
      <c r="W8" s="701">
        <f t="shared" si="2"/>
        <v>0</v>
      </c>
      <c r="X8" s="702"/>
      <c r="Y8" s="3712" t="s">
        <v>1683</v>
      </c>
      <c r="Z8" s="3713"/>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8"/>
      <c r="M10" s="2719"/>
      <c r="N10" s="2719"/>
      <c r="O10" s="2772"/>
      <c r="P10" s="3676"/>
      <c r="Q10" s="1342" t="str">
        <f t="shared" si="6"/>
        <v>土地使用年限（年）</v>
      </c>
      <c r="R10" s="700" t="s">
        <v>14</v>
      </c>
      <c r="S10" s="701">
        <f t="shared" si="0"/>
        <v>107</v>
      </c>
      <c r="T10" s="700" t="s">
        <v>14</v>
      </c>
      <c r="U10" s="701">
        <f t="shared" si="1"/>
        <v>107</v>
      </c>
      <c r="V10" s="700" t="s">
        <v>14</v>
      </c>
      <c r="W10" s="701">
        <f t="shared" si="2"/>
        <v>107</v>
      </c>
      <c r="X10" s="702"/>
      <c r="Y10" s="3545"/>
      <c r="Z10" s="52" t="str">
        <f t="shared" si="7"/>
        <v>土地使用年限（年）</v>
      </c>
      <c r="AA10" s="703">
        <f t="shared" si="3"/>
        <v>0.93457943925233644</v>
      </c>
      <c r="AB10" s="703">
        <f t="shared" si="4"/>
        <v>0.93457943925233644</v>
      </c>
      <c r="AC10" s="703">
        <f t="shared" si="5"/>
        <v>0.93457943925233644</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6"/>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6"/>
      <c r="Q12" s="1342" t="str">
        <f t="shared" si="6"/>
        <v>配建</v>
      </c>
      <c r="R12" s="700" t="s">
        <v>14</v>
      </c>
      <c r="S12" s="701">
        <f t="shared" si="0"/>
        <v>100</v>
      </c>
      <c r="T12" s="700" t="s">
        <v>14</v>
      </c>
      <c r="U12" s="701">
        <f t="shared" si="1"/>
        <v>100</v>
      </c>
      <c r="V12" s="700" t="s">
        <v>14</v>
      </c>
      <c r="W12" s="701">
        <f t="shared" si="2"/>
        <v>100</v>
      </c>
      <c r="X12" s="702"/>
      <c r="Y12" s="354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4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54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78" t="s">
        <v>1691</v>
      </c>
      <c r="Q15" s="1351" t="str">
        <f t="shared" si="6"/>
        <v>居住社区成熟度</v>
      </c>
      <c r="R15" s="704" t="s">
        <v>14</v>
      </c>
      <c r="S15" s="705">
        <f t="shared" si="0"/>
        <v>100</v>
      </c>
      <c r="T15" s="704" t="s">
        <v>14</v>
      </c>
      <c r="U15" s="705">
        <f t="shared" si="1"/>
        <v>100</v>
      </c>
      <c r="V15" s="704" t="s">
        <v>14</v>
      </c>
      <c r="W15" s="705">
        <f t="shared" si="2"/>
        <v>100</v>
      </c>
      <c r="X15" s="1354"/>
      <c r="Y15" s="3678"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79"/>
      <c r="Q16" s="1351"/>
      <c r="R16" s="704"/>
      <c r="S16" s="705"/>
      <c r="T16" s="704"/>
      <c r="U16" s="705"/>
      <c r="V16" s="704"/>
      <c r="W16" s="705"/>
      <c r="X16" s="1354"/>
      <c r="Y16" s="3679"/>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79"/>
      <c r="Q17" s="1351" t="str">
        <f>B17</f>
        <v>商业繁华度</v>
      </c>
      <c r="R17" s="704" t="s">
        <v>14</v>
      </c>
      <c r="S17" s="705">
        <f>F17</f>
        <v>100</v>
      </c>
      <c r="T17" s="704" t="s">
        <v>14</v>
      </c>
      <c r="U17" s="705">
        <f>H17</f>
        <v>100</v>
      </c>
      <c r="V17" s="704" t="s">
        <v>14</v>
      </c>
      <c r="W17" s="705">
        <f>J17</f>
        <v>100</v>
      </c>
      <c r="X17" s="1354"/>
      <c r="Y17" s="367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79"/>
      <c r="Q18" s="1351"/>
      <c r="R18" s="704"/>
      <c r="S18" s="705"/>
      <c r="T18" s="704"/>
      <c r="U18" s="705"/>
      <c r="V18" s="704"/>
      <c r="W18" s="705"/>
      <c r="X18" s="1354"/>
      <c r="Y18" s="3679"/>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79"/>
      <c r="Q19" s="1351" t="str">
        <f>B19</f>
        <v>办公集聚程度</v>
      </c>
      <c r="R19" s="704" t="s">
        <v>14</v>
      </c>
      <c r="S19" s="705">
        <f>F19</f>
        <v>100</v>
      </c>
      <c r="T19" s="704" t="s">
        <v>14</v>
      </c>
      <c r="U19" s="705">
        <f>H19</f>
        <v>100</v>
      </c>
      <c r="V19" s="704" t="s">
        <v>14</v>
      </c>
      <c r="W19" s="705">
        <f>J19</f>
        <v>100</v>
      </c>
      <c r="X19" s="1354"/>
      <c r="Y19" s="367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79"/>
      <c r="Q20" s="1351"/>
      <c r="R20" s="704"/>
      <c r="S20" s="705"/>
      <c r="T20" s="704"/>
      <c r="U20" s="705"/>
      <c r="V20" s="704"/>
      <c r="W20" s="705"/>
      <c r="X20" s="1354"/>
      <c r="Y20" s="3679"/>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79"/>
      <c r="Q21" s="1351" t="str">
        <f>B21</f>
        <v>交通便捷度</v>
      </c>
      <c r="R21" s="704" t="s">
        <v>14</v>
      </c>
      <c r="S21" s="705">
        <f>F21</f>
        <v>100</v>
      </c>
      <c r="T21" s="704" t="s">
        <v>14</v>
      </c>
      <c r="U21" s="705">
        <f>H21</f>
        <v>100</v>
      </c>
      <c r="V21" s="704" t="s">
        <v>14</v>
      </c>
      <c r="W21" s="705">
        <f>J21</f>
        <v>100</v>
      </c>
      <c r="X21" s="1354"/>
      <c r="Y21" s="367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79"/>
      <c r="Q22" s="1351"/>
      <c r="R22" s="704"/>
      <c r="S22" s="705"/>
      <c r="T22" s="704"/>
      <c r="U22" s="705"/>
      <c r="V22" s="704"/>
      <c r="W22" s="705"/>
      <c r="X22" s="1354"/>
      <c r="Y22" s="3679"/>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79"/>
      <c r="Q23" s="1351" t="str">
        <f t="shared" ref="Q23:Q37" si="8">B23</f>
        <v>区域土地利用方向</v>
      </c>
      <c r="R23" s="704" t="s">
        <v>14</v>
      </c>
      <c r="S23" s="705">
        <f>F23</f>
        <v>100</v>
      </c>
      <c r="T23" s="704" t="s">
        <v>14</v>
      </c>
      <c r="U23" s="705">
        <f>H23</f>
        <v>100</v>
      </c>
      <c r="V23" s="704" t="s">
        <v>14</v>
      </c>
      <c r="W23" s="705">
        <f>J23</f>
        <v>100</v>
      </c>
      <c r="X23" s="1354"/>
      <c r="Y23" s="367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79"/>
      <c r="Q24" s="1351"/>
      <c r="R24" s="704"/>
      <c r="S24" s="705"/>
      <c r="T24" s="704"/>
      <c r="U24" s="705"/>
      <c r="V24" s="704"/>
      <c r="W24" s="705"/>
      <c r="X24" s="1354"/>
      <c r="Y24" s="3679"/>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79"/>
      <c r="Q25" s="1351" t="str">
        <f t="shared" si="8"/>
        <v>自然及人文环境状况</v>
      </c>
      <c r="R25" s="704" t="s">
        <v>14</v>
      </c>
      <c r="S25" s="705">
        <f>F25</f>
        <v>100</v>
      </c>
      <c r="T25" s="704" t="s">
        <v>14</v>
      </c>
      <c r="U25" s="705">
        <f>H25</f>
        <v>100</v>
      </c>
      <c r="V25" s="704" t="s">
        <v>14</v>
      </c>
      <c r="W25" s="705">
        <f>J25</f>
        <v>100</v>
      </c>
      <c r="X25" s="1354"/>
      <c r="Y25" s="367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79"/>
      <c r="Q26" s="1351"/>
      <c r="R26" s="704"/>
      <c r="S26" s="705"/>
      <c r="T26" s="704"/>
      <c r="U26" s="705"/>
      <c r="V26" s="704"/>
      <c r="W26" s="705"/>
      <c r="X26" s="1354"/>
      <c r="Y26" s="3679"/>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79"/>
      <c r="Q27" s="1342" t="str">
        <f t="shared" si="8"/>
        <v>公共配套设施</v>
      </c>
      <c r="R27" s="700" t="s">
        <v>14</v>
      </c>
      <c r="S27" s="701">
        <f>F27</f>
        <v>100</v>
      </c>
      <c r="T27" s="700" t="s">
        <v>14</v>
      </c>
      <c r="U27" s="701">
        <f>H27</f>
        <v>100</v>
      </c>
      <c r="V27" s="700" t="s">
        <v>14</v>
      </c>
      <c r="W27" s="701">
        <f>J27</f>
        <v>100</v>
      </c>
      <c r="X27" s="702"/>
      <c r="Y27" s="367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79"/>
      <c r="Q28" s="1342"/>
      <c r="R28" s="700"/>
      <c r="S28" s="701"/>
      <c r="T28" s="700"/>
      <c r="U28" s="701"/>
      <c r="V28" s="700"/>
      <c r="W28" s="701"/>
      <c r="X28" s="702"/>
      <c r="Y28" s="3679"/>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79"/>
      <c r="Q29" s="1342" t="str">
        <f t="shared" ref="Q29" si="9">B29</f>
        <v>基础设施水平</v>
      </c>
      <c r="R29" s="700" t="s">
        <v>14</v>
      </c>
      <c r="S29" s="701">
        <f>F29</f>
        <v>100</v>
      </c>
      <c r="T29" s="700" t="s">
        <v>14</v>
      </c>
      <c r="U29" s="701">
        <f>H29</f>
        <v>100</v>
      </c>
      <c r="V29" s="700" t="s">
        <v>14</v>
      </c>
      <c r="W29" s="701">
        <f>J29</f>
        <v>100</v>
      </c>
      <c r="X29" s="702"/>
      <c r="Y29" s="367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79"/>
      <c r="Q30" s="1342"/>
      <c r="R30" s="700"/>
      <c r="S30" s="701"/>
      <c r="T30" s="700"/>
      <c r="U30" s="701"/>
      <c r="V30" s="700"/>
      <c r="W30" s="701"/>
      <c r="X30" s="702"/>
      <c r="Y30" s="3679"/>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7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9"/>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79"/>
      <c r="Q32" s="1351" t="str">
        <f t="shared" si="8"/>
        <v>毗邻道路的类型与等级</v>
      </c>
      <c r="R32" s="704" t="s">
        <v>14</v>
      </c>
      <c r="S32" s="705">
        <f t="shared" si="10"/>
        <v>100</v>
      </c>
      <c r="T32" s="704" t="s">
        <v>14</v>
      </c>
      <c r="U32" s="705">
        <f t="shared" si="11"/>
        <v>100</v>
      </c>
      <c r="V32" s="704" t="s">
        <v>14</v>
      </c>
      <c r="W32" s="705">
        <f t="shared" si="12"/>
        <v>100</v>
      </c>
      <c r="X32" s="1354"/>
      <c r="Y32" s="367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79"/>
      <c r="Q33" s="1351"/>
      <c r="R33" s="704"/>
      <c r="S33" s="705"/>
      <c r="T33" s="704"/>
      <c r="U33" s="705"/>
      <c r="V33" s="704"/>
      <c r="W33" s="705"/>
      <c r="X33" s="1354"/>
      <c r="Y33" s="3679"/>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79"/>
      <c r="Q34" s="1351" t="str">
        <f t="shared" si="8"/>
        <v>土地级别</v>
      </c>
      <c r="R34" s="704" t="s">
        <v>14</v>
      </c>
      <c r="S34" s="705">
        <f t="shared" si="10"/>
        <v>100</v>
      </c>
      <c r="T34" s="704" t="s">
        <v>14</v>
      </c>
      <c r="U34" s="705">
        <f t="shared" si="11"/>
        <v>100</v>
      </c>
      <c r="V34" s="704" t="s">
        <v>14</v>
      </c>
      <c r="W34" s="705">
        <f t="shared" si="12"/>
        <v>100</v>
      </c>
      <c r="X34" s="1354"/>
      <c r="Y34" s="367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79"/>
      <c r="Q35" s="1351">
        <f t="shared" si="8"/>
        <v>111</v>
      </c>
      <c r="R35" s="704" t="s">
        <v>14</v>
      </c>
      <c r="S35" s="705">
        <f t="shared" si="10"/>
        <v>100</v>
      </c>
      <c r="T35" s="704" t="s">
        <v>14</v>
      </c>
      <c r="U35" s="705">
        <f t="shared" si="11"/>
        <v>100</v>
      </c>
      <c r="V35" s="704" t="s">
        <v>14</v>
      </c>
      <c r="W35" s="705">
        <f t="shared" si="12"/>
        <v>100</v>
      </c>
      <c r="X35" s="1354"/>
      <c r="Y35" s="367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4"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6" t="str">
        <f>A46</f>
        <v>成交单价</v>
      </c>
      <c r="Q46" s="3676"/>
      <c r="R46" s="3707">
        <f>E46</f>
        <v>0</v>
      </c>
      <c r="S46" s="3707"/>
      <c r="T46" s="3707">
        <f>G46</f>
        <v>0</v>
      </c>
      <c r="U46" s="3707"/>
      <c r="V46" s="3707">
        <f>I46</f>
        <v>0</v>
      </c>
      <c r="W46" s="3707"/>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676" t="str">
        <f>A47</f>
        <v>比较价值（元/平方米）</v>
      </c>
      <c r="Q47" s="3676"/>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73" t="str">
        <f>A48</f>
        <v>估价对象XX用房的比较价值（楼面单价，元/平方米）</v>
      </c>
      <c r="Q48" s="3674"/>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1" t="s">
        <v>1887</v>
      </c>
      <c r="H55" s="3738"/>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1124.3000000000002</v>
      </c>
      <c r="F56" s="885" t="e">
        <f t="shared" ref="F56:F64" si="15">ROUND(B56*E56/10000,0)</f>
        <v>#DIV/0!</v>
      </c>
      <c r="G56" s="3687"/>
      <c r="H56" s="367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1124.3000000000002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855</v>
      </c>
      <c r="C2" s="2144" t="s">
        <v>2073</v>
      </c>
      <c r="D2" s="2144" t="s">
        <v>2074</v>
      </c>
      <c r="E2" s="2611">
        <f ca="1">SUMIF(E6:E13,"&lt;&gt;#ref!",E6:E13)</f>
        <v>5189.7</v>
      </c>
      <c r="F2" s="2792"/>
      <c r="G2" s="2792"/>
      <c r="H2" s="2792"/>
      <c r="I2" s="2792"/>
      <c r="J2" s="2792"/>
      <c r="K2" s="2792"/>
      <c r="L2" s="2792"/>
      <c r="M2" s="2792"/>
      <c r="N2" s="2792"/>
      <c r="O2" s="2792"/>
      <c r="P2" s="2792"/>
    </row>
    <row r="3" spans="1:16" ht="15.75">
      <c r="A3" s="2144" t="s">
        <v>2075</v>
      </c>
      <c r="B3" s="2601">
        <f ca="1">ROUND(B2*10000/E2,0)</f>
        <v>1647</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855</v>
      </c>
      <c r="C6" s="2144" t="s">
        <v>2073</v>
      </c>
      <c r="D6" s="2792"/>
      <c r="E6" s="2611">
        <f ca="1">SUMIF(INDIRECT("'"&amp;A6&amp;"'"&amp;"!C:C"),"建筑面积",INDIRECT("'"&amp;A6&amp;"'"&amp;"!D:D"))</f>
        <v>5189.7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5189.7</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855</v>
      </c>
      <c r="C2" s="1998" t="s">
        <v>1934</v>
      </c>
      <c r="D2" s="1999" t="s">
        <v>1935</v>
      </c>
      <c r="E2" s="3421" t="s">
        <v>3</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Ⅶ-兴2</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2398</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1647</v>
      </c>
      <c r="C3" s="1998" t="s">
        <v>1940</v>
      </c>
      <c r="D3" s="1999" t="s">
        <v>1941</v>
      </c>
      <c r="E3" s="3419" t="s">
        <v>2481</v>
      </c>
      <c r="F3" s="2003" t="s">
        <v>3634</v>
      </c>
      <c r="G3" s="751">
        <f>IF(F3="宗地容积率",'数据-汇总表'!I4,IF(F3="估价对象容积率",'数据-汇总表'!I6,'数据-汇总表'!I7))</f>
        <v>1.0900000000000001</v>
      </c>
      <c r="H3" s="169"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1890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1597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1555</v>
      </c>
      <c r="D5" s="1338">
        <f>ROUND(C6*C17+C20,0)</f>
        <v>1555</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1630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1630</v>
      </c>
      <c r="N7" s="865">
        <f>SUMPRODUCT((因素修正幅度!B190:B233=I2)*(因素修正幅度!C3:G3=E2)*(因素修正幅度!C190:G233))</f>
        <v>0.129</v>
      </c>
      <c r="O7" s="1118"/>
      <c r="P7" s="1118"/>
      <c r="Q7" s="1118"/>
      <c r="R7" s="1211">
        <v>6</v>
      </c>
      <c r="S7" s="3418"/>
      <c r="T7" s="3360">
        <f t="shared" si="0"/>
        <v>0</v>
      </c>
      <c r="U7" s="1212"/>
      <c r="V7" s="3360">
        <f t="shared" si="1"/>
        <v>0</v>
      </c>
      <c r="W7" s="1357" t="s">
        <v>1954</v>
      </c>
      <c r="X7" s="1213" t="str">
        <f>G2</f>
        <v>七级</v>
      </c>
      <c r="Y7" s="1213" t="s">
        <v>1955</v>
      </c>
      <c r="Z7" s="1214">
        <f>G3</f>
        <v>1.0900000000000001</v>
      </c>
      <c r="AA7" s="1215"/>
      <c r="AB7" s="1215"/>
      <c r="AC7" s="1216"/>
      <c r="AD7" s="1217"/>
      <c r="AE7" s="1217"/>
      <c r="AF7" s="1217"/>
      <c r="AG7" s="1217"/>
      <c r="AH7" s="1217"/>
      <c r="AI7" s="1217"/>
      <c r="AJ7" s="1218"/>
    </row>
    <row r="8" spans="1:36" ht="25.5">
      <c r="A8" s="3298"/>
      <c r="B8" s="169" t="s">
        <v>1956</v>
      </c>
      <c r="C8" s="2025" t="s">
        <v>3388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3" t="s">
        <v>1959</v>
      </c>
      <c r="X8" s="374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6" t="s">
        <v>1993</v>
      </c>
      <c r="C20" s="3324">
        <f>ROUND(IF(F21="与级别开发程度一致",0,(G21-E21)/C21),0)</f>
        <v>-75</v>
      </c>
      <c r="D20" s="3340" t="s">
        <v>1997</v>
      </c>
      <c r="E20" s="3341"/>
      <c r="F20" s="3756" t="s">
        <v>1994</v>
      </c>
      <c r="G20" s="3757"/>
      <c r="H20" s="3325" t="s">
        <v>3389</v>
      </c>
      <c r="I20" s="3325" t="s">
        <v>3390</v>
      </c>
      <c r="J20" s="3326" t="s">
        <v>3391</v>
      </c>
      <c r="K20" s="2046" t="s">
        <v>3392</v>
      </c>
      <c r="L20" s="2046" t="s">
        <v>3393</v>
      </c>
      <c r="M20" s="2046" t="s">
        <v>3394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45378</v>
      </c>
      <c r="H23" s="3342" t="s">
        <v>3258</v>
      </c>
      <c r="I23" s="3343" t="str">
        <f>IF(H23="季度增幅（自定义）",SUMIF(N25:N28,E2,O25:O28),"")</f>
        <v/>
      </c>
      <c r="J23" s="3445" t="s">
        <v>3257</v>
      </c>
      <c r="K23" s="1124"/>
      <c r="L23" s="2054" t="s">
        <v>2003</v>
      </c>
      <c r="M23" s="1327">
        <f>ROUND(SUMIF(地价!B2:G2,E2,地价!B16:G16),0)</f>
        <v>318</v>
      </c>
      <c r="N23" s="2055" t="s">
        <v>2004</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0.93089999999999995</v>
      </c>
      <c r="D24" s="2059" t="s">
        <v>2006</v>
      </c>
      <c r="E24" s="1334">
        <f>存贷款利率!E24/100</f>
        <v>4.3499999999999997E-2</v>
      </c>
      <c r="F24" s="2059" t="s">
        <v>1998</v>
      </c>
      <c r="G24" s="767">
        <f>SUMIF(M30:Q30,E2,M33:Q33)</f>
        <v>0.05</v>
      </c>
      <c r="H24" s="2059" t="s">
        <v>2007</v>
      </c>
      <c r="I24" s="768">
        <f>SUMIF('数据-取费表'!C6:C15,E2,'数据-取费表'!F6:F15)/COUNTIF('数据-取费表'!C6:C15,E2)</f>
        <v>38.840000000000003</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3413</v>
      </c>
      <c r="C25" s="770">
        <f>IF(B25="容积率修正",IF(G3&lt;10,D26,J26),C27)</f>
        <v>1.0314000000000001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3259</v>
      </c>
      <c r="D26" s="1351">
        <f>IF(E26=G26,F26,IF(G3&lt;10,ROUND(F26+(H26-F26)*(G3-E26)/(G26-E26),4),"——"))</f>
        <v>1.0314000000000001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4" t="s">
        <v>3260</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1.5019</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1.0268999999999999</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855</v>
      </c>
      <c r="D30" s="2082"/>
      <c r="E30" s="2045"/>
      <c r="F30" s="2083"/>
      <c r="G30" s="2045"/>
      <c r="H30" s="2045"/>
      <c r="I30" s="2045"/>
      <c r="J30" s="2084"/>
      <c r="K30" s="1118"/>
      <c r="L30" s="3350" t="s">
        <v>1935</v>
      </c>
      <c r="M30" s="3351" t="s">
        <v>1989</v>
      </c>
      <c r="N30" s="3351" t="s">
        <v>1990</v>
      </c>
      <c r="O30" s="3351" t="s">
        <v>1991</v>
      </c>
      <c r="P30" s="3351" t="s">
        <v>1992</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1647</v>
      </c>
      <c r="D33" s="2097">
        <f>'数据-基础表'!A3</f>
        <v>5189.7</v>
      </c>
      <c r="E33" s="772">
        <f>ROUND(C33*D33/10000,0)</f>
        <v>855</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247</v>
      </c>
      <c r="D34" s="2102"/>
      <c r="E34" s="772">
        <f>ROUND(IF(B25="楼层修正",SUM(V2:V16)*M40,C34*D34/10000),0)</f>
        <v>0</v>
      </c>
      <c r="F34" s="2103" t="s">
        <v>2031</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2035</v>
      </c>
      <c r="C37" s="174">
        <f>ROUND(D5*C22*C23*C24*C28*F37,0)</f>
        <v>958</v>
      </c>
      <c r="D37" s="2097"/>
      <c r="E37" s="170">
        <f>ROUND(C37*D37/10000,0)</f>
        <v>0</v>
      </c>
      <c r="F37" s="170">
        <f>SUMIF(修正!A57:A68,G2,修正!B57:B68)</f>
        <v>0.6</v>
      </c>
      <c r="G37" s="170">
        <f>ROUND(IF(E2="工业",C37*$M$42,C37*$M$41),0)</f>
        <v>144</v>
      </c>
      <c r="H37" s="170">
        <f>D37</f>
        <v>0</v>
      </c>
      <c r="I37" s="170">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2036</v>
      </c>
      <c r="C38" s="174">
        <f>ROUND(D5*C22*C23*C24*C28*F38,0)</f>
        <v>479</v>
      </c>
      <c r="D38" s="2097"/>
      <c r="E38" s="170">
        <f t="shared" ref="E38:E42" si="4">ROUND(C38*D38/10000,0)</f>
        <v>0</v>
      </c>
      <c r="F38" s="170">
        <f>SUMIF(修正!A57:A68,G2,修正!C57:C68)</f>
        <v>0.3</v>
      </c>
      <c r="G38" s="170">
        <f>ROUND(IF(E2="工业",C38*$M$42,C38*$M$41),0)</f>
        <v>72</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3261</v>
      </c>
      <c r="C39" s="174">
        <f>ROUND(D5*C22*C23*C24*C28*F39,0)</f>
        <v>399</v>
      </c>
      <c r="D39" s="2097"/>
      <c r="E39" s="170">
        <f t="shared" si="4"/>
        <v>0</v>
      </c>
      <c r="F39" s="170">
        <f>SUMIF(修正!A57:A68,G2,修正!D57:D68)</f>
        <v>0.25</v>
      </c>
      <c r="G39" s="170">
        <f>ROUND(IF(E2="工业",C39*$M$42,C39*$M$41),0)</f>
        <v>60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399</v>
      </c>
      <c r="D40" s="2097"/>
      <c r="E40" s="170">
        <f t="shared" si="4"/>
        <v>0</v>
      </c>
      <c r="F40" s="174">
        <f>SUMIF(修正!A57:A68,G2,修正!E57:E68)</f>
        <v>0.25</v>
      </c>
      <c r="G40" s="170">
        <f>ROUND(IF(E2="工业",C40*$M$42,C40*$M$41),0)</f>
        <v>60</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1.0374000000000001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1.23E-2</v>
      </c>
      <c r="E50" s="743">
        <f>ROUND(SUM(D50:D58),4)</f>
        <v>3.7400000000000003E-2</v>
      </c>
      <c r="F50" s="1813" t="str">
        <f>IF(E2="商业",SUMIF(L1:L12,G2,N1:N12),"——")</f>
        <v>——</v>
      </c>
      <c r="G50" s="1062">
        <v>1.23E-2</v>
      </c>
      <c r="H50" s="1065" t="str">
        <f t="shared" ref="H50:H58" si="8">IFERROR(ROUNDDOWN($F$50*I50/2,4),"——")</f>
        <v>——</v>
      </c>
      <c r="I50" s="3366">
        <v>0.3</v>
      </c>
      <c r="J50" s="1063">
        <f t="shared" ref="J50:J58" si="9">K50+$G50</f>
        <v>2.46E-2</v>
      </c>
      <c r="K50" s="1063">
        <f t="shared" ref="K50:K58" si="10">$L50+$G50</f>
        <v>1.23E-2</v>
      </c>
      <c r="L50" s="1063">
        <v>0</v>
      </c>
      <c r="M50" s="1063">
        <f t="shared" ref="M50:N58" si="11">L50-$G50</f>
        <v>-1.23E-2</v>
      </c>
      <c r="N50" s="1063">
        <f t="shared" si="11"/>
        <v>-2.46E-2</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3405</v>
      </c>
      <c r="D51" s="1064">
        <f t="shared" si="7"/>
        <v>8.9999999999999993E-3</v>
      </c>
      <c r="E51" s="744"/>
      <c r="F51" s="1813"/>
      <c r="G51" s="1062">
        <v>8.9999999999999993E-3</v>
      </c>
      <c r="H51" s="1065" t="str">
        <f t="shared" si="8"/>
        <v>——</v>
      </c>
      <c r="I51" s="3366">
        <v>0.22</v>
      </c>
      <c r="J51" s="1063">
        <f t="shared" si="9"/>
        <v>1.7999999999999999E-2</v>
      </c>
      <c r="K51" s="1063">
        <f t="shared" si="10"/>
        <v>8.9999999999999993E-3</v>
      </c>
      <c r="L51" s="1063">
        <v>0</v>
      </c>
      <c r="M51" s="1063">
        <f t="shared" si="11"/>
        <v>-8.9999999999999993E-3</v>
      </c>
      <c r="N51" s="1063">
        <f t="shared" si="11"/>
        <v>-1.7999999999999999E-2</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t="s">
        <v>3405</v>
      </c>
      <c r="D52" s="1064">
        <f t="shared" si="7"/>
        <v>4.8999999999999998E-3</v>
      </c>
      <c r="E52" s="744"/>
      <c r="F52" s="1813"/>
      <c r="G52" s="1062">
        <v>4.8999999999999998E-3</v>
      </c>
      <c r="H52" s="1065" t="str">
        <f t="shared" si="8"/>
        <v>——</v>
      </c>
      <c r="I52" s="3366">
        <v>0.12</v>
      </c>
      <c r="J52" s="1063">
        <f t="shared" si="9"/>
        <v>9.7999999999999997E-3</v>
      </c>
      <c r="K52" s="1063">
        <f t="shared" si="10"/>
        <v>4.8999999999999998E-3</v>
      </c>
      <c r="L52" s="1063">
        <v>0</v>
      </c>
      <c r="M52" s="1063">
        <f t="shared" si="11"/>
        <v>-4.8999999999999998E-3</v>
      </c>
      <c r="N52" s="1063">
        <f t="shared" si="11"/>
        <v>-9.7999999999999997E-3</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3405</v>
      </c>
      <c r="D53" s="1064">
        <f t="shared" si="7"/>
        <v>2E-3</v>
      </c>
      <c r="E53" s="744"/>
      <c r="F53" s="1813"/>
      <c r="G53" s="1062">
        <v>2E-3</v>
      </c>
      <c r="H53" s="1065" t="str">
        <f t="shared" si="8"/>
        <v>——</v>
      </c>
      <c r="I53" s="3366">
        <v>0.05</v>
      </c>
      <c r="J53" s="1063">
        <f t="shared" si="9"/>
        <v>4.0000000000000001E-3</v>
      </c>
      <c r="K53" s="1063">
        <f t="shared" si="10"/>
        <v>2E-3</v>
      </c>
      <c r="L53" s="1063">
        <v>0</v>
      </c>
      <c r="M53" s="1063">
        <f t="shared" si="11"/>
        <v>-2E-3</v>
      </c>
      <c r="N53" s="1063">
        <f t="shared" si="11"/>
        <v>-4.0000000000000001E-3</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3406</v>
      </c>
      <c r="D54" s="1064">
        <f t="shared" si="7"/>
        <v>0</v>
      </c>
      <c r="E54" s="744"/>
      <c r="F54" s="1813"/>
      <c r="G54" s="1062">
        <v>3.2000000000000002E-3</v>
      </c>
      <c r="H54" s="1065" t="str">
        <f t="shared" si="8"/>
        <v>——</v>
      </c>
      <c r="I54" s="3366">
        <v>0.08</v>
      </c>
      <c r="J54" s="1063">
        <f t="shared" si="9"/>
        <v>6.4000000000000003E-3</v>
      </c>
      <c r="K54" s="1063">
        <f t="shared" si="10"/>
        <v>3.2000000000000002E-3</v>
      </c>
      <c r="L54" s="1063">
        <v>0</v>
      </c>
      <c r="M54" s="1063">
        <f t="shared" si="11"/>
        <v>-3.2000000000000002E-3</v>
      </c>
      <c r="N54" s="1063">
        <f t="shared" si="11"/>
        <v>-6.4000000000000003E-3</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3405</v>
      </c>
      <c r="D55" s="1064">
        <f t="shared" si="7"/>
        <v>2E-3</v>
      </c>
      <c r="E55" s="744"/>
      <c r="F55" s="1813"/>
      <c r="G55" s="1062">
        <v>2E-3</v>
      </c>
      <c r="H55" s="1065" t="str">
        <f t="shared" si="8"/>
        <v>——</v>
      </c>
      <c r="I55" s="3366">
        <v>0.05</v>
      </c>
      <c r="J55" s="1063">
        <f t="shared" si="9"/>
        <v>4.0000000000000001E-3</v>
      </c>
      <c r="K55" s="1063">
        <f t="shared" si="10"/>
        <v>2E-3</v>
      </c>
      <c r="L55" s="1063">
        <v>0</v>
      </c>
      <c r="M55" s="1063">
        <f t="shared" si="11"/>
        <v>-2E-3</v>
      </c>
      <c r="N55" s="1063">
        <f t="shared" si="11"/>
        <v>-4.0000000000000001E-3</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3405</v>
      </c>
      <c r="D56" s="1064">
        <f t="shared" si="7"/>
        <v>2E-3</v>
      </c>
      <c r="E56" s="744"/>
      <c r="F56" s="1813"/>
      <c r="G56" s="1062">
        <v>2E-3</v>
      </c>
      <c r="H56" s="1065" t="str">
        <f t="shared" si="8"/>
        <v>——</v>
      </c>
      <c r="I56" s="3366">
        <v>0.05</v>
      </c>
      <c r="J56" s="1063">
        <f t="shared" si="9"/>
        <v>4.0000000000000001E-3</v>
      </c>
      <c r="K56" s="1063">
        <f t="shared" si="10"/>
        <v>2E-3</v>
      </c>
      <c r="L56" s="1063">
        <v>0</v>
      </c>
      <c r="M56" s="1063">
        <f t="shared" si="11"/>
        <v>-2E-3</v>
      </c>
      <c r="N56" s="1063">
        <f t="shared" si="11"/>
        <v>-4.0000000000000001E-3</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3405</v>
      </c>
      <c r="D57" s="1064">
        <f t="shared" si="7"/>
        <v>3.2000000000000002E-3</v>
      </c>
      <c r="E57" s="744"/>
      <c r="F57" s="1813"/>
      <c r="G57" s="1062">
        <v>3.2000000000000002E-3</v>
      </c>
      <c r="H57" s="1065" t="str">
        <f t="shared" si="8"/>
        <v>——</v>
      </c>
      <c r="I57" s="3366">
        <v>0.08</v>
      </c>
      <c r="J57" s="1063">
        <f t="shared" si="9"/>
        <v>6.4000000000000003E-3</v>
      </c>
      <c r="K57" s="1063">
        <f t="shared" si="10"/>
        <v>3.2000000000000002E-3</v>
      </c>
      <c r="L57" s="1063">
        <v>0</v>
      </c>
      <c r="M57" s="1063">
        <f t="shared" si="11"/>
        <v>-3.2000000000000002E-3</v>
      </c>
      <c r="N57" s="1063">
        <f t="shared" si="11"/>
        <v>-6.4000000000000003E-3</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3405</v>
      </c>
      <c r="D58" s="1064">
        <f t="shared" si="7"/>
        <v>2E-3</v>
      </c>
      <c r="E58" s="745"/>
      <c r="F58" s="1813"/>
      <c r="G58" s="1062">
        <v>2E-3</v>
      </c>
      <c r="H58" s="1065" t="str">
        <f t="shared" si="8"/>
        <v>——</v>
      </c>
      <c r="I58" s="3367">
        <v>0.05</v>
      </c>
      <c r="J58" s="1063">
        <f t="shared" si="9"/>
        <v>4.0000000000000001E-3</v>
      </c>
      <c r="K58" s="1063">
        <f t="shared" si="10"/>
        <v>2E-3</v>
      </c>
      <c r="L58" s="1063">
        <v>0</v>
      </c>
      <c r="M58" s="1063">
        <f t="shared" si="11"/>
        <v>-2E-3</v>
      </c>
      <c r="N58" s="1063">
        <f t="shared" si="11"/>
        <v>-4.0000000000000001E-3</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1.0268999999999999</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1721</v>
      </c>
      <c r="K82" s="551" t="s">
        <v>1722</v>
      </c>
      <c r="L82" s="551" t="s">
        <v>1723</v>
      </c>
      <c r="M82" s="551" t="s">
        <v>1724</v>
      </c>
      <c r="N82" s="551"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2">SUMIF($J$82:$N$82,C83,J83:N83)</f>
        <v>1.67E-2</v>
      </c>
      <c r="E83" s="743">
        <f>ROUND(SUM(D83:D90),4)</f>
        <v>2.69E-2</v>
      </c>
      <c r="F83" s="1813">
        <f>IF(E2="工业",SUMIF(L1:L12,G2,N1:N12),"——")</f>
        <v>0.129</v>
      </c>
      <c r="G83" s="1062">
        <v>1.67E-2</v>
      </c>
      <c r="H83" s="1065">
        <f t="shared" ref="H83:H90" si="23">IFERROR(ROUNDDOWN($F$83*I83/2,4),"——")</f>
        <v>1.67E-2</v>
      </c>
      <c r="I83" s="3366">
        <v>0.26</v>
      </c>
      <c r="J83" s="1063">
        <f t="shared" ref="J83:J90" si="24">K83+$G83</f>
        <v>3.3399999999999999E-2</v>
      </c>
      <c r="K83" s="1063">
        <f t="shared" ref="K83:K90" si="25">$L83+$G83</f>
        <v>1.67E-2</v>
      </c>
      <c r="L83" s="1063">
        <v>0</v>
      </c>
      <c r="M83" s="1063">
        <f t="shared" ref="M83:N90" si="26">L83-$G83</f>
        <v>-1.67E-2</v>
      </c>
      <c r="N83" s="1063">
        <f t="shared" si="26"/>
        <v>-3.3399999999999999E-2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3406</v>
      </c>
      <c r="D84" s="1064">
        <f t="shared" si="22"/>
        <v>0</v>
      </c>
      <c r="E84" s="746"/>
      <c r="F84" s="1813"/>
      <c r="G84" s="1062">
        <v>1.9300000000000001E-2</v>
      </c>
      <c r="H84" s="1065">
        <f t="shared" si="23"/>
        <v>1.9300000000000001E-2</v>
      </c>
      <c r="I84" s="3366">
        <v>0.3</v>
      </c>
      <c r="J84" s="1063">
        <f t="shared" si="24"/>
        <v>3.8600000000000002E-2</v>
      </c>
      <c r="K84" s="1063">
        <f t="shared" si="25"/>
        <v>1.9300000000000001E-2</v>
      </c>
      <c r="L84" s="1063">
        <v>0</v>
      </c>
      <c r="M84" s="1063">
        <f t="shared" si="26"/>
        <v>-1.9300000000000001E-2</v>
      </c>
      <c r="N84" s="1063">
        <f t="shared" si="26"/>
        <v>-3.8600000000000002E-2</v>
      </c>
      <c r="Z84" s="1997"/>
      <c r="AA84" s="2052"/>
      <c r="AG84" s="1120"/>
      <c r="AK84" s="2052"/>
    </row>
    <row r="85" spans="1:37" ht="36">
      <c r="A85" s="3368" t="s">
        <v>3272</v>
      </c>
      <c r="B85" s="2133">
        <f>估价对象房地状况!G17</f>
        <v>0</v>
      </c>
      <c r="C85" s="2043" t="s">
        <v>3405</v>
      </c>
      <c r="D85" s="1064">
        <f t="shared" si="22"/>
        <v>6.4000000000000003E-3</v>
      </c>
      <c r="E85" s="746"/>
      <c r="F85" s="1813"/>
      <c r="G85" s="1062">
        <v>6.4000000000000003E-3</v>
      </c>
      <c r="H85" s="1065">
        <f t="shared" si="23"/>
        <v>6.4000000000000003E-3</v>
      </c>
      <c r="I85" s="3366">
        <v>0.1</v>
      </c>
      <c r="J85" s="1063">
        <f t="shared" si="24"/>
        <v>1.2800000000000001E-2</v>
      </c>
      <c r="K85" s="1063">
        <f t="shared" si="25"/>
        <v>6.4000000000000003E-3</v>
      </c>
      <c r="L85" s="1063">
        <v>0</v>
      </c>
      <c r="M85" s="1063">
        <f t="shared" si="26"/>
        <v>-6.4000000000000003E-3</v>
      </c>
      <c r="N85" s="1063">
        <f t="shared" si="26"/>
        <v>-1.2800000000000001E-2</v>
      </c>
      <c r="Z85" s="1997"/>
      <c r="AA85" s="2052"/>
      <c r="AG85" s="1120"/>
      <c r="AK85" s="2052"/>
    </row>
    <row r="86" spans="1:37" ht="14.25">
      <c r="A86" s="2129" t="s">
        <v>2066</v>
      </c>
      <c r="B86" s="2133">
        <f>估价对象房地状况!G22</f>
        <v>0</v>
      </c>
      <c r="C86" s="2043" t="s">
        <v>3414</v>
      </c>
      <c r="D86" s="1064">
        <f t="shared" si="22"/>
        <v>-3.2000000000000002E-3</v>
      </c>
      <c r="E86" s="746"/>
      <c r="F86" s="1813"/>
      <c r="G86" s="1062">
        <v>3.2000000000000002E-3</v>
      </c>
      <c r="H86" s="1065">
        <f t="shared" si="23"/>
        <v>3.2000000000000002E-3</v>
      </c>
      <c r="I86" s="3366">
        <v>0.05</v>
      </c>
      <c r="J86" s="1063">
        <f t="shared" si="24"/>
        <v>6.4000000000000003E-3</v>
      </c>
      <c r="K86" s="1063">
        <f t="shared" si="25"/>
        <v>3.2000000000000002E-3</v>
      </c>
      <c r="L86" s="1063">
        <v>0</v>
      </c>
      <c r="M86" s="1063">
        <f t="shared" si="26"/>
        <v>-3.2000000000000002E-3</v>
      </c>
      <c r="N86" s="1063">
        <f t="shared" si="26"/>
        <v>-6.4000000000000003E-3</v>
      </c>
      <c r="Z86" s="1997"/>
      <c r="AA86" s="2052"/>
      <c r="AG86" s="1120"/>
      <c r="AK86" s="2052"/>
    </row>
    <row r="87" spans="1:37" ht="25.5">
      <c r="A87" s="2129" t="s">
        <v>2058</v>
      </c>
      <c r="B87" s="1325" t="str">
        <f>估价对象房地状况!G19</f>
        <v>估价对象所在区域公共配套设施齐备情况</v>
      </c>
      <c r="C87" s="2043" t="s">
        <v>3406</v>
      </c>
      <c r="D87" s="1064">
        <f t="shared" si="22"/>
        <v>0</v>
      </c>
      <c r="E87" s="746"/>
      <c r="F87" s="1813"/>
      <c r="G87" s="1062">
        <v>3.8E-3</v>
      </c>
      <c r="H87" s="1065">
        <f t="shared" si="23"/>
        <v>3.8E-3</v>
      </c>
      <c r="I87" s="3366">
        <v>0.06</v>
      </c>
      <c r="J87" s="1063">
        <f t="shared" si="24"/>
        <v>7.6E-3</v>
      </c>
      <c r="K87" s="1063">
        <f t="shared" si="25"/>
        <v>3.8E-3</v>
      </c>
      <c r="L87" s="1063">
        <v>0</v>
      </c>
      <c r="M87" s="1063">
        <f t="shared" si="26"/>
        <v>-3.8E-3</v>
      </c>
      <c r="N87" s="1063">
        <f t="shared" si="26"/>
        <v>-7.6E-3</v>
      </c>
    </row>
    <row r="88" spans="1:37" ht="25.5">
      <c r="A88" s="2129" t="s">
        <v>2059</v>
      </c>
      <c r="B88" s="1325" t="str">
        <f>估价对象房地状况!G20</f>
        <v>估价对象所在区域基础设施水平</v>
      </c>
      <c r="C88" s="2043" t="s">
        <v>3406</v>
      </c>
      <c r="D88" s="1064">
        <f t="shared" si="22"/>
        <v>0</v>
      </c>
      <c r="E88" s="746"/>
      <c r="F88" s="1813"/>
      <c r="G88" s="1062">
        <v>7.7000000000000002E-3</v>
      </c>
      <c r="H88" s="1065">
        <f t="shared" si="23"/>
        <v>7.7000000000000002E-3</v>
      </c>
      <c r="I88" s="3366">
        <v>0.12</v>
      </c>
      <c r="J88" s="1063">
        <f t="shared" si="24"/>
        <v>1.54E-2</v>
      </c>
      <c r="K88" s="1063">
        <f t="shared" si="25"/>
        <v>7.7000000000000002E-3</v>
      </c>
      <c r="L88" s="1063">
        <v>0</v>
      </c>
      <c r="M88" s="1063">
        <f t="shared" si="26"/>
        <v>-7.7000000000000002E-3</v>
      </c>
      <c r="N88" s="1063">
        <f t="shared" si="26"/>
        <v>-1.54E-2</v>
      </c>
    </row>
    <row r="89" spans="1:37" ht="24">
      <c r="A89" s="2129" t="s">
        <v>2056</v>
      </c>
      <c r="B89" s="2135" t="s">
        <v>2070</v>
      </c>
      <c r="C89" s="2043" t="s">
        <v>3405</v>
      </c>
      <c r="D89" s="1064">
        <f t="shared" si="22"/>
        <v>3.8E-3</v>
      </c>
      <c r="E89" s="746"/>
      <c r="F89" s="1813"/>
      <c r="G89" s="1062">
        <v>3.8E-3</v>
      </c>
      <c r="H89" s="1065">
        <f t="shared" si="23"/>
        <v>3.8E-3</v>
      </c>
      <c r="I89" s="3366">
        <v>0.06</v>
      </c>
      <c r="J89" s="1063">
        <f t="shared" si="24"/>
        <v>7.6E-3</v>
      </c>
      <c r="K89" s="1063">
        <f t="shared" si="25"/>
        <v>3.8E-3</v>
      </c>
      <c r="L89" s="1063">
        <v>0</v>
      </c>
      <c r="M89" s="1063">
        <f t="shared" si="26"/>
        <v>-3.8E-3</v>
      </c>
      <c r="N89" s="1063">
        <f t="shared" si="26"/>
        <v>-7.6E-3</v>
      </c>
    </row>
    <row r="90" spans="1:37" ht="39" thickBot="1">
      <c r="A90" s="2137" t="s">
        <v>2071</v>
      </c>
      <c r="B90" s="2142" t="str">
        <f>估价对象房地状况!G18</f>
        <v>该园区内是否有污染型企业，绿化情况，卫生条件，整体环境状况判断</v>
      </c>
      <c r="C90" s="2043" t="s">
        <v>3405</v>
      </c>
      <c r="D90" s="1064">
        <f t="shared" si="22"/>
        <v>3.2000000000000002E-3</v>
      </c>
      <c r="E90" s="747"/>
      <c r="F90" s="1813"/>
      <c r="G90" s="1062">
        <v>3.2000000000000002E-3</v>
      </c>
      <c r="H90" s="1065">
        <f t="shared" si="23"/>
        <v>3.2000000000000002E-3</v>
      </c>
      <c r="I90" s="3367">
        <v>0.05</v>
      </c>
      <c r="J90" s="1063">
        <f t="shared" si="24"/>
        <v>6.4000000000000003E-3</v>
      </c>
      <c r="K90" s="1063">
        <f t="shared" si="25"/>
        <v>3.2000000000000002E-3</v>
      </c>
      <c r="L90" s="1063">
        <v>0</v>
      </c>
      <c r="M90" s="1063">
        <f t="shared" si="26"/>
        <v>-3.2000000000000002E-3</v>
      </c>
      <c r="N90" s="1063">
        <f t="shared" si="26"/>
        <v>-6.4000000000000003E-3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2" t="s">
        <v>3296</v>
      </c>
      <c r="B103" s="3752"/>
      <c r="C103" s="3752"/>
      <c r="D103" s="3752"/>
      <c r="E103" s="3752"/>
      <c r="F103" s="3752"/>
      <c r="G103" s="3752"/>
      <c r="H103" s="3752"/>
      <c r="I103" s="3752"/>
      <c r="J103" s="3752"/>
      <c r="K103" s="3389"/>
      <c r="L103" s="3389"/>
      <c r="M103" s="3389"/>
      <c r="N103" s="3389"/>
    </row>
    <row r="104" spans="1:14">
      <c r="A104" s="3753" t="s">
        <v>3297</v>
      </c>
      <c r="B104" s="3753" t="s">
        <v>3298</v>
      </c>
      <c r="C104" s="3390" t="s">
        <v>3299</v>
      </c>
      <c r="D104" s="3391"/>
      <c r="E104" s="3391"/>
      <c r="F104" s="3391"/>
      <c r="G104" s="3391"/>
      <c r="H104" s="3391"/>
      <c r="I104" s="3391"/>
      <c r="J104" s="3392"/>
      <c r="K104" s="3393"/>
      <c r="L104" s="3393"/>
      <c r="M104" s="3393"/>
      <c r="N104" s="3393"/>
    </row>
    <row r="105" spans="1:14">
      <c r="A105" s="3753"/>
      <c r="B105" s="375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3270</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1"/>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2" t="s">
        <v>3313</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1.0900000000000001</v>
      </c>
      <c r="C116" s="3399" t="s">
        <v>3315</v>
      </c>
      <c r="D116" s="3400">
        <f>SUMPRODUCT((A118:A122=F116)*(B117:M117=H116)*B118:M122)</f>
        <v>0.64159999999999995</v>
      </c>
      <c r="E116" s="1999" t="s">
        <v>3316</v>
      </c>
      <c r="F116" s="3401" t="str">
        <f>E2</f>
        <v>工业</v>
      </c>
      <c r="G116" s="1999" t="s">
        <v>3317</v>
      </c>
      <c r="H116" s="3401" t="str">
        <f>G2</f>
        <v>七级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0.98480000000000001</v>
      </c>
      <c r="C118" s="3387">
        <f>B118</f>
        <v>0.98480000000000001</v>
      </c>
      <c r="D118" s="3387">
        <f>ROUND(0.949-0.014*B116,4)</f>
        <v>0.93369999999999997</v>
      </c>
      <c r="E118" s="3387">
        <f>D118</f>
        <v>0.93369999999999997</v>
      </c>
      <c r="F118" s="3387">
        <f>E118</f>
        <v>0.93369999999999997</v>
      </c>
      <c r="G118" s="3387">
        <f>F118</f>
        <v>0.93369999999999997</v>
      </c>
      <c r="H118" s="3387">
        <f>G118</f>
        <v>0.93369999999999997</v>
      </c>
      <c r="I118" s="3387">
        <f>ROUND(0.8486-0.018*B116,4)</f>
        <v>0.82899999999999996</v>
      </c>
      <c r="J118" s="3387">
        <f t="shared" ref="J118:M122" si="35">I118</f>
        <v>0.82899999999999996</v>
      </c>
      <c r="K118" s="3387">
        <f t="shared" si="35"/>
        <v>0.82899999999999996</v>
      </c>
      <c r="L118" s="3387">
        <f t="shared" si="35"/>
        <v>0.82899999999999996</v>
      </c>
      <c r="M118" s="3410">
        <f t="shared" si="35"/>
        <v>0.82899999999999996</v>
      </c>
      <c r="N118" s="3397"/>
    </row>
    <row r="119" spans="1:14">
      <c r="A119" s="3409" t="s">
        <v>3331</v>
      </c>
      <c r="B119" s="3387">
        <f>ROUND(0.993-0.0112*B116,4)</f>
        <v>0.98080000000000001</v>
      </c>
      <c r="C119" s="3387">
        <f>B119</f>
        <v>0.98080000000000001</v>
      </c>
      <c r="D119" s="3387">
        <f>ROUND(0.9415-0.0142*B116,4)</f>
        <v>0.92600000000000005</v>
      </c>
      <c r="E119" s="3387">
        <f t="shared" ref="E119:H120" si="36">D119</f>
        <v>0.92600000000000005</v>
      </c>
      <c r="F119" s="3387">
        <f t="shared" si="36"/>
        <v>0.92600000000000005</v>
      </c>
      <c r="G119" s="3387">
        <f t="shared" si="36"/>
        <v>0.92600000000000005</v>
      </c>
      <c r="H119" s="3387">
        <f t="shared" si="36"/>
        <v>0.92600000000000005</v>
      </c>
      <c r="I119" s="3387">
        <f>ROUND(0.838-0.0182*B116,4)</f>
        <v>0.81820000000000004</v>
      </c>
      <c r="J119" s="3387">
        <f t="shared" si="35"/>
        <v>0.81820000000000004</v>
      </c>
      <c r="K119" s="3387">
        <f t="shared" si="35"/>
        <v>0.81820000000000004</v>
      </c>
      <c r="L119" s="3387">
        <f t="shared" si="35"/>
        <v>0.81820000000000004</v>
      </c>
      <c r="M119" s="3410">
        <f t="shared" si="35"/>
        <v>0.81820000000000004</v>
      </c>
      <c r="N119" s="3397"/>
    </row>
    <row r="120" spans="1:14">
      <c r="A120" s="3409" t="s">
        <v>3332</v>
      </c>
      <c r="B120" s="3387">
        <f>ROUND(0.9448-0.0115*B116,4)</f>
        <v>0.93230000000000002</v>
      </c>
      <c r="C120" s="3387">
        <f>B120</f>
        <v>0.93230000000000002</v>
      </c>
      <c r="D120" s="3387">
        <f>ROUND(0.937-0.0145*B116,4)</f>
        <v>0.92120000000000002</v>
      </c>
      <c r="E120" s="3387">
        <f t="shared" si="36"/>
        <v>0.92120000000000002</v>
      </c>
      <c r="F120" s="3387">
        <f t="shared" si="36"/>
        <v>0.92120000000000002</v>
      </c>
      <c r="G120" s="3387">
        <f t="shared" si="36"/>
        <v>0.92120000000000002</v>
      </c>
      <c r="H120" s="3387">
        <f t="shared" si="36"/>
        <v>0.92120000000000002</v>
      </c>
      <c r="I120" s="3387">
        <f>ROUND(0.7965-0.0185*B116,4)</f>
        <v>0.77629999999999999</v>
      </c>
      <c r="J120" s="3387">
        <f t="shared" si="35"/>
        <v>0.77629999999999999</v>
      </c>
      <c r="K120" s="3387">
        <f t="shared" si="35"/>
        <v>0.77629999999999999</v>
      </c>
      <c r="L120" s="3387">
        <f t="shared" si="35"/>
        <v>0.77629999999999999</v>
      </c>
      <c r="M120" s="3410">
        <f t="shared" si="35"/>
        <v>0.77629999999999999</v>
      </c>
      <c r="N120" s="3397"/>
    </row>
    <row r="121" spans="1:14" ht="13.5" thickBot="1">
      <c r="A121" s="3411" t="s">
        <v>3333</v>
      </c>
      <c r="B121" s="3412">
        <f>ROUND(0.7836-0.012*B116,4)</f>
        <v>0.77049999999999996</v>
      </c>
      <c r="C121" s="3412">
        <f>B121</f>
        <v>0.77049999999999996</v>
      </c>
      <c r="D121" s="3412">
        <f>ROUND(0.753-0.015*B116,4)</f>
        <v>0.73670000000000002</v>
      </c>
      <c r="E121" s="3412">
        <f>D121</f>
        <v>0.73670000000000002</v>
      </c>
      <c r="F121" s="3412">
        <f>E121</f>
        <v>0.73670000000000002</v>
      </c>
      <c r="G121" s="3412">
        <f>ROUND(0.6612-0.018*B116,4)</f>
        <v>0.64159999999999995</v>
      </c>
      <c r="H121" s="3412">
        <f>G121</f>
        <v>0.64159999999999995</v>
      </c>
      <c r="I121" s="3412">
        <f>ROUND(0.5905-0.019*B116,4)</f>
        <v>0.56979999999999997</v>
      </c>
      <c r="J121" s="3412">
        <f t="shared" si="35"/>
        <v>0.56979999999999997</v>
      </c>
      <c r="K121" s="3412">
        <f t="shared" si="35"/>
        <v>0.56979999999999997</v>
      </c>
      <c r="L121" s="3412">
        <f t="shared" si="35"/>
        <v>0.56979999999999997</v>
      </c>
      <c r="M121" s="3413">
        <f t="shared" si="35"/>
        <v>0.56979999999999997</v>
      </c>
      <c r="N121" s="3397"/>
    </row>
    <row r="122" spans="1:14">
      <c r="A122" s="3414" t="s">
        <v>2614</v>
      </c>
      <c r="B122" s="3387">
        <f>ROUND(0.9404-0.0106*B116,4)</f>
        <v>0.92879999999999996</v>
      </c>
      <c r="C122" s="3387">
        <f>B122</f>
        <v>0.92879999999999996</v>
      </c>
      <c r="D122" s="3387">
        <f>ROUND(0.8955-0.0135*B116,4)</f>
        <v>0.88080000000000003</v>
      </c>
      <c r="E122" s="3387">
        <f t="shared" ref="E122:H122" si="37">D122</f>
        <v>0.88080000000000003</v>
      </c>
      <c r="F122" s="3387">
        <f t="shared" si="37"/>
        <v>0.88080000000000003</v>
      </c>
      <c r="G122" s="3387">
        <f t="shared" si="37"/>
        <v>0.88080000000000003</v>
      </c>
      <c r="H122" s="3387">
        <f t="shared" si="37"/>
        <v>0.88080000000000003</v>
      </c>
      <c r="I122" s="3387">
        <f>ROUND(0.7632-0.0166*B116,4)</f>
        <v>0.74509999999999998</v>
      </c>
      <c r="J122" s="3387">
        <f t="shared" si="35"/>
        <v>0.74509999999999998</v>
      </c>
      <c r="K122" s="3387">
        <f t="shared" si="35"/>
        <v>0.74509999999999998</v>
      </c>
      <c r="L122" s="3387">
        <f t="shared" si="35"/>
        <v>0.74509999999999998</v>
      </c>
      <c r="M122" s="3410">
        <f t="shared" si="35"/>
        <v>0.74509999999999998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7" t="s">
        <v>2609</v>
      </c>
      <c r="B20" s="3762" t="s">
        <v>2630</v>
      </c>
      <c r="C20" s="3102" t="s">
        <v>2441</v>
      </c>
      <c r="D20" s="3103"/>
      <c r="E20" s="3104">
        <v>1</v>
      </c>
      <c r="F20" s="3105" t="s">
        <v>2442</v>
      </c>
      <c r="G20" s="3105"/>
    </row>
    <row r="21" spans="1:13" ht="19.5" customHeight="1">
      <c r="A21" s="3768"/>
      <c r="B21" s="3761"/>
      <c r="C21" s="3106" t="s">
        <v>2443</v>
      </c>
      <c r="D21" s="3107"/>
      <c r="E21" s="3108">
        <v>1</v>
      </c>
      <c r="F21" s="3105" t="s">
        <v>2444</v>
      </c>
      <c r="G21" s="3105"/>
    </row>
    <row r="22" spans="1:13" ht="19.5" customHeight="1">
      <c r="A22" s="3768"/>
      <c r="B22" s="3761"/>
      <c r="C22" s="3106" t="s">
        <v>2445</v>
      </c>
      <c r="D22" s="3107"/>
      <c r="E22" s="3108">
        <v>0.9</v>
      </c>
      <c r="F22" s="3105" t="s">
        <v>2446</v>
      </c>
      <c r="G22" s="3105"/>
    </row>
    <row r="23" spans="1:13" ht="19.5" customHeight="1">
      <c r="A23" s="3768"/>
      <c r="B23" s="3761"/>
      <c r="C23" s="3106" t="s">
        <v>2447</v>
      </c>
      <c r="D23" s="3107"/>
      <c r="E23" s="3108">
        <v>0.9</v>
      </c>
      <c r="F23" s="3105" t="s">
        <v>2448</v>
      </c>
      <c r="G23" s="3105"/>
    </row>
    <row r="24" spans="1:13" ht="19.5" customHeight="1">
      <c r="A24" s="3768"/>
      <c r="B24" s="3761"/>
      <c r="C24" s="3106" t="s">
        <v>2449</v>
      </c>
      <c r="D24" s="3107"/>
      <c r="E24" s="3108">
        <v>0.8</v>
      </c>
      <c r="F24" s="3105" t="s">
        <v>2450</v>
      </c>
      <c r="G24" s="3105"/>
    </row>
    <row r="25" spans="1:13" ht="19.5" customHeight="1" thickBot="1">
      <c r="A25" s="3769"/>
      <c r="B25" s="376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4" t="s">
        <v>2633</v>
      </c>
      <c r="B27" s="3762" t="s">
        <v>2614</v>
      </c>
      <c r="C27" s="3102" t="s">
        <v>2454</v>
      </c>
      <c r="D27" s="3103"/>
      <c r="E27" s="3104">
        <v>1</v>
      </c>
      <c r="F27" s="3105" t="s">
        <v>2455</v>
      </c>
      <c r="G27" s="3105"/>
    </row>
    <row r="28" spans="1:13" ht="19.5" customHeight="1">
      <c r="A28" s="3765"/>
      <c r="B28" s="3761"/>
      <c r="C28" s="3106" t="s">
        <v>2456</v>
      </c>
      <c r="D28" s="3107"/>
      <c r="E28" s="3108">
        <v>1</v>
      </c>
      <c r="F28" s="3105" t="s">
        <v>2457</v>
      </c>
      <c r="G28" s="3105"/>
    </row>
    <row r="29" spans="1:13" ht="19.5" customHeight="1">
      <c r="A29" s="3765"/>
      <c r="B29" s="3761"/>
      <c r="C29" s="3106" t="s">
        <v>2458</v>
      </c>
      <c r="D29" s="3107"/>
      <c r="E29" s="3108">
        <v>0.8</v>
      </c>
      <c r="F29" s="3105" t="s">
        <v>2459</v>
      </c>
      <c r="G29" s="3105"/>
    </row>
    <row r="30" spans="1:13" ht="19.5" customHeight="1">
      <c r="A30" s="3765"/>
      <c r="B30" s="3761"/>
      <c r="C30" s="3106" t="s">
        <v>2460</v>
      </c>
      <c r="D30" s="3107"/>
      <c r="E30" s="3108">
        <v>0.8</v>
      </c>
      <c r="F30" s="3105" t="s">
        <v>2461</v>
      </c>
      <c r="G30" s="3105"/>
    </row>
    <row r="31" spans="1:13" ht="19.5" customHeight="1">
      <c r="A31" s="3765"/>
      <c r="B31" s="3761"/>
      <c r="C31" s="3106" t="s">
        <v>2462</v>
      </c>
      <c r="D31" s="3107"/>
      <c r="E31" s="3108">
        <v>0.8</v>
      </c>
      <c r="F31" s="3105" t="s">
        <v>2463</v>
      </c>
      <c r="G31" s="3105"/>
    </row>
    <row r="32" spans="1:13" ht="19.5" customHeight="1">
      <c r="A32" s="3765"/>
      <c r="B32" s="3761"/>
      <c r="C32" s="3106" t="s">
        <v>2464</v>
      </c>
      <c r="D32" s="3107"/>
      <c r="E32" s="3108">
        <v>0.7</v>
      </c>
      <c r="F32" s="3105" t="s">
        <v>2465</v>
      </c>
      <c r="G32" s="3105"/>
    </row>
    <row r="33" spans="1:7" ht="19.5" customHeight="1">
      <c r="A33" s="3765"/>
      <c r="B33" s="3761"/>
      <c r="C33" s="3106" t="s">
        <v>2466</v>
      </c>
      <c r="D33" s="3107"/>
      <c r="E33" s="3108">
        <v>0.8</v>
      </c>
      <c r="F33" s="3105" t="s">
        <v>2467</v>
      </c>
      <c r="G33" s="3105"/>
    </row>
    <row r="34" spans="1:7" ht="19.5" customHeight="1">
      <c r="A34" s="3765"/>
      <c r="B34" s="3761"/>
      <c r="C34" s="3106" t="s">
        <v>2468</v>
      </c>
      <c r="D34" s="3107"/>
      <c r="E34" s="3108">
        <v>0.6</v>
      </c>
      <c r="F34" s="3105" t="s">
        <v>2469</v>
      </c>
      <c r="G34" s="3105"/>
    </row>
    <row r="35" spans="1:7" ht="19.5" customHeight="1">
      <c r="A35" s="3765"/>
      <c r="B35" s="3761"/>
      <c r="C35" s="3106" t="s">
        <v>2470</v>
      </c>
      <c r="D35" s="3107"/>
      <c r="E35" s="3108">
        <v>0.2</v>
      </c>
      <c r="F35" s="3105" t="s">
        <v>2471</v>
      </c>
      <c r="G35" s="3105"/>
    </row>
    <row r="36" spans="1:7" ht="19.5" customHeight="1">
      <c r="A36" s="3765"/>
      <c r="B36" s="3761"/>
      <c r="C36" s="3106" t="s">
        <v>2472</v>
      </c>
      <c r="D36" s="3107"/>
      <c r="E36" s="3108">
        <v>0.2</v>
      </c>
      <c r="F36" s="3105" t="s">
        <v>2473</v>
      </c>
      <c r="G36" s="3105"/>
    </row>
    <row r="37" spans="1:7" ht="19.5" customHeight="1">
      <c r="A37" s="3765"/>
      <c r="B37" s="3759" t="s">
        <v>2634</v>
      </c>
      <c r="C37" s="3106" t="s">
        <v>2474</v>
      </c>
      <c r="D37" s="3107"/>
      <c r="E37" s="3108">
        <v>0.6</v>
      </c>
      <c r="F37" s="3105" t="s">
        <v>2475</v>
      </c>
      <c r="G37" s="3105"/>
    </row>
    <row r="38" spans="1:7" ht="19.5" customHeight="1">
      <c r="A38" s="3765"/>
      <c r="B38" s="3761"/>
      <c r="C38" s="3106" t="s">
        <v>2476</v>
      </c>
      <c r="D38" s="3107"/>
      <c r="E38" s="3108">
        <v>0.6</v>
      </c>
      <c r="F38" s="3105" t="s">
        <v>2477</v>
      </c>
      <c r="G38" s="3105"/>
    </row>
    <row r="39" spans="1:7" ht="19.5" customHeight="1" thickBot="1">
      <c r="A39" s="3766"/>
      <c r="B39" s="376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7" t="s">
        <v>2612</v>
      </c>
      <c r="B41" s="3762" t="s">
        <v>2636</v>
      </c>
      <c r="C41" s="3102" t="s">
        <v>2481</v>
      </c>
      <c r="D41" s="3103"/>
      <c r="E41" s="3104">
        <v>1</v>
      </c>
      <c r="F41" s="3105" t="s">
        <v>2482</v>
      </c>
      <c r="G41" s="3105"/>
    </row>
    <row r="42" spans="1:7" ht="19.5" customHeight="1">
      <c r="A42" s="3768"/>
      <c r="B42" s="3761"/>
      <c r="C42" s="3106" t="s">
        <v>2483</v>
      </c>
      <c r="D42" s="3107"/>
      <c r="E42" s="3108">
        <v>1</v>
      </c>
      <c r="F42" s="3105" t="s">
        <v>2484</v>
      </c>
      <c r="G42" s="3105"/>
    </row>
    <row r="43" spans="1:7" ht="19.5" customHeight="1">
      <c r="A43" s="3768"/>
      <c r="B43" s="3760"/>
      <c r="C43" s="3106" t="s">
        <v>2485</v>
      </c>
      <c r="D43" s="3107"/>
      <c r="E43" s="3108">
        <v>1.5</v>
      </c>
      <c r="F43" s="3105" t="s">
        <v>2486</v>
      </c>
      <c r="G43" s="3105"/>
    </row>
    <row r="44" spans="1:7" ht="19.5" customHeight="1">
      <c r="A44" s="3768"/>
      <c r="B44" s="3117" t="s">
        <v>2637</v>
      </c>
      <c r="C44" s="3106" t="s">
        <v>2638</v>
      </c>
      <c r="D44" s="3107"/>
      <c r="E44" s="3108">
        <v>2</v>
      </c>
      <c r="F44" s="3105" t="s">
        <v>2487</v>
      </c>
      <c r="G44" s="3105"/>
    </row>
    <row r="45" spans="1:7" ht="19.5" customHeight="1">
      <c r="A45" s="3768"/>
      <c r="B45" s="3759" t="s">
        <v>2639</v>
      </c>
      <c r="C45" s="3106" t="s">
        <v>2488</v>
      </c>
      <c r="D45" s="3107"/>
      <c r="E45" s="3108">
        <v>1</v>
      </c>
      <c r="F45" s="3105" t="s">
        <v>2489</v>
      </c>
      <c r="G45" s="3105"/>
    </row>
    <row r="46" spans="1:7" ht="19.5" customHeight="1">
      <c r="A46" s="3768"/>
      <c r="B46" s="3761"/>
      <c r="C46" s="3106" t="s">
        <v>2490</v>
      </c>
      <c r="D46" s="3107"/>
      <c r="E46" s="3108">
        <v>1</v>
      </c>
      <c r="F46" s="3105" t="s">
        <v>2491</v>
      </c>
      <c r="G46" s="3105"/>
    </row>
    <row r="47" spans="1:7" ht="19.5" customHeight="1">
      <c r="A47" s="3768"/>
      <c r="B47" s="3761"/>
      <c r="C47" s="3106" t="s">
        <v>2492</v>
      </c>
      <c r="D47" s="3107"/>
      <c r="E47" s="3108">
        <v>1</v>
      </c>
      <c r="F47" s="3105" t="s">
        <v>2493</v>
      </c>
      <c r="G47" s="3105"/>
    </row>
    <row r="48" spans="1:7" ht="19.5" customHeight="1">
      <c r="A48" s="3768"/>
      <c r="B48" s="3761"/>
      <c r="C48" s="3106" t="s">
        <v>2494</v>
      </c>
      <c r="D48" s="3107"/>
      <c r="E48" s="3108">
        <v>1</v>
      </c>
      <c r="F48" s="3105" t="s">
        <v>2495</v>
      </c>
      <c r="G48" s="3105"/>
    </row>
    <row r="49" spans="1:7" ht="19.5" customHeight="1">
      <c r="A49" s="3768"/>
      <c r="B49" s="3761"/>
      <c r="C49" s="3106" t="s">
        <v>2496</v>
      </c>
      <c r="D49" s="3107"/>
      <c r="E49" s="3108">
        <v>1</v>
      </c>
      <c r="F49" s="3105" t="s">
        <v>2497</v>
      </c>
      <c r="G49" s="3105"/>
    </row>
    <row r="50" spans="1:7" ht="19.5" customHeight="1">
      <c r="A50" s="3768"/>
      <c r="B50" s="3761"/>
      <c r="C50" s="3106" t="s">
        <v>2498</v>
      </c>
      <c r="D50" s="3107"/>
      <c r="E50" s="3108">
        <v>1</v>
      </c>
      <c r="F50" s="3105" t="s">
        <v>2499</v>
      </c>
      <c r="G50" s="3105"/>
    </row>
    <row r="51" spans="1:7" ht="19.5" customHeight="1" thickBot="1">
      <c r="A51" s="3769"/>
      <c r="B51" s="376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59" t="s">
        <v>2653</v>
      </c>
      <c r="C73" s="3091" t="s">
        <v>2654</v>
      </c>
      <c r="D73" s="3091" t="s">
        <v>2655</v>
      </c>
      <c r="E73" s="3117">
        <v>0.2</v>
      </c>
      <c r="F73" s="3117">
        <v>25</v>
      </c>
    </row>
    <row r="74" spans="1:7" ht="24">
      <c r="A74" s="3117">
        <v>2</v>
      </c>
      <c r="B74" s="3761"/>
      <c r="C74" s="3091" t="s">
        <v>2656</v>
      </c>
      <c r="D74" s="3091" t="s">
        <v>2657</v>
      </c>
      <c r="E74" s="3117">
        <v>0.2</v>
      </c>
      <c r="F74" s="3117">
        <v>25</v>
      </c>
    </row>
    <row r="75" spans="1:7" ht="24">
      <c r="A75" s="3117">
        <v>3</v>
      </c>
      <c r="B75" s="3761"/>
      <c r="C75" s="3091" t="s">
        <v>2658</v>
      </c>
      <c r="D75" s="3091" t="s">
        <v>2659</v>
      </c>
      <c r="E75" s="3117">
        <v>0.2</v>
      </c>
      <c r="F75" s="3117">
        <v>25</v>
      </c>
    </row>
    <row r="76" spans="1:7" ht="13.5">
      <c r="A76" s="3117">
        <v>4</v>
      </c>
      <c r="B76" s="3761"/>
      <c r="C76" s="3091" t="s">
        <v>2660</v>
      </c>
      <c r="D76" s="3091" t="s">
        <v>2661</v>
      </c>
      <c r="E76" s="3117">
        <v>0.15</v>
      </c>
      <c r="F76" s="3117">
        <v>20</v>
      </c>
    </row>
    <row r="77" spans="1:7" ht="24">
      <c r="A77" s="3117">
        <v>5</v>
      </c>
      <c r="B77" s="3761"/>
      <c r="C77" s="3091" t="s">
        <v>2662</v>
      </c>
      <c r="D77" s="3091" t="s">
        <v>2663</v>
      </c>
      <c r="E77" s="3117">
        <v>0.15</v>
      </c>
      <c r="F77" s="3117">
        <v>20</v>
      </c>
    </row>
    <row r="78" spans="1:7" ht="24">
      <c r="A78" s="3117">
        <v>6</v>
      </c>
      <c r="B78" s="3761"/>
      <c r="C78" s="3091" t="s">
        <v>2664</v>
      </c>
      <c r="D78" s="3091" t="s">
        <v>2665</v>
      </c>
      <c r="E78" s="3117">
        <v>0.15</v>
      </c>
      <c r="F78" s="3117">
        <v>20</v>
      </c>
    </row>
    <row r="79" spans="1:7" ht="24">
      <c r="A79" s="3117">
        <v>7</v>
      </c>
      <c r="B79" s="3761"/>
      <c r="C79" s="3091" t="s">
        <v>2666</v>
      </c>
      <c r="D79" s="3091" t="s">
        <v>2667</v>
      </c>
      <c r="E79" s="3117">
        <v>0.15</v>
      </c>
      <c r="F79" s="3117">
        <v>20</v>
      </c>
    </row>
    <row r="80" spans="1:7" ht="24">
      <c r="A80" s="3117">
        <v>8</v>
      </c>
      <c r="B80" s="3761"/>
      <c r="C80" s="3091" t="s">
        <v>2668</v>
      </c>
      <c r="D80" s="3091" t="s">
        <v>2669</v>
      </c>
      <c r="E80" s="3117">
        <v>0.1</v>
      </c>
      <c r="F80" s="3117">
        <v>15</v>
      </c>
    </row>
    <row r="81" spans="1:6" ht="24">
      <c r="A81" s="3117">
        <v>9</v>
      </c>
      <c r="B81" s="3761"/>
      <c r="C81" s="3091" t="s">
        <v>2670</v>
      </c>
      <c r="D81" s="3091" t="s">
        <v>2671</v>
      </c>
      <c r="E81" s="3117">
        <v>0.1</v>
      </c>
      <c r="F81" s="3117">
        <v>15</v>
      </c>
    </row>
    <row r="82" spans="1:6" ht="24">
      <c r="A82" s="3117">
        <v>10</v>
      </c>
      <c r="B82" s="3761"/>
      <c r="C82" s="3091" t="s">
        <v>2672</v>
      </c>
      <c r="D82" s="3091" t="s">
        <v>2673</v>
      </c>
      <c r="E82" s="3117">
        <v>0.1</v>
      </c>
      <c r="F82" s="3117">
        <v>15</v>
      </c>
    </row>
    <row r="83" spans="1:6" ht="24">
      <c r="A83" s="3117">
        <v>11</v>
      </c>
      <c r="B83" s="3761"/>
      <c r="C83" s="3091" t="s">
        <v>2674</v>
      </c>
      <c r="D83" s="3091" t="s">
        <v>2675</v>
      </c>
      <c r="E83" s="3117">
        <v>0.1</v>
      </c>
      <c r="F83" s="3117">
        <v>15</v>
      </c>
    </row>
    <row r="84" spans="1:6" ht="24">
      <c r="A84" s="3117">
        <v>12</v>
      </c>
      <c r="B84" s="3761"/>
      <c r="C84" s="3091" t="s">
        <v>2676</v>
      </c>
      <c r="D84" s="3091" t="s">
        <v>2677</v>
      </c>
      <c r="E84" s="3117">
        <v>0.1</v>
      </c>
      <c r="F84" s="3117">
        <v>15</v>
      </c>
    </row>
    <row r="85" spans="1:6" ht="13.5">
      <c r="A85" s="3117">
        <v>13</v>
      </c>
      <c r="B85" s="3761"/>
      <c r="C85" s="3091" t="s">
        <v>2678</v>
      </c>
      <c r="D85" s="3091" t="s">
        <v>2679</v>
      </c>
      <c r="E85" s="3117">
        <v>0.1</v>
      </c>
      <c r="F85" s="3117">
        <v>15</v>
      </c>
    </row>
    <row r="86" spans="1:6" ht="13.5">
      <c r="A86" s="3117">
        <v>14</v>
      </c>
      <c r="B86" s="3761"/>
      <c r="C86" s="3091" t="s">
        <v>2680</v>
      </c>
      <c r="D86" s="3091" t="s">
        <v>2681</v>
      </c>
      <c r="E86" s="3117">
        <v>0.1</v>
      </c>
      <c r="F86" s="3117">
        <v>15</v>
      </c>
    </row>
    <row r="87" spans="1:6" ht="13.5">
      <c r="A87" s="3117">
        <v>15</v>
      </c>
      <c r="B87" s="3761"/>
      <c r="C87" s="3091" t="s">
        <v>2682</v>
      </c>
      <c r="D87" s="3091" t="s">
        <v>2683</v>
      </c>
      <c r="E87" s="3117">
        <v>0.1</v>
      </c>
      <c r="F87" s="3117">
        <v>15</v>
      </c>
    </row>
    <row r="88" spans="1:6" ht="24">
      <c r="A88" s="3117">
        <v>16</v>
      </c>
      <c r="B88" s="3761"/>
      <c r="C88" s="3091" t="s">
        <v>2684</v>
      </c>
      <c r="D88" s="3091" t="s">
        <v>2685</v>
      </c>
      <c r="E88" s="3117">
        <v>0.1</v>
      </c>
      <c r="F88" s="3117">
        <v>15</v>
      </c>
    </row>
    <row r="89" spans="1:6" ht="24">
      <c r="A89" s="3117">
        <v>17</v>
      </c>
      <c r="B89" s="3760"/>
      <c r="C89" s="3091" t="s">
        <v>2686</v>
      </c>
      <c r="D89" s="3091" t="s">
        <v>2687</v>
      </c>
      <c r="E89" s="3117">
        <v>0.1</v>
      </c>
      <c r="F89" s="3117">
        <v>15</v>
      </c>
    </row>
    <row r="90" spans="1:6" ht="13.5">
      <c r="A90" s="3117">
        <v>18</v>
      </c>
      <c r="B90" s="3759" t="s">
        <v>2688</v>
      </c>
      <c r="C90" s="3091" t="s">
        <v>2689</v>
      </c>
      <c r="D90" s="3091" t="s">
        <v>2690</v>
      </c>
      <c r="E90" s="3117">
        <v>0.2</v>
      </c>
      <c r="F90" s="3117">
        <v>25</v>
      </c>
    </row>
    <row r="91" spans="1:6" ht="24">
      <c r="A91" s="3117">
        <v>19</v>
      </c>
      <c r="B91" s="3761"/>
      <c r="C91" s="3091" t="s">
        <v>2691</v>
      </c>
      <c r="D91" s="3091" t="s">
        <v>2692</v>
      </c>
      <c r="E91" s="3117">
        <v>0.2</v>
      </c>
      <c r="F91" s="3117">
        <v>25</v>
      </c>
    </row>
    <row r="92" spans="1:6" ht="13.5">
      <c r="A92" s="3117">
        <v>20</v>
      </c>
      <c r="B92" s="3761"/>
      <c r="C92" s="3091" t="s">
        <v>2693</v>
      </c>
      <c r="D92" s="3091" t="s">
        <v>2694</v>
      </c>
      <c r="E92" s="3117">
        <v>0.15</v>
      </c>
      <c r="F92" s="3117">
        <v>20</v>
      </c>
    </row>
    <row r="93" spans="1:6" ht="13.5">
      <c r="A93" s="3117">
        <v>21</v>
      </c>
      <c r="B93" s="3761"/>
      <c r="C93" s="3091" t="s">
        <v>2695</v>
      </c>
      <c r="D93" s="3091" t="s">
        <v>2696</v>
      </c>
      <c r="E93" s="3117">
        <v>0.15</v>
      </c>
      <c r="F93" s="3117">
        <v>20</v>
      </c>
    </row>
    <row r="94" spans="1:6" ht="13.5">
      <c r="A94" s="3117">
        <v>22</v>
      </c>
      <c r="B94" s="3761"/>
      <c r="C94" s="3091" t="s">
        <v>2697</v>
      </c>
      <c r="D94" s="3091" t="s">
        <v>2698</v>
      </c>
      <c r="E94" s="3117">
        <v>0.15</v>
      </c>
      <c r="F94" s="3117">
        <v>20</v>
      </c>
    </row>
    <row r="95" spans="1:6" ht="36">
      <c r="A95" s="3117">
        <v>23</v>
      </c>
      <c r="B95" s="3761"/>
      <c r="C95" s="3091" t="s">
        <v>2699</v>
      </c>
      <c r="D95" s="3091" t="s">
        <v>2700</v>
      </c>
      <c r="E95" s="3117">
        <v>0.15</v>
      </c>
      <c r="F95" s="3117">
        <v>20</v>
      </c>
    </row>
    <row r="96" spans="1:6" ht="13.5">
      <c r="A96" s="3117">
        <v>24</v>
      </c>
      <c r="B96" s="3761"/>
      <c r="C96" s="3091" t="s">
        <v>2701</v>
      </c>
      <c r="D96" s="3091" t="s">
        <v>2702</v>
      </c>
      <c r="E96" s="3117">
        <v>0.1</v>
      </c>
      <c r="F96" s="3117">
        <v>15</v>
      </c>
    </row>
    <row r="97" spans="1:6" ht="13.5">
      <c r="A97" s="3117">
        <v>25</v>
      </c>
      <c r="B97" s="3761"/>
      <c r="C97" s="3091" t="s">
        <v>2703</v>
      </c>
      <c r="D97" s="3091" t="s">
        <v>2704</v>
      </c>
      <c r="E97" s="3117">
        <v>0.1</v>
      </c>
      <c r="F97" s="3117">
        <v>15</v>
      </c>
    </row>
    <row r="98" spans="1:6" ht="24">
      <c r="A98" s="3117">
        <v>26</v>
      </c>
      <c r="B98" s="3761"/>
      <c r="C98" s="3091" t="s">
        <v>2705</v>
      </c>
      <c r="D98" s="3091" t="s">
        <v>2706</v>
      </c>
      <c r="E98" s="3117">
        <v>0.1</v>
      </c>
      <c r="F98" s="3117">
        <v>15</v>
      </c>
    </row>
    <row r="99" spans="1:6" ht="24">
      <c r="A99" s="3117">
        <v>27</v>
      </c>
      <c r="B99" s="3761"/>
      <c r="C99" s="3091" t="s">
        <v>2707</v>
      </c>
      <c r="D99" s="3091" t="s">
        <v>2708</v>
      </c>
      <c r="E99" s="3117">
        <v>0.1</v>
      </c>
      <c r="F99" s="3117">
        <v>15</v>
      </c>
    </row>
    <row r="100" spans="1:6" ht="13.5">
      <c r="A100" s="3117">
        <v>28</v>
      </c>
      <c r="B100" s="3761"/>
      <c r="C100" s="3091" t="s">
        <v>2709</v>
      </c>
      <c r="D100" s="3091" t="s">
        <v>2710</v>
      </c>
      <c r="E100" s="3117">
        <v>0.1</v>
      </c>
      <c r="F100" s="3117">
        <v>15</v>
      </c>
    </row>
    <row r="101" spans="1:6" ht="13.5">
      <c r="A101" s="3117">
        <v>29</v>
      </c>
      <c r="B101" s="3761"/>
      <c r="C101" s="3091" t="s">
        <v>2711</v>
      </c>
      <c r="D101" s="3091" t="s">
        <v>2712</v>
      </c>
      <c r="E101" s="3117">
        <v>0.1</v>
      </c>
      <c r="F101" s="3117">
        <v>15</v>
      </c>
    </row>
    <row r="102" spans="1:6" ht="13.5">
      <c r="A102" s="3117">
        <v>30</v>
      </c>
      <c r="B102" s="3761"/>
      <c r="C102" s="3091" t="s">
        <v>2713</v>
      </c>
      <c r="D102" s="3091" t="s">
        <v>2714</v>
      </c>
      <c r="E102" s="3117">
        <v>0.1</v>
      </c>
      <c r="F102" s="3117">
        <v>15</v>
      </c>
    </row>
    <row r="103" spans="1:6" ht="24">
      <c r="A103" s="3117">
        <v>31</v>
      </c>
      <c r="B103" s="3761"/>
      <c r="C103" s="3091" t="s">
        <v>2715</v>
      </c>
      <c r="D103" s="3091" t="s">
        <v>2716</v>
      </c>
      <c r="E103" s="3117">
        <v>0.1</v>
      </c>
      <c r="F103" s="3117">
        <v>15</v>
      </c>
    </row>
    <row r="104" spans="1:6" ht="24">
      <c r="A104" s="3117">
        <v>32</v>
      </c>
      <c r="B104" s="3761"/>
      <c r="C104" s="3091" t="s">
        <v>2717</v>
      </c>
      <c r="D104" s="3091" t="s">
        <v>2718</v>
      </c>
      <c r="E104" s="3117">
        <v>0.1</v>
      </c>
      <c r="F104" s="3117">
        <v>15</v>
      </c>
    </row>
    <row r="105" spans="1:6" ht="24">
      <c r="A105" s="3117">
        <v>33</v>
      </c>
      <c r="B105" s="3761"/>
      <c r="C105" s="3091" t="s">
        <v>2719</v>
      </c>
      <c r="D105" s="3091" t="s">
        <v>2720</v>
      </c>
      <c r="E105" s="3117">
        <v>0.1</v>
      </c>
      <c r="F105" s="3117">
        <v>15</v>
      </c>
    </row>
    <row r="106" spans="1:6" ht="24">
      <c r="A106" s="3117">
        <v>34</v>
      </c>
      <c r="B106" s="3760"/>
      <c r="C106" s="3091" t="s">
        <v>2721</v>
      </c>
      <c r="D106" s="3091" t="s">
        <v>2722</v>
      </c>
      <c r="E106" s="3117">
        <v>0.1</v>
      </c>
      <c r="F106" s="3117">
        <v>15</v>
      </c>
    </row>
    <row r="107" spans="1:6" ht="24">
      <c r="A107" s="3117">
        <v>35</v>
      </c>
      <c r="B107" s="3759" t="s">
        <v>2723</v>
      </c>
      <c r="C107" s="3117" t="s">
        <v>2724</v>
      </c>
      <c r="D107" s="3091" t="s">
        <v>2725</v>
      </c>
      <c r="E107" s="3117">
        <v>0.15</v>
      </c>
      <c r="F107" s="3117">
        <v>20</v>
      </c>
    </row>
    <row r="108" spans="1:6" ht="13.5">
      <c r="A108" s="3117">
        <v>36</v>
      </c>
      <c r="B108" s="3761"/>
      <c r="C108" s="3117" t="s">
        <v>2726</v>
      </c>
      <c r="D108" s="3091" t="s">
        <v>2727</v>
      </c>
      <c r="E108" s="3117">
        <v>0.15</v>
      </c>
      <c r="F108" s="3117">
        <v>20</v>
      </c>
    </row>
    <row r="109" spans="1:6" ht="13.5">
      <c r="A109" s="3117">
        <v>37</v>
      </c>
      <c r="B109" s="3761"/>
      <c r="C109" s="3117" t="s">
        <v>2728</v>
      </c>
      <c r="D109" s="3091" t="s">
        <v>2729</v>
      </c>
      <c r="E109" s="3117">
        <v>0.15</v>
      </c>
      <c r="F109" s="3117">
        <v>20</v>
      </c>
    </row>
    <row r="110" spans="1:6" ht="13.5">
      <c r="A110" s="3117">
        <v>38</v>
      </c>
      <c r="B110" s="3761"/>
      <c r="C110" s="3117" t="s">
        <v>2730</v>
      </c>
      <c r="D110" s="3091" t="s">
        <v>2731</v>
      </c>
      <c r="E110" s="3117">
        <v>0.1</v>
      </c>
      <c r="F110" s="3117">
        <v>15</v>
      </c>
    </row>
    <row r="111" spans="1:6" ht="24">
      <c r="A111" s="3117">
        <v>39</v>
      </c>
      <c r="B111" s="3761"/>
      <c r="C111" s="3117" t="s">
        <v>2732</v>
      </c>
      <c r="D111" s="3091" t="s">
        <v>2733</v>
      </c>
      <c r="E111" s="3117">
        <v>0.1</v>
      </c>
      <c r="F111" s="3117">
        <v>15</v>
      </c>
    </row>
    <row r="112" spans="1:6" ht="24">
      <c r="A112" s="3117">
        <v>40</v>
      </c>
      <c r="B112" s="3760"/>
      <c r="C112" s="3117" t="s">
        <v>2734</v>
      </c>
      <c r="D112" s="3091" t="s">
        <v>2735</v>
      </c>
      <c r="E112" s="3117">
        <v>0.1</v>
      </c>
      <c r="F112" s="3117">
        <v>15</v>
      </c>
    </row>
    <row r="113" spans="1:6" ht="13.5">
      <c r="A113" s="3117">
        <v>41</v>
      </c>
      <c r="B113" s="3758" t="s">
        <v>2736</v>
      </c>
      <c r="C113" s="3117" t="s">
        <v>2737</v>
      </c>
      <c r="D113" s="3091" t="s">
        <v>2738</v>
      </c>
      <c r="E113" s="3117">
        <v>0.1</v>
      </c>
      <c r="F113" s="3117">
        <v>15</v>
      </c>
    </row>
    <row r="114" spans="1:6" ht="13.5">
      <c r="A114" s="3117">
        <v>42</v>
      </c>
      <c r="B114" s="3758"/>
      <c r="C114" s="3117" t="s">
        <v>2739</v>
      </c>
      <c r="D114" s="3091" t="s">
        <v>2740</v>
      </c>
      <c r="E114" s="3117">
        <v>0.1</v>
      </c>
      <c r="F114" s="3117">
        <v>15</v>
      </c>
    </row>
    <row r="115" spans="1:6" ht="24">
      <c r="A115" s="3117">
        <v>43</v>
      </c>
      <c r="B115" s="3758"/>
      <c r="C115" s="3117" t="s">
        <v>2741</v>
      </c>
      <c r="D115" s="3091" t="s">
        <v>2742</v>
      </c>
      <c r="E115" s="3117">
        <v>0.1</v>
      </c>
      <c r="F115" s="3117">
        <v>15</v>
      </c>
    </row>
    <row r="116" spans="1:6" ht="13.5">
      <c r="A116" s="3117">
        <v>44</v>
      </c>
      <c r="B116" s="3759" t="s">
        <v>2743</v>
      </c>
      <c r="C116" s="3117" t="s">
        <v>2744</v>
      </c>
      <c r="D116" s="3091" t="s">
        <v>2745</v>
      </c>
      <c r="E116" s="3117">
        <v>0.1</v>
      </c>
      <c r="F116" s="3117">
        <v>15</v>
      </c>
    </row>
    <row r="117" spans="1:6" ht="24">
      <c r="A117" s="3117">
        <v>45</v>
      </c>
      <c r="B117" s="3760"/>
      <c r="C117" s="3091" t="s">
        <v>2746</v>
      </c>
      <c r="D117" s="3091" t="s">
        <v>2747</v>
      </c>
      <c r="E117" s="3117">
        <v>0.1</v>
      </c>
      <c r="F117" s="3117">
        <v>15</v>
      </c>
    </row>
    <row r="118" spans="1:6" ht="24">
      <c r="A118" s="3117">
        <v>46</v>
      </c>
      <c r="B118" s="3759" t="s">
        <v>2748</v>
      </c>
      <c r="C118" s="3117" t="s">
        <v>2749</v>
      </c>
      <c r="D118" s="3091" t="s">
        <v>2750</v>
      </c>
      <c r="E118" s="3117">
        <v>0.1</v>
      </c>
      <c r="F118" s="3117">
        <v>15</v>
      </c>
    </row>
    <row r="119" spans="1:6" ht="24">
      <c r="A119" s="3117">
        <v>47</v>
      </c>
      <c r="B119" s="3760"/>
      <c r="C119" s="3117" t="s">
        <v>2751</v>
      </c>
      <c r="D119" s="3091" t="s">
        <v>2752</v>
      </c>
      <c r="E119" s="3117">
        <v>0.1</v>
      </c>
      <c r="F119" s="3117">
        <v>15</v>
      </c>
    </row>
    <row r="120" spans="1:6" ht="13.5">
      <c r="A120" s="3117">
        <v>48</v>
      </c>
      <c r="B120" s="3759" t="s">
        <v>2753</v>
      </c>
      <c r="C120" s="3117" t="s">
        <v>2754</v>
      </c>
      <c r="D120" s="3091" t="s">
        <v>2755</v>
      </c>
      <c r="E120" s="3117">
        <v>0.1</v>
      </c>
      <c r="F120" s="3117">
        <v>15</v>
      </c>
    </row>
    <row r="121" spans="1:6" ht="13.5">
      <c r="A121" s="3117">
        <v>49</v>
      </c>
      <c r="B121" s="3760"/>
      <c r="C121" s="3117" t="s">
        <v>2756</v>
      </c>
      <c r="D121" s="3091" t="s">
        <v>2757</v>
      </c>
      <c r="E121" s="3117">
        <v>0.1</v>
      </c>
      <c r="F121" s="3117">
        <v>15</v>
      </c>
    </row>
    <row r="122" spans="1:6" ht="24">
      <c r="A122" s="3117">
        <v>50</v>
      </c>
      <c r="B122" s="3758" t="s">
        <v>2758</v>
      </c>
      <c r="C122" s="3117" t="s">
        <v>2759</v>
      </c>
      <c r="D122" s="3091" t="s">
        <v>2760</v>
      </c>
      <c r="E122" s="3117">
        <v>0.1</v>
      </c>
      <c r="F122" s="3117">
        <v>15</v>
      </c>
    </row>
    <row r="123" spans="1:6" ht="24">
      <c r="A123" s="3117">
        <v>51</v>
      </c>
      <c r="B123" s="3758"/>
      <c r="C123" s="3117" t="s">
        <v>2761</v>
      </c>
      <c r="D123" s="3091" t="s">
        <v>2762</v>
      </c>
      <c r="E123" s="3117">
        <v>0.1</v>
      </c>
      <c r="F123" s="3117">
        <v>15</v>
      </c>
    </row>
    <row r="124" spans="1:6" ht="24">
      <c r="A124" s="3117">
        <v>52</v>
      </c>
      <c r="B124" s="3758" t="s">
        <v>2763</v>
      </c>
      <c r="C124" s="3117" t="s">
        <v>2764</v>
      </c>
      <c r="D124" s="3091" t="s">
        <v>2765</v>
      </c>
      <c r="E124" s="3117">
        <v>0.1</v>
      </c>
      <c r="F124" s="3117">
        <v>15</v>
      </c>
    </row>
    <row r="125" spans="1:6" ht="24">
      <c r="A125" s="3117">
        <v>53</v>
      </c>
      <c r="B125" s="375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58" t="s">
        <v>2771</v>
      </c>
      <c r="C127" s="3117" t="s">
        <v>2772</v>
      </c>
      <c r="D127" s="3091" t="s">
        <v>2773</v>
      </c>
      <c r="E127" s="3117">
        <v>0.1</v>
      </c>
      <c r="F127" s="3117">
        <v>15</v>
      </c>
    </row>
    <row r="128" spans="1:6" ht="13.5">
      <c r="A128" s="3117">
        <v>56</v>
      </c>
      <c r="B128" s="3758"/>
      <c r="C128" s="3117" t="s">
        <v>2774</v>
      </c>
      <c r="D128" s="3091" t="s">
        <v>2775</v>
      </c>
      <c r="E128" s="3117">
        <v>0.1</v>
      </c>
      <c r="F128" s="3117">
        <v>15</v>
      </c>
    </row>
    <row r="129" spans="1:6" ht="24">
      <c r="A129" s="3117">
        <v>57</v>
      </c>
      <c r="B129" s="3758"/>
      <c r="C129" s="3117" t="s">
        <v>2776</v>
      </c>
      <c r="D129" s="3091" t="s">
        <v>2777</v>
      </c>
      <c r="E129" s="3117">
        <v>0.1</v>
      </c>
      <c r="F129" s="3117">
        <v>15</v>
      </c>
    </row>
    <row r="130" spans="1:6" ht="24">
      <c r="A130" s="3117">
        <v>58</v>
      </c>
      <c r="B130" s="3758" t="s">
        <v>2778</v>
      </c>
      <c r="C130" s="3117" t="s">
        <v>2779</v>
      </c>
      <c r="D130" s="3091" t="s">
        <v>2780</v>
      </c>
      <c r="E130" s="3117">
        <v>0.1</v>
      </c>
      <c r="F130" s="3117">
        <v>15</v>
      </c>
    </row>
    <row r="131" spans="1:6" ht="13.5">
      <c r="A131" s="3117">
        <v>59</v>
      </c>
      <c r="B131" s="3758"/>
      <c r="C131" s="3117" t="s">
        <v>2781</v>
      </c>
      <c r="D131" s="3091" t="s">
        <v>2782</v>
      </c>
      <c r="E131" s="3117">
        <v>0.1</v>
      </c>
      <c r="F131" s="3117">
        <v>15</v>
      </c>
    </row>
    <row r="132" spans="1:6" ht="13.5">
      <c r="A132" s="3117">
        <v>60</v>
      </c>
      <c r="B132" s="3759" t="s">
        <v>2783</v>
      </c>
      <c r="C132" s="3117" t="s">
        <v>2784</v>
      </c>
      <c r="D132" s="3091" t="s">
        <v>2785</v>
      </c>
      <c r="E132" s="3117">
        <v>0.1</v>
      </c>
      <c r="F132" s="3117">
        <v>15</v>
      </c>
    </row>
    <row r="133" spans="1:6" ht="13.5">
      <c r="A133" s="3117">
        <v>61</v>
      </c>
      <c r="B133" s="376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58" t="s">
        <v>2791</v>
      </c>
      <c r="C135" s="3117" t="s">
        <v>2792</v>
      </c>
      <c r="D135" s="3091" t="s">
        <v>2793</v>
      </c>
      <c r="E135" s="3117">
        <v>0.1</v>
      </c>
      <c r="F135" s="3117">
        <v>15</v>
      </c>
    </row>
    <row r="136" spans="1:6" ht="13.5">
      <c r="A136" s="3117">
        <v>64</v>
      </c>
      <c r="B136" s="375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25128</v>
      </c>
      <c r="C2" s="2" t="s">
        <v>106</v>
      </c>
      <c r="D2" s="198"/>
      <c r="E2" s="198"/>
      <c r="F2" s="198"/>
      <c r="G2" s="198"/>
    </row>
    <row r="3" spans="1:7" s="199" customFormat="1" ht="18" customHeight="1" thickBot="1">
      <c r="A3" s="202" t="s">
        <v>58</v>
      </c>
      <c r="B3" s="203">
        <f ca="1">ROUND(B2*10000/'数据-汇总表'!E3,0)</f>
        <v>181537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28</v>
      </c>
      <c r="D10" s="844">
        <f>'数据-汇总表'!E6</f>
        <v>1384.1800000000003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28</v>
      </c>
      <c r="D19" s="848">
        <f>'数据-汇总表'!E3</f>
        <v>1384.1800000000003</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719</v>
      </c>
      <c r="D22" s="234">
        <f ca="1">C26</f>
        <v>2.9999999999999997E-4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1053</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1053</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24638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491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443</v>
      </c>
      <c r="D34" s="216"/>
      <c r="E34" s="219"/>
      <c r="F34" s="256">
        <f>IF('数据-取费表'!B24=0,1,'数据-取费表'!N16)</f>
        <v>1</v>
      </c>
      <c r="G34" s="218" t="s">
        <v>89</v>
      </c>
    </row>
    <row r="35" spans="1:7" ht="13.5" customHeight="1">
      <c r="A35" s="779" t="s">
        <v>351</v>
      </c>
      <c r="B35" s="214" t="s">
        <v>33</v>
      </c>
      <c r="C35" s="219">
        <f>ROUND(C34*F35,0)</f>
        <v>13</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28</v>
      </c>
      <c r="D37" s="216">
        <f>'数据-汇总表'!E3</f>
        <v>1384.1800000000003</v>
      </c>
      <c r="E37" s="248">
        <f>'数据-取费表'!B35</f>
        <v>200</v>
      </c>
      <c r="F37" s="258"/>
      <c r="G37" s="260" t="s">
        <v>92</v>
      </c>
    </row>
    <row r="38" spans="1:7" ht="13.5" customHeight="1">
      <c r="A38" s="779" t="s">
        <v>354</v>
      </c>
      <c r="B38" s="214" t="s">
        <v>36</v>
      </c>
      <c r="C38" s="219">
        <f>ROUND(C34*F38,0)</f>
        <v>7</v>
      </c>
      <c r="D38" s="219"/>
      <c r="E38" s="219"/>
      <c r="F38" s="258">
        <f>'数据-取费表'!B36</f>
        <v>1.4999999999999999E-2</v>
      </c>
      <c r="G38" s="218" t="s">
        <v>90</v>
      </c>
    </row>
    <row r="39" spans="1:7" s="213" customFormat="1" ht="13.5" customHeight="1">
      <c r="A39" s="776" t="s">
        <v>338</v>
      </c>
      <c r="B39" s="209" t="s">
        <v>77</v>
      </c>
      <c r="C39" s="231">
        <f>ROUND(C33*F20,0)</f>
        <v>10</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8</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8</v>
      </c>
      <c r="D42" s="237"/>
      <c r="E42" s="237"/>
      <c r="F42" s="238"/>
      <c r="G42" s="3638" t="s">
        <v>94</v>
      </c>
    </row>
    <row r="43" spans="1:7" ht="13.5" customHeight="1">
      <c r="A43" s="779" t="s">
        <v>347</v>
      </c>
      <c r="B43" s="214" t="s">
        <v>426</v>
      </c>
      <c r="C43" s="237">
        <f ca="1">ROUND(IF('数据-取费表'!B22&lt;=1,C39*F22*'数据-取费表'!B21/2,C39*(POWER((1+F22),'数据-取费表'!B21/2)-1)),0)</f>
        <v>0</v>
      </c>
      <c r="D43" s="237"/>
      <c r="E43" s="237"/>
      <c r="F43" s="238"/>
      <c r="G43" s="3639"/>
    </row>
    <row r="44" spans="1:7" ht="13.5" customHeight="1">
      <c r="A44" s="779" t="s">
        <v>348</v>
      </c>
      <c r="B44" s="214" t="s">
        <v>428</v>
      </c>
      <c r="C44" s="237">
        <f ca="1">ROUND(IF('数据-取费表'!B22&lt;=1,C40*F22*'数据-取费表'!B21/2,C40*(POWER((1+F22),'数据-取费表'!B21/2)-1)),4)</f>
        <v>2.9999999999999997E-4</v>
      </c>
      <c r="D44" s="237"/>
      <c r="E44" s="237"/>
      <c r="F44" s="238"/>
      <c r="G44" s="3640"/>
    </row>
    <row r="45" spans="1:7" s="213" customFormat="1" ht="13.5" customHeight="1">
      <c r="A45" s="776" t="s">
        <v>341</v>
      </c>
      <c r="B45" s="243" t="s">
        <v>85</v>
      </c>
      <c r="C45" s="244">
        <f>C46</f>
        <v>25</v>
      </c>
      <c r="D45" s="234">
        <f>C47</f>
        <v>1E-3</v>
      </c>
      <c r="E45" s="235" t="s">
        <v>102</v>
      </c>
      <c r="F45" s="245"/>
      <c r="G45" s="246" t="s">
        <v>434</v>
      </c>
    </row>
    <row r="46" spans="1:7" s="213" customFormat="1" ht="13.5" customHeight="1">
      <c r="A46" s="779" t="s">
        <v>349</v>
      </c>
      <c r="B46" s="247" t="s">
        <v>427</v>
      </c>
      <c r="C46" s="248">
        <f>ROUND((C33+C39)*F27,0)</f>
        <v>25</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576</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490</v>
      </c>
      <c r="D51" s="231"/>
      <c r="E51" s="231"/>
      <c r="F51" s="263"/>
      <c r="G51" s="233" t="s">
        <v>37</v>
      </c>
    </row>
    <row r="52" spans="1:7" s="207" customFormat="1" ht="16.5" thickBot="1">
      <c r="A52" s="264" t="s">
        <v>38</v>
      </c>
      <c r="B52" s="265"/>
      <c r="C52" s="266">
        <f ca="1">C31+C51</f>
        <v>25128</v>
      </c>
      <c r="D52" s="265"/>
      <c r="E52" s="265"/>
      <c r="F52" s="265"/>
      <c r="G52" s="267"/>
    </row>
    <row r="55" spans="1:7" ht="15">
      <c r="B55" s="269" t="s">
        <v>39</v>
      </c>
      <c r="C55" s="270"/>
    </row>
    <row r="56" spans="1:7">
      <c r="B56" s="272" t="s">
        <v>40</v>
      </c>
      <c r="C56" s="273">
        <f ca="1">ROUND(C51/C52,3)</f>
        <v>0.02</v>
      </c>
    </row>
    <row r="57" spans="1:7">
      <c r="B57" s="272" t="s">
        <v>41</v>
      </c>
      <c r="C57" s="274">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K18" sqref="K1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f>F61</f>
        <v>147</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ROUND(IF(D3="",B2*10000/'数据-汇总表'!E3,B2*10000/D3),0)</f>
        <v>1062</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70" t="s">
        <v>1919</v>
      </c>
      <c r="D6" s="3771"/>
      <c r="E6" s="3772" t="s">
        <v>1919</v>
      </c>
      <c r="F6" s="3773"/>
      <c r="G6" s="3770" t="s">
        <v>1919</v>
      </c>
      <c r="H6" s="3771"/>
      <c r="I6" s="3770" t="s">
        <v>1919</v>
      </c>
      <c r="J6" s="3771"/>
      <c r="K6" s="558"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1" t="s">
        <v>1679</v>
      </c>
      <c r="B7" s="362"/>
      <c r="C7" s="363">
        <f>'数据-取费表'!B2</f>
        <v>45378</v>
      </c>
      <c r="D7" s="364">
        <v>100</v>
      </c>
      <c r="E7" s="365">
        <f>Sheet1!J16</f>
        <v>44980.000497685185</v>
      </c>
      <c r="F7" s="366">
        <f>SUMIF(65:65,YEAR(E7)&amp;"-"&amp;INT((MONTH(E7)+2)/3),66:66)</f>
        <v>98</v>
      </c>
      <c r="G7" s="1973">
        <f>Sheet1!J20</f>
        <v>44955.000497685185</v>
      </c>
      <c r="H7" s="364">
        <f>SUMIF(65:65,YEAR(G7)&amp;"-"&amp;INT((MONTH(G7)+2)/3),66:66)</f>
        <v>98</v>
      </c>
      <c r="I7" s="1973">
        <f>Sheet1!J28</f>
        <v>44788.000497685185</v>
      </c>
      <c r="J7" s="364">
        <f>SUMIF(65:65,YEAR(I7)&amp;"-"&amp;INT((MONTH(I7)+2)/3),66:66)</f>
        <v>97</v>
      </c>
      <c r="K7" s="559"/>
      <c r="L7" s="2716"/>
      <c r="M7" s="2717"/>
      <c r="N7" s="2717"/>
      <c r="O7" s="2717"/>
      <c r="P7" s="3712" t="s">
        <v>1680</v>
      </c>
      <c r="Q7" s="3714"/>
      <c r="R7" s="700" t="s">
        <v>14</v>
      </c>
      <c r="S7" s="701">
        <f t="shared" ref="S7:S15" si="0">F7</f>
        <v>98</v>
      </c>
      <c r="T7" s="700" t="s">
        <v>14</v>
      </c>
      <c r="U7" s="701">
        <f t="shared" ref="U7:U15" si="1">H7</f>
        <v>98</v>
      </c>
      <c r="V7" s="700" t="s">
        <v>14</v>
      </c>
      <c r="W7" s="701">
        <f t="shared" ref="W7:W15" si="2">J7</f>
        <v>97</v>
      </c>
      <c r="X7" s="702"/>
      <c r="Y7" s="3712" t="s">
        <v>1680</v>
      </c>
      <c r="Z7" s="3713"/>
      <c r="AA7" s="703">
        <f>D7/F7</f>
        <v>1.0204081632653061</v>
      </c>
      <c r="AB7" s="703">
        <f>D7/H7</f>
        <v>1.0204081632653061</v>
      </c>
      <c r="AC7" s="703">
        <f>D7/J7</f>
        <v>1.0309278350515463</v>
      </c>
    </row>
    <row r="8" spans="1:29" s="108" customFormat="1" ht="15.75" thickBot="1">
      <c r="A8" s="361" t="s">
        <v>1681</v>
      </c>
      <c r="B8" s="362"/>
      <c r="C8" s="367" t="s">
        <v>1682</v>
      </c>
      <c r="D8" s="364">
        <v>100</v>
      </c>
      <c r="E8" s="367" t="s">
        <v>3627</v>
      </c>
      <c r="F8" s="366">
        <f>SUMIF(68:68,E8,69:69)-SUMIF(68:68,C8,69:69)+100</f>
        <v>100</v>
      </c>
      <c r="G8" s="367" t="s">
        <v>3627</v>
      </c>
      <c r="H8" s="364">
        <f>SUMIF(68:68,G8,69:69)-SUMIF(68:68,C8,69:69)+100</f>
        <v>100</v>
      </c>
      <c r="I8" s="367" t="s">
        <v>3627</v>
      </c>
      <c r="J8" s="364">
        <f>SUMIF(68:68,I8,69:69)-SUMIF(68:68,C8,69:69)+100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40" si="3">D8/F8</f>
        <v>1</v>
      </c>
      <c r="AB8" s="703">
        <f t="shared" ref="AB8:AB40" si="4">D8/H8</f>
        <v>1</v>
      </c>
      <c r="AC8" s="703">
        <f t="shared" ref="AC8:AC40" si="5">D8/J8</f>
        <v>1</v>
      </c>
    </row>
    <row r="9" spans="1:29" s="108" customFormat="1">
      <c r="A9" s="368" t="s">
        <v>1684</v>
      </c>
      <c r="B9" s="63" t="s">
        <v>1685</v>
      </c>
      <c r="C9" s="1976" t="s">
        <v>3</v>
      </c>
      <c r="D9" s="125">
        <v>100</v>
      </c>
      <c r="E9" s="1976" t="s">
        <v>3</v>
      </c>
      <c r="F9" s="125">
        <f>SUMIF(70:70,E9,71:71)-SUMIF(70:70,C9,71:71)+100</f>
        <v>100</v>
      </c>
      <c r="G9" s="1976" t="s">
        <v>3</v>
      </c>
      <c r="H9" s="125">
        <f>SUMIF(70:70,G9,71:71)-SUMIF(70:70,C9,71:71)+100</f>
        <v>100</v>
      </c>
      <c r="I9" s="1976" t="s">
        <v>3</v>
      </c>
      <c r="J9" s="125">
        <f>SUMIF(70:70,I9,71:71)-SUMIF(70:70,C9,71:71)+100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82">
        <v>0.3</v>
      </c>
      <c r="D10" s="126">
        <v>100</v>
      </c>
      <c r="E10" s="382"/>
      <c r="F10" s="126">
        <f>ROUND(100/'数据-取费表'!G16,0)</f>
        <v>107</v>
      </c>
      <c r="G10" s="382"/>
      <c r="H10" s="126">
        <f>ROUND(100/'数据-取费表'!G16,0)</f>
        <v>107</v>
      </c>
      <c r="I10" s="382"/>
      <c r="J10" s="126">
        <f>ROUND(100/'数据-取费表'!G16,0)</f>
        <v>107</v>
      </c>
      <c r="K10" s="619"/>
      <c r="L10" s="2718"/>
      <c r="M10" s="2719"/>
      <c r="N10" s="2719"/>
      <c r="O10" s="2772"/>
      <c r="P10" s="3676"/>
      <c r="Q10" s="1342" t="str">
        <f t="shared" si="6"/>
        <v>土地使用年限（年）</v>
      </c>
      <c r="R10" s="700" t="s">
        <v>14</v>
      </c>
      <c r="S10" s="701">
        <f t="shared" si="0"/>
        <v>107</v>
      </c>
      <c r="T10" s="700" t="s">
        <v>14</v>
      </c>
      <c r="U10" s="701">
        <f t="shared" si="1"/>
        <v>107</v>
      </c>
      <c r="V10" s="700" t="s">
        <v>14</v>
      </c>
      <c r="W10" s="701">
        <f t="shared" si="2"/>
        <v>107</v>
      </c>
      <c r="X10" s="702"/>
      <c r="Y10" s="3545"/>
      <c r="Z10" s="52" t="str">
        <f t="shared" si="7"/>
        <v>土地使用年限（年）</v>
      </c>
      <c r="AA10" s="703">
        <f t="shared" si="3"/>
        <v>0.93457943925233644</v>
      </c>
      <c r="AB10" s="703">
        <f t="shared" si="4"/>
        <v>0.93457943925233644</v>
      </c>
      <c r="AC10" s="703">
        <f t="shared" si="5"/>
        <v>0.93457943925233644</v>
      </c>
    </row>
    <row r="11" spans="1:29" ht="15">
      <c r="A11" s="378"/>
      <c r="B11" s="374" t="s">
        <v>1689</v>
      </c>
      <c r="C11" s="379"/>
      <c r="D11" s="126">
        <v>100</v>
      </c>
      <c r="E11" s="379"/>
      <c r="F11" s="126">
        <f>LOOKUP(E11,75:75,76:76)-LOOKUP(C11,75:75,76:76)+100</f>
        <v>100</v>
      </c>
      <c r="G11" s="380"/>
      <c r="H11" s="126">
        <f>LOOKUP(G11,75:75,76:76)-LOOKUP(C11,75:75,76:76)+100</f>
        <v>100</v>
      </c>
      <c r="I11" s="379"/>
      <c r="J11" s="126">
        <f>LOOKUP(I11,75:75,76:76)-LOOKUP(C11,75:75,76:76)+100</f>
        <v>100</v>
      </c>
      <c r="K11" s="620"/>
      <c r="L11" s="2720"/>
      <c r="M11" s="2715"/>
      <c r="N11" s="2715"/>
      <c r="O11" s="2773"/>
      <c r="P11" s="3676"/>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703">
        <f t="shared" si="5"/>
        <v>1</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102</v>
      </c>
      <c r="G15" s="392"/>
      <c r="H15" s="391">
        <f>SUMIF(83:83,G16,84:84)-SUMIF(83:83,C16,84:84)+100</f>
        <v>102</v>
      </c>
      <c r="I15" s="394"/>
      <c r="J15" s="391">
        <f>SUMIF(83:83,I16,84:84)-SUMIF(83:83,C16,84:84)+100</f>
        <v>102</v>
      </c>
      <c r="K15" s="620">
        <v>2</v>
      </c>
      <c r="L15" s="2721"/>
      <c r="M15" s="2715"/>
      <c r="N15" s="2715"/>
      <c r="O15" s="2773"/>
      <c r="P15" s="3678" t="s">
        <v>1691</v>
      </c>
      <c r="Q15" s="1351" t="str">
        <f t="shared" si="6"/>
        <v>产业集聚程度</v>
      </c>
      <c r="R15" s="704" t="s">
        <v>14</v>
      </c>
      <c r="S15" s="705">
        <f t="shared" si="0"/>
        <v>102</v>
      </c>
      <c r="T15" s="704" t="s">
        <v>14</v>
      </c>
      <c r="U15" s="705">
        <f t="shared" si="1"/>
        <v>102</v>
      </c>
      <c r="V15" s="704" t="s">
        <v>14</v>
      </c>
      <c r="W15" s="705">
        <f t="shared" si="2"/>
        <v>102</v>
      </c>
      <c r="X15" s="1354"/>
      <c r="Y15" s="3678" t="s">
        <v>1691</v>
      </c>
      <c r="Z15" s="1355" t="str">
        <f t="shared" si="7"/>
        <v>产业集聚程度</v>
      </c>
      <c r="AA15" s="1352">
        <f t="shared" si="3"/>
        <v>0.98039215686274506</v>
      </c>
      <c r="AB15" s="1352">
        <f t="shared" si="4"/>
        <v>0.98039215686274506</v>
      </c>
      <c r="AC15" s="1352">
        <f t="shared" si="5"/>
        <v>0.98039215686274506</v>
      </c>
    </row>
    <row r="16" spans="1:29" ht="15">
      <c r="A16" s="378"/>
      <c r="B16" s="577"/>
      <c r="C16" s="397" t="s">
        <v>3406</v>
      </c>
      <c r="D16" s="398"/>
      <c r="E16" s="1903" t="s">
        <v>3405</v>
      </c>
      <c r="F16" s="398"/>
      <c r="G16" s="1903" t="s">
        <v>3405</v>
      </c>
      <c r="H16" s="400"/>
      <c r="I16" s="1903" t="s">
        <v>3405</v>
      </c>
      <c r="J16" s="398"/>
      <c r="K16" s="619"/>
      <c r="L16" s="2721"/>
      <c r="M16" s="2715"/>
      <c r="N16" s="2715"/>
      <c r="O16" s="2773"/>
      <c r="P16" s="3679"/>
      <c r="Q16" s="1351"/>
      <c r="R16" s="704"/>
      <c r="S16" s="705"/>
      <c r="T16" s="704"/>
      <c r="U16" s="705"/>
      <c r="V16" s="704"/>
      <c r="W16" s="705"/>
      <c r="X16" s="1354"/>
      <c r="Y16" s="3679"/>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101</v>
      </c>
      <c r="G17" s="402"/>
      <c r="H17" s="405">
        <f>SUMIF(85:85,G18,86:86)-SUMIF(85:85,C18,86:86)+100</f>
        <v>101</v>
      </c>
      <c r="I17" s="404"/>
      <c r="J17" s="400">
        <f>SUMIF(85:85,I18,86:86)-SUMIF(85:85,C18,86:86)+100</f>
        <v>101</v>
      </c>
      <c r="K17" s="620">
        <v>1</v>
      </c>
      <c r="L17" s="2721"/>
      <c r="M17" s="2715"/>
      <c r="N17" s="2715"/>
      <c r="O17" s="2773"/>
      <c r="P17" s="3679"/>
      <c r="Q17" s="1351" t="str">
        <f>B17</f>
        <v>交通便捷度</v>
      </c>
      <c r="R17" s="704" t="s">
        <v>14</v>
      </c>
      <c r="S17" s="705">
        <f>F17</f>
        <v>101</v>
      </c>
      <c r="T17" s="704" t="s">
        <v>14</v>
      </c>
      <c r="U17" s="705">
        <f>H17</f>
        <v>101</v>
      </c>
      <c r="V17" s="704" t="s">
        <v>14</v>
      </c>
      <c r="W17" s="705">
        <f>J17</f>
        <v>101</v>
      </c>
      <c r="X17" s="1354"/>
      <c r="Y17" s="3679"/>
      <c r="Z17" s="1355" t="str">
        <f>Q17</f>
        <v>交通便捷度</v>
      </c>
      <c r="AA17" s="1352">
        <f t="shared" si="3"/>
        <v>0.99009900990099009</v>
      </c>
      <c r="AB17" s="1352">
        <f t="shared" si="4"/>
        <v>0.99009900990099009</v>
      </c>
      <c r="AC17" s="1352">
        <f t="shared" si="5"/>
        <v>0.99009900990099009</v>
      </c>
    </row>
    <row r="18" spans="1:29" ht="15">
      <c r="A18" s="378"/>
      <c r="B18" s="579"/>
      <c r="C18" s="397" t="s">
        <v>3406</v>
      </c>
      <c r="D18" s="398"/>
      <c r="E18" s="1897" t="s">
        <v>3405</v>
      </c>
      <c r="F18" s="398"/>
      <c r="G18" s="1897" t="s">
        <v>3405</v>
      </c>
      <c r="H18" s="398"/>
      <c r="I18" s="1897" t="s">
        <v>3405</v>
      </c>
      <c r="J18" s="398"/>
      <c r="K18" s="619"/>
      <c r="L18" s="2721"/>
      <c r="M18" s="2715"/>
      <c r="N18" s="2715"/>
      <c r="O18" s="2773"/>
      <c r="P18" s="3679"/>
      <c r="Q18" s="1351"/>
      <c r="R18" s="704"/>
      <c r="S18" s="705"/>
      <c r="T18" s="704"/>
      <c r="U18" s="705"/>
      <c r="V18" s="704"/>
      <c r="W18" s="705"/>
      <c r="X18" s="1354"/>
      <c r="Y18" s="3679"/>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v>1</v>
      </c>
      <c r="L19" s="2721"/>
      <c r="M19" s="2715"/>
      <c r="N19" s="2715"/>
      <c r="O19" s="2773"/>
      <c r="P19" s="3679"/>
      <c r="Q19" s="1351" t="str">
        <f t="shared" ref="Q19:Q33" si="8">B19</f>
        <v>区域土地利用方向</v>
      </c>
      <c r="R19" s="704" t="s">
        <v>14</v>
      </c>
      <c r="S19" s="705">
        <f>F19</f>
        <v>100</v>
      </c>
      <c r="T19" s="704" t="s">
        <v>14</v>
      </c>
      <c r="U19" s="705">
        <f>H19</f>
        <v>100</v>
      </c>
      <c r="V19" s="704" t="s">
        <v>14</v>
      </c>
      <c r="W19" s="705">
        <f>J19</f>
        <v>100</v>
      </c>
      <c r="X19" s="1354"/>
      <c r="Y19" s="3679"/>
      <c r="Z19" s="1355" t="str">
        <f>Q19</f>
        <v>区域土地利用方向</v>
      </c>
      <c r="AA19" s="1352">
        <f t="shared" si="3"/>
        <v>1</v>
      </c>
      <c r="AB19" s="1352">
        <f t="shared" si="4"/>
        <v>1</v>
      </c>
      <c r="AC19" s="1352">
        <f t="shared" si="5"/>
        <v>1</v>
      </c>
    </row>
    <row r="20" spans="1:29" ht="15">
      <c r="A20" s="357"/>
      <c r="B20" s="579"/>
      <c r="C20" s="397" t="s">
        <v>3405</v>
      </c>
      <c r="D20" s="398"/>
      <c r="E20" s="397" t="s">
        <v>3405</v>
      </c>
      <c r="F20" s="398"/>
      <c r="G20" s="397" t="s">
        <v>3405</v>
      </c>
      <c r="H20" s="398"/>
      <c r="I20" s="397" t="s">
        <v>3405</v>
      </c>
      <c r="J20" s="398"/>
      <c r="K20" s="739"/>
      <c r="L20" s="2721"/>
      <c r="M20" s="2715"/>
      <c r="N20" s="2715"/>
      <c r="O20" s="2773"/>
      <c r="P20" s="3679"/>
      <c r="Q20" s="1351"/>
      <c r="R20" s="704"/>
      <c r="S20" s="705"/>
      <c r="T20" s="704"/>
      <c r="U20" s="705"/>
      <c r="V20" s="704"/>
      <c r="W20" s="705"/>
      <c r="X20" s="1354"/>
      <c r="Y20" s="3679"/>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v>2</v>
      </c>
      <c r="L21" s="2721"/>
      <c r="M21" s="2715"/>
      <c r="N21" s="2715"/>
      <c r="O21" s="2773"/>
      <c r="P21" s="3679"/>
      <c r="Q21" s="1351" t="str">
        <f t="shared" si="8"/>
        <v>环境状况</v>
      </c>
      <c r="R21" s="704" t="s">
        <v>14</v>
      </c>
      <c r="S21" s="705">
        <f>F21</f>
        <v>100</v>
      </c>
      <c r="T21" s="704" t="s">
        <v>14</v>
      </c>
      <c r="U21" s="705">
        <f>H21</f>
        <v>100</v>
      </c>
      <c r="V21" s="704" t="s">
        <v>14</v>
      </c>
      <c r="W21" s="705">
        <f>J21</f>
        <v>100</v>
      </c>
      <c r="X21" s="1354"/>
      <c r="Y21" s="3679"/>
      <c r="Z21" s="1355" t="str">
        <f>Q21</f>
        <v>环境状况</v>
      </c>
      <c r="AA21" s="1352">
        <f t="shared" si="3"/>
        <v>1</v>
      </c>
      <c r="AB21" s="1352">
        <f t="shared" si="4"/>
        <v>1</v>
      </c>
      <c r="AC21" s="1352">
        <f t="shared" si="5"/>
        <v>1</v>
      </c>
    </row>
    <row r="22" spans="1:29" ht="15">
      <c r="A22" s="357"/>
      <c r="B22" s="579"/>
      <c r="C22" s="397" t="s">
        <v>3405</v>
      </c>
      <c r="D22" s="398"/>
      <c r="E22" s="397" t="s">
        <v>3405</v>
      </c>
      <c r="F22" s="398"/>
      <c r="G22" s="397" t="s">
        <v>3405</v>
      </c>
      <c r="H22" s="398"/>
      <c r="I22" s="397" t="s">
        <v>3405</v>
      </c>
      <c r="J22" s="398"/>
      <c r="K22" s="619"/>
      <c r="L22" s="2721"/>
      <c r="M22" s="2715"/>
      <c r="N22" s="2715"/>
      <c r="O22" s="2773"/>
      <c r="P22" s="3679"/>
      <c r="Q22" s="1351"/>
      <c r="R22" s="704"/>
      <c r="S22" s="705"/>
      <c r="T22" s="704"/>
      <c r="U22" s="705"/>
      <c r="V22" s="704"/>
      <c r="W22" s="705"/>
      <c r="X22" s="1354"/>
      <c r="Y22" s="3679"/>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v>2</v>
      </c>
      <c r="L23" s="2716"/>
      <c r="M23" s="2717"/>
      <c r="N23" s="2717"/>
      <c r="O23" s="2771"/>
      <c r="P23" s="3679"/>
      <c r="Q23" s="1342" t="str">
        <f t="shared" si="8"/>
        <v>公共配套设施</v>
      </c>
      <c r="R23" s="700" t="s">
        <v>14</v>
      </c>
      <c r="S23" s="701">
        <f>F23</f>
        <v>100</v>
      </c>
      <c r="T23" s="700" t="s">
        <v>14</v>
      </c>
      <c r="U23" s="701">
        <f>H23</f>
        <v>100</v>
      </c>
      <c r="V23" s="700" t="s">
        <v>14</v>
      </c>
      <c r="W23" s="701">
        <f>J23</f>
        <v>100</v>
      </c>
      <c r="X23" s="702"/>
      <c r="Y23" s="3679"/>
      <c r="Z23" s="52" t="str">
        <f>Q23</f>
        <v>公共配套设施</v>
      </c>
      <c r="AA23" s="1352">
        <f>D23/F23</f>
        <v>1</v>
      </c>
      <c r="AB23" s="1352">
        <f>D23/H23</f>
        <v>1</v>
      </c>
      <c r="AC23" s="1352">
        <f>D23/J23</f>
        <v>1</v>
      </c>
    </row>
    <row r="24" spans="1:29" s="108" customFormat="1" ht="15">
      <c r="A24" s="596"/>
      <c r="B24" s="579"/>
      <c r="C24" s="397" t="s">
        <v>3406</v>
      </c>
      <c r="D24" s="398"/>
      <c r="E24" s="397" t="s">
        <v>3406</v>
      </c>
      <c r="F24" s="398"/>
      <c r="G24" s="397" t="s">
        <v>3406</v>
      </c>
      <c r="H24" s="398"/>
      <c r="I24" s="397" t="s">
        <v>3406</v>
      </c>
      <c r="J24" s="398"/>
      <c r="K24" s="619"/>
      <c r="L24" s="2716"/>
      <c r="M24" s="2717"/>
      <c r="N24" s="2717"/>
      <c r="O24" s="2771"/>
      <c r="P24" s="3679"/>
      <c r="Q24" s="1342"/>
      <c r="R24" s="700"/>
      <c r="S24" s="701"/>
      <c r="T24" s="700"/>
      <c r="U24" s="701"/>
      <c r="V24" s="700"/>
      <c r="W24" s="701"/>
      <c r="X24" s="702"/>
      <c r="Y24" s="3679"/>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v>2</v>
      </c>
      <c r="L25" s="2716"/>
      <c r="M25" s="2717"/>
      <c r="N25" s="2717"/>
      <c r="O25" s="2771"/>
      <c r="P25" s="3679"/>
      <c r="Q25" s="1342" t="str">
        <f t="shared" ref="Q25" si="9">B25</f>
        <v>基础设施水平</v>
      </c>
      <c r="R25" s="700" t="s">
        <v>14</v>
      </c>
      <c r="S25" s="701">
        <f>F25</f>
        <v>100</v>
      </c>
      <c r="T25" s="700" t="s">
        <v>14</v>
      </c>
      <c r="U25" s="701">
        <f>H25</f>
        <v>100</v>
      </c>
      <c r="V25" s="700" t="s">
        <v>14</v>
      </c>
      <c r="W25" s="701">
        <f>J25</f>
        <v>100</v>
      </c>
      <c r="X25" s="702"/>
      <c r="Y25" s="3679"/>
      <c r="Z25" s="52" t="str">
        <f>Q25</f>
        <v>基础设施水平</v>
      </c>
      <c r="AA25" s="1352">
        <f>D25/F25</f>
        <v>1</v>
      </c>
      <c r="AB25" s="1352">
        <f>D25/H25</f>
        <v>1</v>
      </c>
      <c r="AC25" s="1352">
        <f>D25/J25</f>
        <v>1</v>
      </c>
    </row>
    <row r="26" spans="1:29" s="108" customFormat="1" ht="15">
      <c r="A26" s="596"/>
      <c r="B26" s="579"/>
      <c r="C26" s="1977" t="s">
        <v>3626</v>
      </c>
      <c r="D26" s="398"/>
      <c r="E26" s="1977" t="s">
        <v>3626</v>
      </c>
      <c r="F26" s="398"/>
      <c r="G26" s="1977" t="s">
        <v>3626</v>
      </c>
      <c r="H26" s="398"/>
      <c r="I26" s="1977" t="s">
        <v>3626</v>
      </c>
      <c r="J26" s="398"/>
      <c r="K26" s="619"/>
      <c r="L26" s="2716"/>
      <c r="M26" s="2717"/>
      <c r="N26" s="2717"/>
      <c r="O26" s="2771"/>
      <c r="P26" s="3679"/>
      <c r="Q26" s="1342"/>
      <c r="R26" s="700"/>
      <c r="S26" s="701"/>
      <c r="T26" s="700"/>
      <c r="U26" s="701"/>
      <c r="V26" s="700"/>
      <c r="W26" s="701"/>
      <c r="X26" s="702"/>
      <c r="Y26" s="3679"/>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7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9"/>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79"/>
      <c r="Q28" s="1351" t="str">
        <f t="shared" si="8"/>
        <v>毗邻道路的类型与等级</v>
      </c>
      <c r="R28" s="704" t="s">
        <v>14</v>
      </c>
      <c r="S28" s="705">
        <f t="shared" si="10"/>
        <v>100</v>
      </c>
      <c r="T28" s="704" t="s">
        <v>14</v>
      </c>
      <c r="U28" s="705">
        <f t="shared" si="11"/>
        <v>100</v>
      </c>
      <c r="V28" s="704" t="s">
        <v>14</v>
      </c>
      <c r="W28" s="705">
        <f t="shared" si="12"/>
        <v>100</v>
      </c>
      <c r="X28" s="1354"/>
      <c r="Y28" s="367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79"/>
      <c r="Q29" s="1351"/>
      <c r="R29" s="704"/>
      <c r="S29" s="705"/>
      <c r="T29" s="704"/>
      <c r="U29" s="705"/>
      <c r="V29" s="704"/>
      <c r="W29" s="705"/>
      <c r="X29" s="1354"/>
      <c r="Y29" s="3679"/>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79"/>
      <c r="Q30" s="1351" t="str">
        <f t="shared" si="8"/>
        <v>土地级别</v>
      </c>
      <c r="R30" s="704" t="s">
        <v>14</v>
      </c>
      <c r="S30" s="705">
        <f t="shared" si="10"/>
        <v>100</v>
      </c>
      <c r="T30" s="704" t="s">
        <v>14</v>
      </c>
      <c r="U30" s="705">
        <f t="shared" si="11"/>
        <v>100</v>
      </c>
      <c r="V30" s="704" t="s">
        <v>14</v>
      </c>
      <c r="W30" s="705">
        <f t="shared" si="12"/>
        <v>100</v>
      </c>
      <c r="X30" s="1354"/>
      <c r="Y30" s="367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79"/>
      <c r="Q31" s="1351">
        <f t="shared" si="8"/>
        <v>111</v>
      </c>
      <c r="R31" s="704" t="s">
        <v>14</v>
      </c>
      <c r="S31" s="705">
        <f t="shared" si="10"/>
        <v>100</v>
      </c>
      <c r="T31" s="704" t="s">
        <v>14</v>
      </c>
      <c r="U31" s="705">
        <f t="shared" si="11"/>
        <v>100</v>
      </c>
      <c r="V31" s="704" t="s">
        <v>14</v>
      </c>
      <c r="W31" s="705">
        <f t="shared" si="12"/>
        <v>100</v>
      </c>
      <c r="X31" s="1354"/>
      <c r="Y31" s="367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4"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0" t="s">
        <v>1694</v>
      </c>
      <c r="B34" s="406" t="s">
        <v>1874</v>
      </c>
      <c r="C34" s="626">
        <f>'数据-汇总表'!D6</f>
        <v>929.76</v>
      </c>
      <c r="D34" s="417">
        <v>100</v>
      </c>
      <c r="E34" s="626">
        <f>Sheet1!E16</f>
        <v>6837.8</v>
      </c>
      <c r="F34" s="417">
        <f>LOOKUP(E34,108:108,109:109)-LOOKUP(C34,108:108,109:109)+100</f>
        <v>100</v>
      </c>
      <c r="G34" s="626">
        <f>Sheet1!E20</f>
        <v>3658.3</v>
      </c>
      <c r="H34" s="417">
        <f>LOOKUP(G34,108:108,109:109)-LOOKUP(C34,108:108,109:109)+100</f>
        <v>100</v>
      </c>
      <c r="I34" s="478">
        <f>Sheet1!E28</f>
        <v>7506.5</v>
      </c>
      <c r="J34" s="417">
        <f>LOOKUP(I34,108:108,109:109)-LOOKUP(C34,108:108,109:109)+100</f>
        <v>100</v>
      </c>
      <c r="K34" s="561"/>
      <c r="L34" s="2721"/>
      <c r="M34" s="2715"/>
      <c r="N34" s="2715"/>
      <c r="O34" s="2773"/>
      <c r="P34" s="3683"/>
      <c r="Q34" s="1351" t="str">
        <f>B34</f>
        <v>宗地面积</v>
      </c>
      <c r="R34" s="704" t="s">
        <v>14</v>
      </c>
      <c r="S34" s="705">
        <f t="shared" si="10"/>
        <v>100</v>
      </c>
      <c r="T34" s="704" t="s">
        <v>14</v>
      </c>
      <c r="U34" s="705">
        <f t="shared" si="11"/>
        <v>100</v>
      </c>
      <c r="V34" s="704" t="s">
        <v>14</v>
      </c>
      <c r="W34" s="705">
        <f t="shared" si="12"/>
        <v>100</v>
      </c>
      <c r="X34" s="1354"/>
      <c r="Y34" s="3683"/>
      <c r="Z34" s="1355" t="str">
        <f t="shared" si="13"/>
        <v>宗地面积</v>
      </c>
      <c r="AA34" s="1352">
        <f t="shared" si="3"/>
        <v>1</v>
      </c>
      <c r="AB34" s="1352">
        <f t="shared" si="4"/>
        <v>1</v>
      </c>
      <c r="AC34" s="1352">
        <f t="shared" si="5"/>
        <v>1</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3"/>
      <c r="B36" s="374" t="s">
        <v>1877</v>
      </c>
      <c r="C36" s="1979" t="s">
        <v>3628</v>
      </c>
      <c r="D36" s="126">
        <v>100</v>
      </c>
      <c r="E36" s="1979" t="s">
        <v>3630</v>
      </c>
      <c r="F36" s="385">
        <f>SUMIF(112:112,E36,113:113)-SUMIF(112:112,C36,113:113)+100</f>
        <v>96</v>
      </c>
      <c r="G36" s="1979" t="s">
        <v>3630</v>
      </c>
      <c r="H36" s="385">
        <f>SUMIF(112:112,G36,113:113)-SUMIF(112:112,C36,113:113)+100</f>
        <v>96</v>
      </c>
      <c r="I36" s="1979" t="s">
        <v>3630</v>
      </c>
      <c r="J36" s="385">
        <f>SUMIF(112:112,I36,113:113)-SUMIF(112:112,C36,113:113)+100</f>
        <v>96</v>
      </c>
      <c r="K36" s="560">
        <v>2</v>
      </c>
      <c r="L36" s="2716"/>
      <c r="M36" s="2717"/>
      <c r="N36" s="2717"/>
      <c r="O36" s="2771"/>
      <c r="P36" s="3683"/>
      <c r="Q36" s="1351" t="str">
        <f t="shared" si="14"/>
        <v>宗地开发程度</v>
      </c>
      <c r="R36" s="700" t="s">
        <v>14</v>
      </c>
      <c r="S36" s="701">
        <f t="shared" si="10"/>
        <v>96</v>
      </c>
      <c r="T36" s="700" t="s">
        <v>14</v>
      </c>
      <c r="U36" s="701">
        <f t="shared" si="11"/>
        <v>96</v>
      </c>
      <c r="V36" s="700" t="s">
        <v>14</v>
      </c>
      <c r="W36" s="701">
        <f t="shared" si="12"/>
        <v>96</v>
      </c>
      <c r="X36" s="702"/>
      <c r="Y36" s="3683"/>
      <c r="Z36" s="52" t="str">
        <f t="shared" si="13"/>
        <v>宗地开发程度</v>
      </c>
      <c r="AA36" s="703">
        <f t="shared" si="3"/>
        <v>1.0416666666666667</v>
      </c>
      <c r="AB36" s="703">
        <f t="shared" si="4"/>
        <v>1.0416666666666667</v>
      </c>
      <c r="AC36" s="703">
        <f t="shared" si="5"/>
        <v>1.0416666666666667</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29" t="s">
        <v>1844</v>
      </c>
      <c r="B41" s="1981" t="s">
        <v>3625</v>
      </c>
      <c r="C41" s="629" t="s">
        <v>0</v>
      </c>
      <c r="D41" s="431"/>
      <c r="E41" s="432">
        <f>Sheet1!T16</f>
        <v>1285</v>
      </c>
      <c r="F41" s="433"/>
      <c r="G41" s="434">
        <f>Sheet1!T20</f>
        <v>1340</v>
      </c>
      <c r="H41" s="435"/>
      <c r="I41" s="432">
        <f>Sheet1!T28</f>
        <v>1428</v>
      </c>
      <c r="J41" s="435"/>
      <c r="K41" s="713"/>
      <c r="L41" s="2723"/>
      <c r="M41" s="2715"/>
      <c r="N41" s="2715"/>
      <c r="O41" s="2724"/>
      <c r="P41" s="3676" t="str">
        <f>A41</f>
        <v>成交单价</v>
      </c>
      <c r="Q41" s="3676"/>
      <c r="R41" s="3707">
        <f>E41</f>
        <v>1285</v>
      </c>
      <c r="S41" s="3707"/>
      <c r="T41" s="3707">
        <f>G41</f>
        <v>1340</v>
      </c>
      <c r="U41" s="3707"/>
      <c r="V41" s="3707">
        <f>I41</f>
        <v>1428</v>
      </c>
      <c r="W41" s="3707"/>
      <c r="X41" s="689"/>
      <c r="Y41" s="711"/>
      <c r="Z41" s="689"/>
      <c r="AA41" s="689"/>
      <c r="AB41" s="689"/>
      <c r="AC41" s="689"/>
    </row>
    <row r="42" spans="1:31" ht="15.75" thickBot="1">
      <c r="A42" s="436" t="s">
        <v>1793</v>
      </c>
      <c r="B42" s="630"/>
      <c r="C42" s="439">
        <f>R43</f>
        <v>1307</v>
      </c>
      <c r="D42" s="2316" t="s">
        <v>2136</v>
      </c>
      <c r="E42" s="439">
        <f>R42</f>
        <v>1239</v>
      </c>
      <c r="F42" s="2317"/>
      <c r="G42" s="438">
        <f>T42</f>
        <v>1292</v>
      </c>
      <c r="H42" s="2317"/>
      <c r="I42" s="439">
        <f>V42</f>
        <v>1391</v>
      </c>
      <c r="J42" s="2317"/>
      <c r="K42" s="2319">
        <f>F42+H42+J42</f>
        <v>0</v>
      </c>
      <c r="L42" s="2723"/>
      <c r="M42" s="2715"/>
      <c r="N42" s="2715"/>
      <c r="O42" s="2724"/>
      <c r="P42" s="3676" t="str">
        <f>A42</f>
        <v>比较价值（元/平方米）</v>
      </c>
      <c r="Q42" s="3676"/>
      <c r="R42" s="3736">
        <f>ROUND(PRODUCT(R41,AA7:AA40),0)</f>
        <v>1239</v>
      </c>
      <c r="S42" s="3736"/>
      <c r="T42" s="3736">
        <f>ROUND(PRODUCT(T41,AB7:AB40),0)</f>
        <v>1292</v>
      </c>
      <c r="U42" s="3736"/>
      <c r="V42" s="3736">
        <f>ROUND(PRODUCT(V41,AC7:AC40),0)</f>
        <v>1391</v>
      </c>
      <c r="W42" s="3736"/>
      <c r="X42" s="689"/>
      <c r="Y42" s="689"/>
      <c r="Z42" s="689"/>
      <c r="AA42" s="689"/>
      <c r="AB42" s="689"/>
      <c r="AC42" s="689"/>
    </row>
    <row r="43" spans="1:31" ht="15.75" thickBot="1">
      <c r="A43" s="440" t="s">
        <v>1794</v>
      </c>
      <c r="B43" s="441"/>
      <c r="C43" s="442">
        <f>R43</f>
        <v>1307</v>
      </c>
      <c r="D43" s="442"/>
      <c r="E43" s="442"/>
      <c r="F43" s="442"/>
      <c r="G43" s="442"/>
      <c r="H43" s="442"/>
      <c r="I43" s="442"/>
      <c r="J43" s="442"/>
      <c r="K43" s="714"/>
      <c r="L43" s="2723"/>
      <c r="M43" s="2715"/>
      <c r="N43" s="2715"/>
      <c r="O43" s="2724"/>
      <c r="P43" s="3673" t="str">
        <f>A43</f>
        <v>估价对象XX用房的比较价值（楼面单价，元/平方米）</v>
      </c>
      <c r="Q43" s="3674"/>
      <c r="R43" s="3737">
        <f>ROUND(IF(D42="简单平均",AVERAGE(R42:W42),R42*F42+T42*H42+V42*J42),0)</f>
        <v>1307</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f>IF(E41&lt;E42,E42/E41-1,E41/E42-1)</f>
        <v>3.7126715092816731E-2</v>
      </c>
      <c r="F46" s="448" t="str">
        <f>IF(OR(E46&gt;=0.3,E46&lt;=-0.3),"超过30%","")</f>
        <v/>
      </c>
      <c r="G46" s="447">
        <f>IF(G41&lt;G42,G42/G41-1,G41/G42-1)</f>
        <v>3.7151702786377694E-2</v>
      </c>
      <c r="H46" s="448" t="str">
        <f>IF(OR(G46&gt;=0.3,G46&lt;=-0.3),"超过30%","")</f>
        <v/>
      </c>
      <c r="I46" s="447">
        <f>IF(I41&lt;I42,I42/I41-1,I41/I42-1)</f>
        <v>2.6599568655643502E-2</v>
      </c>
      <c r="J46" s="448"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f>IF(E42&lt;G42,G42/E42-1,E42/G42-1)</f>
        <v>4.2776432606941084E-2</v>
      </c>
      <c r="F47" s="448" t="str">
        <f>IF(OR(E47&gt;=0.2,E47&lt;=-0.2),"超过20%","")</f>
        <v/>
      </c>
      <c r="G47" s="447">
        <f>IF(G42&lt;I42,I42/G42-1,G42/I42-1)</f>
        <v>7.6625386996904021E-2</v>
      </c>
      <c r="H47" s="448" t="str">
        <f>IF(OR(G47&gt;=0.2,G47&lt;=-0.2),"超过20%","")</f>
        <v/>
      </c>
      <c r="I47" s="447">
        <f>IF(I42&lt;E42,E42/I42-1,I42/E42-1)</f>
        <v>0.1226795803066989</v>
      </c>
      <c r="J47" s="448"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f>IF(E41&lt;G41,G41/E41-1,E41/G41-1)</f>
        <v>4.2801556420233533E-2</v>
      </c>
      <c r="F48" s="448" t="str">
        <f>IF(OR(E48&gt;=0.3,E48&lt;=-0.3),"超过30%","")</f>
        <v/>
      </c>
      <c r="G48" s="447">
        <f>IF(G41&lt;I41,I41/G41-1,G41/I41-1)</f>
        <v>6.5671641791044788E-2</v>
      </c>
      <c r="H48" s="448" t="str">
        <f>IF(OR(G48&gt;=0.3,G48&lt;=-0.3),"超过30%","")</f>
        <v/>
      </c>
      <c r="I48" s="447">
        <f>IF(I41&lt;E41,E41/I41-1,I41/E41-1)</f>
        <v>0.11128404669260705</v>
      </c>
      <c r="J48" s="448"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1" t="s">
        <v>1887</v>
      </c>
      <c r="H50" s="3738"/>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1307</v>
      </c>
      <c r="C51" s="637">
        <v>1</v>
      </c>
      <c r="D51" s="943">
        <v>1</v>
      </c>
      <c r="E51" s="637">
        <f>'数据-汇总表'!E8+'数据-汇总表'!E9</f>
        <v>1124.3000000000002</v>
      </c>
      <c r="F51" s="638">
        <f t="shared" ref="F51:F60" si="15">ROUND(B51*E51/10000,0)</f>
        <v>147</v>
      </c>
      <c r="G51" s="3687"/>
      <c r="H51" s="367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f>ROUND($C$43*C52*D52,0)</f>
        <v>0</v>
      </c>
      <c r="C52" s="170">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f t="shared" ref="B53:B60" si="17">ROUND($C$43*C53*D53,0)</f>
        <v>0</v>
      </c>
      <c r="C53" s="170">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f t="shared" si="17"/>
        <v>0</v>
      </c>
      <c r="C54" s="170">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f t="shared" si="17"/>
        <v>0</v>
      </c>
      <c r="C56" s="170">
        <f t="shared" si="16"/>
        <v>0</v>
      </c>
      <c r="D56" s="944">
        <v>0.25</v>
      </c>
      <c r="E56" s="216">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f t="shared" si="17"/>
        <v>0</v>
      </c>
      <c r="C57" s="170">
        <f t="shared" si="16"/>
        <v>0</v>
      </c>
      <c r="D57" s="944">
        <v>0.25</v>
      </c>
      <c r="E57" s="216">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f t="shared" si="17"/>
        <v>0</v>
      </c>
      <c r="C58" s="170">
        <f t="shared" si="16"/>
        <v>0</v>
      </c>
      <c r="D58" s="944">
        <v>0.25</v>
      </c>
      <c r="E58" s="216">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f t="shared" si="17"/>
        <v>0</v>
      </c>
      <c r="C59" s="170">
        <f t="shared" si="16"/>
        <v>0</v>
      </c>
      <c r="D59" s="944">
        <v>0.25</v>
      </c>
      <c r="E59" s="216">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f t="shared" si="17"/>
        <v>0</v>
      </c>
      <c r="C60" s="170">
        <f t="shared" si="16"/>
        <v>0</v>
      </c>
      <c r="D60" s="944">
        <v>0.25</v>
      </c>
      <c r="E60" s="216">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1124.3000000000002</v>
      </c>
      <c r="F61" s="644">
        <f>IF(B41="楼面地价",SUM(F51:F60),ROUND(C43*E61/10000,0))</f>
        <v>147</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7" t="str">
        <f>"北京市平均增长率"&amp;TEXT(基准地价修正!P28,"0.00%")</f>
        <v>北京市平均增长率0.00%</v>
      </c>
      <c r="C66" s="551">
        <v>100</v>
      </c>
      <c r="D66" s="543">
        <f>C66-0.5</f>
        <v>99.5</v>
      </c>
      <c r="E66" s="543">
        <f t="shared" ref="E66:M66" si="20">D66-0.5</f>
        <v>99</v>
      </c>
      <c r="F66" s="543">
        <f t="shared" si="20"/>
        <v>98.5</v>
      </c>
      <c r="G66" s="543">
        <f t="shared" si="20"/>
        <v>98</v>
      </c>
      <c r="H66" s="543">
        <f t="shared" si="20"/>
        <v>97.5</v>
      </c>
      <c r="I66" s="543">
        <f t="shared" si="20"/>
        <v>97</v>
      </c>
      <c r="J66" s="543">
        <f t="shared" si="20"/>
        <v>96.5</v>
      </c>
      <c r="K66" s="543">
        <f t="shared" si="20"/>
        <v>96</v>
      </c>
      <c r="L66" s="543">
        <f t="shared" si="20"/>
        <v>95.5</v>
      </c>
      <c r="M66" s="543">
        <f t="shared" si="20"/>
        <v>95</v>
      </c>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3453" t="s">
        <v>3619</v>
      </c>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v>100</v>
      </c>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0（含）-1</v>
      </c>
      <c r="D74" s="495" t="str">
        <f t="shared" ref="D74:L74" si="21">D75&amp;"（含）"&amp;"-"&amp;E75</f>
        <v>1（含）-2</v>
      </c>
      <c r="E74" s="495" t="str">
        <f t="shared" si="21"/>
        <v>2（含）-3</v>
      </c>
      <c r="F74" s="495" t="str">
        <f t="shared" si="21"/>
        <v>3（含）-5</v>
      </c>
      <c r="G74" s="495" t="str">
        <f t="shared" si="21"/>
        <v>5（含）-</v>
      </c>
      <c r="H74" s="495" t="str">
        <f t="shared" si="21"/>
        <v>（含）-</v>
      </c>
      <c r="I74" s="495" t="str">
        <f t="shared" si="21"/>
        <v>（含）-</v>
      </c>
      <c r="J74" s="495" t="str">
        <f t="shared" si="21"/>
        <v>（含）-</v>
      </c>
      <c r="K74" s="495" t="str">
        <f t="shared" si="21"/>
        <v>（含）-</v>
      </c>
      <c r="L74" s="495" t="str">
        <f t="shared" si="21"/>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v>0</v>
      </c>
      <c r="D75" s="497">
        <v>1</v>
      </c>
      <c r="E75" s="497">
        <v>2</v>
      </c>
      <c r="F75" s="497">
        <v>3</v>
      </c>
      <c r="G75" s="497">
        <v>5</v>
      </c>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2">IF($B$41="单位面积地价",D76+$K11,D76-$K11)</f>
        <v>100</v>
      </c>
      <c r="F76" s="492">
        <f t="shared" si="22"/>
        <v>100</v>
      </c>
      <c r="G76" s="492">
        <f t="shared" si="22"/>
        <v>100</v>
      </c>
      <c r="H76" s="492">
        <f t="shared" si="22"/>
        <v>100</v>
      </c>
      <c r="I76" s="492">
        <f t="shared" si="22"/>
        <v>100</v>
      </c>
      <c r="J76" s="492">
        <f t="shared" si="22"/>
        <v>100</v>
      </c>
      <c r="K76" s="492">
        <f t="shared" si="22"/>
        <v>100</v>
      </c>
      <c r="L76" s="492">
        <f t="shared" si="22"/>
        <v>100</v>
      </c>
      <c r="M76" s="492">
        <f t="shared" si="22"/>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98</v>
      </c>
      <c r="E84" s="492">
        <f>D84-$K15</f>
        <v>96</v>
      </c>
      <c r="F84" s="492">
        <f>E84-$K15</f>
        <v>94</v>
      </c>
      <c r="G84" s="492">
        <f>F84-$K15</f>
        <v>92</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99</v>
      </c>
      <c r="E86" s="492">
        <f>D86-$K17</f>
        <v>98</v>
      </c>
      <c r="F86" s="492">
        <f>E86-$K17</f>
        <v>97</v>
      </c>
      <c r="G86" s="492">
        <f>F86-$K17</f>
        <v>96</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99</v>
      </c>
      <c r="E88" s="492">
        <f>D88-$K19</f>
        <v>98</v>
      </c>
      <c r="F88" s="492">
        <f>E88-$K19</f>
        <v>97</v>
      </c>
      <c r="G88" s="492">
        <f>F88-$K19</f>
        <v>96</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98</v>
      </c>
      <c r="E90" s="492">
        <f>D90-$K21</f>
        <v>96</v>
      </c>
      <c r="F90" s="492">
        <f>E90-$K21</f>
        <v>94</v>
      </c>
      <c r="G90" s="492">
        <f>F90-$K21</f>
        <v>92</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98</v>
      </c>
      <c r="E94" s="492">
        <f>D94-$K25</f>
        <v>96</v>
      </c>
      <c r="F94" s="492">
        <f>E94-$K25</f>
        <v>94</v>
      </c>
      <c r="G94" s="492">
        <f>F94-$K25</f>
        <v>92</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3">C96-$K27</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2">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3454" t="s">
        <v>3620</v>
      </c>
      <c r="D97" s="3454" t="s">
        <v>3621</v>
      </c>
      <c r="E97" s="3454" t="s">
        <v>3622</v>
      </c>
      <c r="F97" s="3454" t="s">
        <v>3623</v>
      </c>
      <c r="G97" s="3454" t="s">
        <v>3624</v>
      </c>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4">C98-$K28</f>
        <v>100</v>
      </c>
      <c r="E98" s="492">
        <f t="shared" si="24"/>
        <v>100</v>
      </c>
      <c r="F98" s="492">
        <f t="shared" si="24"/>
        <v>100</v>
      </c>
      <c r="G98" s="492">
        <f t="shared" si="24"/>
        <v>100</v>
      </c>
      <c r="H98" s="492">
        <f t="shared" si="24"/>
        <v>100</v>
      </c>
      <c r="I98" s="492">
        <f t="shared" si="24"/>
        <v>100</v>
      </c>
      <c r="J98" s="492">
        <f t="shared" si="24"/>
        <v>100</v>
      </c>
      <c r="K98" s="492">
        <f t="shared" si="24"/>
        <v>100</v>
      </c>
      <c r="L98" s="492">
        <f t="shared" si="24"/>
        <v>100</v>
      </c>
      <c r="M98" s="492">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5">C100-$K30</f>
        <v>100</v>
      </c>
      <c r="E100" s="492">
        <f t="shared" si="25"/>
        <v>100</v>
      </c>
      <c r="F100" s="492">
        <f t="shared" si="25"/>
        <v>100</v>
      </c>
      <c r="G100" s="492">
        <f t="shared" si="25"/>
        <v>100</v>
      </c>
      <c r="H100" s="492">
        <f t="shared" si="25"/>
        <v>100</v>
      </c>
      <c r="I100" s="492">
        <f t="shared" si="25"/>
        <v>100</v>
      </c>
      <c r="J100" s="492">
        <f t="shared" si="25"/>
        <v>100</v>
      </c>
      <c r="K100" s="492">
        <f t="shared" si="25"/>
        <v>100</v>
      </c>
      <c r="L100" s="492">
        <f t="shared" si="25"/>
        <v>100</v>
      </c>
      <c r="M100" s="492">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5" t="s">
        <v>1694</v>
      </c>
      <c r="B107" s="476" t="s">
        <v>1913</v>
      </c>
      <c r="C107" s="477" t="str">
        <f t="shared" ref="C107:L107" si="26">C108&amp;"(含)"&amp;"-"&amp;D108</f>
        <v>0(含)-10000</v>
      </c>
      <c r="D107" s="477" t="str">
        <f t="shared" si="26"/>
        <v>10000(含)-20000</v>
      </c>
      <c r="E107" s="477" t="str">
        <f t="shared" si="26"/>
        <v>20000(含)-30000</v>
      </c>
      <c r="F107" s="477" t="str">
        <f t="shared" si="26"/>
        <v>30000(含)-</v>
      </c>
      <c r="G107" s="477" t="str">
        <f t="shared" si="26"/>
        <v>(含)-</v>
      </c>
      <c r="H107" s="477" t="str">
        <f t="shared" si="26"/>
        <v>(含)-</v>
      </c>
      <c r="I107" s="477" t="str">
        <f t="shared" si="26"/>
        <v>(含)-</v>
      </c>
      <c r="J107" s="477"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v>0</v>
      </c>
      <c r="D108" s="543">
        <v>10000</v>
      </c>
      <c r="E108" s="543">
        <v>20000</v>
      </c>
      <c r="F108" s="543">
        <v>30000</v>
      </c>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v>100</v>
      </c>
      <c r="D109" s="539">
        <v>98</v>
      </c>
      <c r="E109" s="539">
        <v>96</v>
      </c>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7">C111-$K35</f>
        <v>100</v>
      </c>
      <c r="E111" s="492">
        <f t="shared" si="27"/>
        <v>100</v>
      </c>
      <c r="F111" s="492">
        <f t="shared" si="27"/>
        <v>100</v>
      </c>
      <c r="G111" s="492">
        <f t="shared" si="27"/>
        <v>100</v>
      </c>
      <c r="H111" s="492">
        <f t="shared" si="27"/>
        <v>100</v>
      </c>
      <c r="I111" s="492">
        <f t="shared" si="27"/>
        <v>100</v>
      </c>
      <c r="J111" s="492">
        <f t="shared" si="27"/>
        <v>100</v>
      </c>
      <c r="K111" s="492">
        <f t="shared" si="27"/>
        <v>100</v>
      </c>
      <c r="L111" s="492">
        <f t="shared" si="27"/>
        <v>100</v>
      </c>
      <c r="M111" s="493">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3454" t="s">
        <v>3628</v>
      </c>
      <c r="D112" s="502" t="s">
        <v>3629</v>
      </c>
      <c r="E112" s="502" t="s">
        <v>3630</v>
      </c>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8">C113-$K36</f>
        <v>98</v>
      </c>
      <c r="E113" s="492">
        <f t="shared" si="28"/>
        <v>96</v>
      </c>
      <c r="F113" s="492">
        <f t="shared" si="28"/>
        <v>94</v>
      </c>
      <c r="G113" s="492">
        <f t="shared" si="28"/>
        <v>92</v>
      </c>
      <c r="H113" s="492">
        <f t="shared" si="28"/>
        <v>90</v>
      </c>
      <c r="I113" s="492">
        <f t="shared" si="28"/>
        <v>88</v>
      </c>
      <c r="J113" s="492">
        <f t="shared" si="28"/>
        <v>86</v>
      </c>
      <c r="K113" s="492">
        <f t="shared" si="28"/>
        <v>84</v>
      </c>
      <c r="L113" s="492">
        <f t="shared" si="28"/>
        <v>82</v>
      </c>
      <c r="M113" s="493">
        <f t="shared" si="28"/>
        <v>80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9">C115-$K37</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49">
        <f ca="1">结果表!H101</f>
        <v>1126</v>
      </c>
      <c r="E5" s="1490"/>
    </row>
    <row r="6" spans="1:5" ht="15.75">
      <c r="A6" s="1490"/>
      <c r="B6" s="3457"/>
      <c r="C6" s="1493" t="s">
        <v>911</v>
      </c>
      <c r="D6" s="849" t="str">
        <f ca="1">NUMBERSTRING(INT(D5*10000),2)&amp;"元整"</f>
        <v>壹仟壹佰贰拾陆万元整</v>
      </c>
      <c r="E6" s="1490"/>
    </row>
    <row r="7" spans="1:5" ht="15.75">
      <c r="A7" s="1490"/>
      <c r="B7" s="3462"/>
      <c r="C7" s="1494" t="s">
        <v>912</v>
      </c>
      <c r="D7" s="850">
        <f ca="1">结果表!H102</f>
        <v>8135</v>
      </c>
      <c r="E7" s="1490"/>
    </row>
    <row r="8" spans="1:5" ht="15.75">
      <c r="A8" s="1490"/>
      <c r="B8" s="3463" t="str">
        <f>结果表!E103</f>
        <v>2.估价师知悉的法定优先受偿款</v>
      </c>
      <c r="C8" s="1495" t="s">
        <v>913</v>
      </c>
      <c r="D8" s="850">
        <f>结果表!H103</f>
        <v>0</v>
      </c>
      <c r="E8" s="1490"/>
    </row>
    <row r="9" spans="1:5" ht="15.75">
      <c r="A9" s="1490"/>
      <c r="B9" s="346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6" t="str">
        <f>结果表!E107</f>
        <v>3.房地产抵押价值</v>
      </c>
      <c r="C13" s="1498" t="s">
        <v>910</v>
      </c>
      <c r="D13" s="852">
        <f ca="1">结果表!H107</f>
        <v>1126</v>
      </c>
      <c r="E13" s="1490"/>
    </row>
    <row r="14" spans="1:5" ht="15.75">
      <c r="A14" s="1490"/>
      <c r="B14" s="3457"/>
      <c r="C14" s="1493" t="s">
        <v>911</v>
      </c>
      <c r="D14" s="849" t="str">
        <f ca="1">NUMBERSTRING(INT(D13*10000),2)&amp;"元整"</f>
        <v>壹仟壹佰贰拾陆万元整</v>
      </c>
      <c r="E14" s="1490"/>
    </row>
    <row r="15" spans="1:5" ht="15">
      <c r="A15" s="1490"/>
      <c r="B15" s="3462"/>
      <c r="C15" s="1494" t="s">
        <v>921</v>
      </c>
      <c r="D15" s="858">
        <f ca="1">结果表!H108</f>
        <v>8135</v>
      </c>
      <c r="E15" s="1490"/>
    </row>
    <row r="16" spans="1:5" ht="15">
      <c r="A16" s="1490"/>
      <c r="B16" s="3463" t="str">
        <f>结果表!E109</f>
        <v>——</v>
      </c>
      <c r="C16" s="1498" t="s">
        <v>922</v>
      </c>
      <c r="D16" s="1499" t="str">
        <f>结果表!H109</f>
        <v>——</v>
      </c>
      <c r="E16" s="1490"/>
    </row>
    <row r="17" spans="1:5" ht="15.75">
      <c r="A17" s="1490"/>
      <c r="B17" s="3464"/>
      <c r="C17" s="1493" t="s">
        <v>923</v>
      </c>
      <c r="D17" s="849" t="e">
        <f>NUMBERSTRING(INT(D16*10000),2)&amp;"元整"</f>
        <v>#VALUE!</v>
      </c>
      <c r="E17" s="1490"/>
    </row>
    <row r="18" spans="1:5" ht="15">
      <c r="A18" s="1490"/>
      <c r="B18" s="3465"/>
      <c r="C18" s="1494" t="s">
        <v>912</v>
      </c>
      <c r="D18" s="858" t="str">
        <f>结果表!H110</f>
        <v>——</v>
      </c>
      <c r="E18" s="1490"/>
    </row>
    <row r="19" spans="1:5" ht="15.75">
      <c r="A19" s="1490"/>
      <c r="B19" s="3456" t="str">
        <f>结果表!E111</f>
        <v>——</v>
      </c>
      <c r="C19" s="1498" t="s">
        <v>910</v>
      </c>
      <c r="D19" s="850" t="str">
        <f>结果表!H111</f>
        <v>——</v>
      </c>
      <c r="E19" s="1490"/>
    </row>
    <row r="20" spans="1:5" ht="15.75">
      <c r="A20" s="1490"/>
      <c r="B20" s="3457"/>
      <c r="C20" s="1493" t="s">
        <v>923</v>
      </c>
      <c r="D20" s="849" t="e">
        <f>NUMBERSTRING(INT(D19*10000),2)&amp;"元整"</f>
        <v>#VALUE!</v>
      </c>
      <c r="E20" s="1490"/>
    </row>
    <row r="21" spans="1:5" ht="15.75" thickBot="1">
      <c r="A21" s="1490"/>
      <c r="B21" s="345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workbookViewId="0">
      <selection activeCell="J1" sqref="J1:J1048576"/>
    </sheetView>
  </sheetViews>
  <sheetFormatPr defaultColWidth="11.875" defaultRowHeight="13.5"/>
  <cols>
    <col min="1" max="16384" width="11.875" style="3449"/>
  </cols>
  <sheetData>
    <row r="1" spans="1:20">
      <c r="A1" s="3449" t="s">
        <v>3416</v>
      </c>
      <c r="B1" s="3449" t="s">
        <v>3417</v>
      </c>
      <c r="C1" s="3449" t="s">
        <v>3418</v>
      </c>
      <c r="D1" s="3449" t="s">
        <v>3419</v>
      </c>
      <c r="E1" s="3449" t="s">
        <v>3420</v>
      </c>
      <c r="F1" s="3449" t="s">
        <v>3421</v>
      </c>
      <c r="G1" s="3449" t="s">
        <v>3422</v>
      </c>
      <c r="H1" s="3449" t="s">
        <v>3423</v>
      </c>
      <c r="I1" s="3449" t="s">
        <v>3424</v>
      </c>
      <c r="J1" s="3449" t="s">
        <v>3425</v>
      </c>
      <c r="K1" s="3449" t="s">
        <v>3426</v>
      </c>
      <c r="L1" s="3449" t="s">
        <v>3427</v>
      </c>
      <c r="M1" s="3449" t="s">
        <v>3428</v>
      </c>
      <c r="N1" s="3449" t="s">
        <v>3429</v>
      </c>
      <c r="O1" s="3449" t="s">
        <v>3430</v>
      </c>
      <c r="P1" s="3449" t="s">
        <v>3431</v>
      </c>
      <c r="Q1" s="3449" t="s">
        <v>3432</v>
      </c>
      <c r="R1" s="3449" t="s">
        <v>3433</v>
      </c>
      <c r="S1" s="3449" t="s">
        <v>3434</v>
      </c>
      <c r="T1" s="3449">
        <f>[2]常用公式!C18</f>
        <v>1.4167000000000001</v>
      </c>
    </row>
    <row r="2" spans="1:20">
      <c r="A2" s="3449" t="s">
        <v>3435</v>
      </c>
      <c r="B2" s="3449" t="s">
        <v>3407</v>
      </c>
      <c r="C2" s="3449" t="s">
        <v>3436</v>
      </c>
      <c r="D2" s="3449" t="s">
        <v>3437</v>
      </c>
      <c r="E2" s="3449">
        <v>17549.900000000001</v>
      </c>
      <c r="F2" s="3449">
        <v>17549.900000000001</v>
      </c>
      <c r="G2" s="3449" t="s">
        <v>3438</v>
      </c>
      <c r="H2" s="3449" t="s">
        <v>3439</v>
      </c>
      <c r="I2" s="3449" t="s">
        <v>3440</v>
      </c>
      <c r="J2" s="3450">
        <v>45322.000497685185</v>
      </c>
      <c r="K2" s="3449" t="s">
        <v>3441</v>
      </c>
      <c r="L2" s="3449" t="s">
        <v>3442</v>
      </c>
      <c r="M2" s="3449">
        <v>2100.7199999999998</v>
      </c>
      <c r="N2" s="3449">
        <v>430</v>
      </c>
      <c r="O2" s="3449">
        <v>2100.7199999999998</v>
      </c>
      <c r="P2" s="3449">
        <v>1196.99</v>
      </c>
      <c r="Q2" s="3449">
        <v>79.8</v>
      </c>
      <c r="R2" s="3449">
        <v>1197</v>
      </c>
      <c r="S2" s="3449">
        <v>20</v>
      </c>
      <c r="T2" s="3449">
        <f>ROUND(R2*$T$1,0)</f>
        <v>1696</v>
      </c>
    </row>
    <row r="3" spans="1:20">
      <c r="A3" s="3449" t="s">
        <v>3443</v>
      </c>
      <c r="B3" s="3449" t="s">
        <v>3407</v>
      </c>
      <c r="C3" s="3449" t="s">
        <v>3444</v>
      </c>
      <c r="D3" s="3449" t="s">
        <v>3437</v>
      </c>
      <c r="E3" s="3449">
        <v>72656</v>
      </c>
      <c r="F3" s="3449">
        <v>145312</v>
      </c>
      <c r="G3" s="3449" t="s">
        <v>3445</v>
      </c>
      <c r="H3" s="3449" t="s">
        <v>3439</v>
      </c>
      <c r="I3" s="3449" t="s">
        <v>3446</v>
      </c>
      <c r="J3" s="3450">
        <v>45279.000497685185</v>
      </c>
      <c r="K3" s="3449" t="s">
        <v>3441</v>
      </c>
      <c r="L3" s="3449" t="s">
        <v>3447</v>
      </c>
      <c r="M3" s="3449">
        <v>19181.18</v>
      </c>
      <c r="N3" s="3449">
        <v>4795.3</v>
      </c>
      <c r="O3" s="3449">
        <v>19181.18</v>
      </c>
      <c r="P3" s="3449">
        <v>2639.99</v>
      </c>
      <c r="Q3" s="3449">
        <v>176</v>
      </c>
      <c r="R3" s="3449">
        <v>1320</v>
      </c>
      <c r="S3" s="3449" t="s">
        <v>3448</v>
      </c>
      <c r="T3" s="3449">
        <f t="shared" ref="T3:T43" si="0">ROUND(R3*$T$1,0)</f>
        <v>1870</v>
      </c>
    </row>
    <row r="4" spans="1:20">
      <c r="A4" s="3449" t="s">
        <v>3449</v>
      </c>
      <c r="B4" s="3449" t="s">
        <v>3407</v>
      </c>
      <c r="C4" s="3449" t="s">
        <v>3450</v>
      </c>
      <c r="D4" s="3449" t="s">
        <v>3437</v>
      </c>
      <c r="E4" s="3449">
        <v>16968</v>
      </c>
      <c r="F4" s="3449">
        <v>40904</v>
      </c>
      <c r="G4" s="3449" t="s">
        <v>3451</v>
      </c>
      <c r="H4" s="3449" t="s">
        <v>3439</v>
      </c>
      <c r="I4" s="3449" t="s">
        <v>3452</v>
      </c>
      <c r="J4" s="3450">
        <v>45210.000497685185</v>
      </c>
      <c r="K4" s="3449" t="s">
        <v>3441</v>
      </c>
      <c r="L4" s="3449" t="s">
        <v>3453</v>
      </c>
      <c r="M4" s="3449">
        <v>7041.48</v>
      </c>
      <c r="N4" s="3449">
        <v>1760.37</v>
      </c>
      <c r="O4" s="3449">
        <v>7041.48</v>
      </c>
      <c r="P4" s="3449">
        <v>4149.8500000000004</v>
      </c>
      <c r="Q4" s="3449">
        <v>276.66000000000003</v>
      </c>
      <c r="R4" s="3449">
        <v>1721</v>
      </c>
      <c r="S4" s="3449" t="s">
        <v>3448</v>
      </c>
      <c r="T4" s="3449">
        <f t="shared" si="0"/>
        <v>2438</v>
      </c>
    </row>
    <row r="5" spans="1:20">
      <c r="A5" s="3449" t="s">
        <v>3454</v>
      </c>
      <c r="B5" s="3449" t="s">
        <v>3407</v>
      </c>
      <c r="C5" s="3449" t="s">
        <v>3455</v>
      </c>
      <c r="D5" s="3449" t="s">
        <v>3437</v>
      </c>
      <c r="E5" s="3449">
        <v>14975.1</v>
      </c>
      <c r="F5" s="3449">
        <v>22462.65</v>
      </c>
      <c r="G5" s="3449">
        <v>1.5</v>
      </c>
      <c r="H5" s="3449" t="s">
        <v>3439</v>
      </c>
      <c r="I5" s="3449" t="s">
        <v>3456</v>
      </c>
      <c r="J5" s="3450">
        <v>45195.000497685185</v>
      </c>
      <c r="K5" s="3449" t="s">
        <v>3441</v>
      </c>
      <c r="L5" s="3449" t="s">
        <v>3457</v>
      </c>
      <c r="M5" s="3449">
        <v>1682.45</v>
      </c>
      <c r="N5" s="3449">
        <v>420.61</v>
      </c>
      <c r="O5" s="3449">
        <v>1682.45</v>
      </c>
      <c r="P5" s="3449">
        <v>1123.49</v>
      </c>
      <c r="Q5" s="3449">
        <v>74.900000000000006</v>
      </c>
      <c r="R5" s="3449">
        <v>749</v>
      </c>
      <c r="S5" s="3449" t="s">
        <v>3448</v>
      </c>
      <c r="T5" s="3449">
        <f t="shared" si="0"/>
        <v>1061</v>
      </c>
    </row>
    <row r="6" spans="1:20">
      <c r="A6" s="3449" t="s">
        <v>3458</v>
      </c>
      <c r="B6" s="3449" t="s">
        <v>3407</v>
      </c>
      <c r="C6" s="3449" t="s">
        <v>3459</v>
      </c>
      <c r="D6" s="3449" t="s">
        <v>3437</v>
      </c>
      <c r="E6" s="3449">
        <v>74702.7</v>
      </c>
      <c r="F6" s="3449">
        <v>110253.98</v>
      </c>
      <c r="G6" s="3449">
        <v>1.48</v>
      </c>
      <c r="H6" s="3449" t="s">
        <v>3439</v>
      </c>
      <c r="I6" s="3449" t="s">
        <v>3460</v>
      </c>
      <c r="J6" s="3450">
        <v>45187.000497685185</v>
      </c>
      <c r="K6" s="3449" t="s">
        <v>3441</v>
      </c>
      <c r="L6" s="3449" t="s">
        <v>3461</v>
      </c>
      <c r="M6" s="3449">
        <v>16910.09</v>
      </c>
      <c r="N6" s="3449">
        <v>3400</v>
      </c>
      <c r="O6" s="3449">
        <v>16910.09</v>
      </c>
      <c r="P6" s="3449">
        <v>2263.65</v>
      </c>
      <c r="Q6" s="3449">
        <v>150.91</v>
      </c>
      <c r="R6" s="3449">
        <v>1534</v>
      </c>
      <c r="S6" s="3449" t="s">
        <v>3448</v>
      </c>
      <c r="T6" s="3449">
        <f t="shared" si="0"/>
        <v>2173</v>
      </c>
    </row>
    <row r="7" spans="1:20">
      <c r="A7" s="3449" t="s">
        <v>3462</v>
      </c>
      <c r="B7" s="3449" t="s">
        <v>3407</v>
      </c>
      <c r="C7" s="3449" t="s">
        <v>3463</v>
      </c>
      <c r="D7" s="3449" t="s">
        <v>3437</v>
      </c>
      <c r="E7" s="3449">
        <v>26178.400000000001</v>
      </c>
      <c r="F7" s="3449">
        <v>52356.800000000003</v>
      </c>
      <c r="G7" s="3449">
        <v>2</v>
      </c>
      <c r="H7" s="3449" t="s">
        <v>3439</v>
      </c>
      <c r="I7" s="3449" t="s">
        <v>3456</v>
      </c>
      <c r="J7" s="3450">
        <v>45140.000497685185</v>
      </c>
      <c r="K7" s="3449" t="s">
        <v>3441</v>
      </c>
      <c r="L7" s="3449" t="s">
        <v>3464</v>
      </c>
      <c r="M7" s="3449">
        <v>3413.66</v>
      </c>
      <c r="N7" s="3449">
        <v>853.42</v>
      </c>
      <c r="O7" s="3449">
        <v>3413.66</v>
      </c>
      <c r="P7" s="3449">
        <v>1303.99</v>
      </c>
      <c r="Q7" s="3449">
        <v>86.93</v>
      </c>
      <c r="R7" s="3449">
        <v>652</v>
      </c>
      <c r="S7" s="3449" t="s">
        <v>3448</v>
      </c>
      <c r="T7" s="3449">
        <f t="shared" si="0"/>
        <v>924</v>
      </c>
    </row>
    <row r="8" spans="1:20">
      <c r="A8" s="3449" t="s">
        <v>3465</v>
      </c>
      <c r="B8" s="3449" t="s">
        <v>3407</v>
      </c>
      <c r="C8" s="3449" t="s">
        <v>3466</v>
      </c>
      <c r="D8" s="3449" t="s">
        <v>3437</v>
      </c>
      <c r="E8" s="3449">
        <v>14078.7</v>
      </c>
      <c r="F8" s="3449">
        <v>28157.4</v>
      </c>
      <c r="G8" s="3449">
        <v>2</v>
      </c>
      <c r="H8" s="3449" t="s">
        <v>3439</v>
      </c>
      <c r="I8" s="3449" t="s">
        <v>3456</v>
      </c>
      <c r="J8" s="3450">
        <v>45112.000497685185</v>
      </c>
      <c r="K8" s="3449" t="s">
        <v>3441</v>
      </c>
      <c r="L8" s="3449" t="s">
        <v>3467</v>
      </c>
      <c r="M8" s="3449">
        <v>2044.23</v>
      </c>
      <c r="N8" s="3449">
        <v>511.06</v>
      </c>
      <c r="O8" s="3449">
        <v>2044.23</v>
      </c>
      <c r="P8" s="3449">
        <v>1452</v>
      </c>
      <c r="Q8" s="3449">
        <v>96.8</v>
      </c>
      <c r="R8" s="3449">
        <v>726</v>
      </c>
      <c r="S8" s="3449" t="s">
        <v>3448</v>
      </c>
      <c r="T8" s="3449">
        <f t="shared" si="0"/>
        <v>1029</v>
      </c>
    </row>
    <row r="9" spans="1:20">
      <c r="A9" s="3449" t="s">
        <v>3468</v>
      </c>
      <c r="B9" s="3449" t="s">
        <v>3407</v>
      </c>
      <c r="C9" s="3449" t="s">
        <v>3469</v>
      </c>
      <c r="D9" s="3449" t="s">
        <v>3437</v>
      </c>
      <c r="E9" s="3449">
        <v>20278.599999999999</v>
      </c>
      <c r="F9" s="3449">
        <v>50696.5</v>
      </c>
      <c r="G9" s="3449" t="s">
        <v>3451</v>
      </c>
      <c r="H9" s="3449" t="s">
        <v>3439</v>
      </c>
      <c r="I9" s="3449" t="s">
        <v>3470</v>
      </c>
      <c r="J9" s="3450">
        <v>45052.000497685185</v>
      </c>
      <c r="K9" s="3449" t="s">
        <v>3441</v>
      </c>
      <c r="L9" s="3449" t="s">
        <v>3471</v>
      </c>
      <c r="M9" s="3449">
        <v>2975.88</v>
      </c>
      <c r="N9" s="3449">
        <v>743.97</v>
      </c>
      <c r="O9" s="3449">
        <v>2975.88</v>
      </c>
      <c r="P9" s="3449">
        <v>1467.49</v>
      </c>
      <c r="Q9" s="3449">
        <v>97.83</v>
      </c>
      <c r="R9" s="3449">
        <v>587</v>
      </c>
      <c r="S9" s="3449" t="s">
        <v>3448</v>
      </c>
      <c r="T9" s="3449">
        <f t="shared" si="0"/>
        <v>832</v>
      </c>
    </row>
    <row r="10" spans="1:20">
      <c r="A10" s="3449" t="s">
        <v>3472</v>
      </c>
      <c r="B10" s="3449" t="s">
        <v>3407</v>
      </c>
      <c r="C10" s="3449" t="s">
        <v>3473</v>
      </c>
      <c r="D10" s="3449" t="s">
        <v>3437</v>
      </c>
      <c r="E10" s="3449">
        <v>52522.559999999998</v>
      </c>
      <c r="F10" s="3449">
        <v>78783.839999999997</v>
      </c>
      <c r="G10" s="3449">
        <v>1.5</v>
      </c>
      <c r="H10" s="3449" t="s">
        <v>3439</v>
      </c>
      <c r="I10" s="3449" t="s">
        <v>3474</v>
      </c>
      <c r="J10" s="3450">
        <v>45033.000497685185</v>
      </c>
      <c r="K10" s="3449" t="s">
        <v>3441</v>
      </c>
      <c r="L10" s="3449" t="s">
        <v>3475</v>
      </c>
      <c r="M10" s="3449">
        <v>9585.85</v>
      </c>
      <c r="N10" s="3449">
        <v>1900</v>
      </c>
      <c r="O10" s="3449">
        <v>9585.85</v>
      </c>
      <c r="P10" s="3449">
        <v>1825.09</v>
      </c>
      <c r="Q10" s="3449">
        <v>121.67</v>
      </c>
      <c r="R10" s="3449">
        <v>1217</v>
      </c>
      <c r="S10" s="3449" t="s">
        <v>3448</v>
      </c>
      <c r="T10" s="3449">
        <f t="shared" si="0"/>
        <v>1724</v>
      </c>
    </row>
    <row r="11" spans="1:20">
      <c r="A11" s="3449" t="s">
        <v>3476</v>
      </c>
      <c r="B11" s="3449" t="s">
        <v>3407</v>
      </c>
      <c r="C11" s="3449" t="s">
        <v>3477</v>
      </c>
      <c r="D11" s="3449" t="s">
        <v>3437</v>
      </c>
      <c r="E11" s="3449">
        <v>20292</v>
      </c>
      <c r="F11" s="3449">
        <v>40584</v>
      </c>
      <c r="G11" s="3449" t="s">
        <v>3478</v>
      </c>
      <c r="H11" s="3449" t="s">
        <v>3439</v>
      </c>
      <c r="I11" s="3449" t="s">
        <v>3470</v>
      </c>
      <c r="J11" s="3450">
        <v>45021.000497685185</v>
      </c>
      <c r="K11" s="3449" t="s">
        <v>3441</v>
      </c>
      <c r="L11" s="3449" t="s">
        <v>3479</v>
      </c>
      <c r="M11" s="3449">
        <v>2317.35</v>
      </c>
      <c r="N11" s="3449">
        <v>579.34</v>
      </c>
      <c r="O11" s="3449">
        <v>2317.35</v>
      </c>
      <c r="P11" s="3449">
        <v>1142</v>
      </c>
      <c r="Q11" s="3449">
        <v>76.13</v>
      </c>
      <c r="R11" s="3449">
        <v>571</v>
      </c>
      <c r="S11" s="3449" t="s">
        <v>3448</v>
      </c>
      <c r="T11" s="3449">
        <f t="shared" si="0"/>
        <v>809</v>
      </c>
    </row>
    <row r="12" spans="1:20">
      <c r="A12" s="3449" t="s">
        <v>3480</v>
      </c>
      <c r="B12" s="3449" t="s">
        <v>3407</v>
      </c>
      <c r="C12" s="3449" t="s">
        <v>3481</v>
      </c>
      <c r="D12" s="3449" t="s">
        <v>3437</v>
      </c>
      <c r="E12" s="3449">
        <v>24855</v>
      </c>
      <c r="F12" s="3449">
        <v>37282.5</v>
      </c>
      <c r="G12" s="3449" t="s">
        <v>3482</v>
      </c>
      <c r="H12" s="3449" t="s">
        <v>3439</v>
      </c>
      <c r="I12" s="3449" t="s">
        <v>3456</v>
      </c>
      <c r="J12" s="3450">
        <v>45015.000497685185</v>
      </c>
      <c r="K12" s="3449" t="s">
        <v>3441</v>
      </c>
      <c r="L12" s="3449" t="s">
        <v>3483</v>
      </c>
      <c r="M12" s="3449">
        <v>2128.83</v>
      </c>
      <c r="N12" s="3449">
        <v>532.21</v>
      </c>
      <c r="O12" s="3449">
        <v>2128.83</v>
      </c>
      <c r="P12" s="3449">
        <v>856.49</v>
      </c>
      <c r="Q12" s="3449">
        <v>57.1</v>
      </c>
      <c r="R12" s="3449">
        <v>571</v>
      </c>
      <c r="S12" s="3449" t="s">
        <v>3448</v>
      </c>
      <c r="T12" s="3449">
        <f t="shared" si="0"/>
        <v>809</v>
      </c>
    </row>
    <row r="13" spans="1:20">
      <c r="A13" s="3449" t="s">
        <v>3484</v>
      </c>
      <c r="B13" s="3449" t="s">
        <v>3407</v>
      </c>
      <c r="C13" s="3449" t="s">
        <v>3485</v>
      </c>
      <c r="D13" s="3449" t="s">
        <v>3437</v>
      </c>
      <c r="E13" s="3449">
        <v>25945.1</v>
      </c>
      <c r="F13" s="3449">
        <v>38917.65</v>
      </c>
      <c r="G13" s="3449">
        <v>1.5</v>
      </c>
      <c r="H13" s="3449" t="s">
        <v>3439</v>
      </c>
      <c r="I13" s="3449" t="s">
        <v>3456</v>
      </c>
      <c r="J13" s="3450">
        <v>45015.000497685185</v>
      </c>
      <c r="K13" s="3449" t="s">
        <v>3441</v>
      </c>
      <c r="L13" s="3449" t="s">
        <v>3486</v>
      </c>
      <c r="M13" s="3449">
        <v>2222.1999999999998</v>
      </c>
      <c r="N13" s="3449">
        <v>555.54999999999995</v>
      </c>
      <c r="O13" s="3449">
        <v>2222.1999999999998</v>
      </c>
      <c r="P13" s="3449">
        <v>856.5</v>
      </c>
      <c r="Q13" s="3449">
        <v>57.1</v>
      </c>
      <c r="R13" s="3449">
        <v>571</v>
      </c>
      <c r="S13" s="3449" t="s">
        <v>3448</v>
      </c>
      <c r="T13" s="3449">
        <f t="shared" si="0"/>
        <v>809</v>
      </c>
    </row>
    <row r="14" spans="1:20">
      <c r="A14" s="3449" t="s">
        <v>3487</v>
      </c>
      <c r="B14" s="3449" t="s">
        <v>3407</v>
      </c>
      <c r="C14" s="3449" t="s">
        <v>3488</v>
      </c>
      <c r="D14" s="3449" t="s">
        <v>3437</v>
      </c>
      <c r="E14" s="3449">
        <v>22492.5</v>
      </c>
      <c r="F14" s="3449">
        <v>33738.75</v>
      </c>
      <c r="G14" s="3449" t="s">
        <v>3482</v>
      </c>
      <c r="H14" s="3449" t="s">
        <v>3439</v>
      </c>
      <c r="I14" s="3449" t="s">
        <v>3456</v>
      </c>
      <c r="J14" s="3450">
        <v>45008.000497685185</v>
      </c>
      <c r="K14" s="3449" t="s">
        <v>3441</v>
      </c>
      <c r="L14" s="3449" t="s">
        <v>3489</v>
      </c>
      <c r="M14" s="3449" t="s">
        <v>3490</v>
      </c>
      <c r="N14" s="3449">
        <v>481.62</v>
      </c>
      <c r="O14" s="3449">
        <v>1926.48</v>
      </c>
      <c r="P14" s="3449">
        <v>856.49</v>
      </c>
      <c r="Q14" s="3449">
        <v>57.1</v>
      </c>
      <c r="R14" s="3449">
        <v>571</v>
      </c>
      <c r="S14" s="3449" t="s">
        <v>3448</v>
      </c>
      <c r="T14" s="3449">
        <f t="shared" si="0"/>
        <v>809</v>
      </c>
    </row>
    <row r="15" spans="1:20">
      <c r="A15" s="3449" t="s">
        <v>3491</v>
      </c>
      <c r="B15" s="3449" t="s">
        <v>3407</v>
      </c>
      <c r="C15" s="3449" t="s">
        <v>3492</v>
      </c>
      <c r="D15" s="3449" t="s">
        <v>3437</v>
      </c>
      <c r="E15" s="3449">
        <v>37965.22</v>
      </c>
      <c r="F15" s="3449">
        <v>75930.44</v>
      </c>
      <c r="G15" s="3449">
        <v>2</v>
      </c>
      <c r="H15" s="3449" t="s">
        <v>3439</v>
      </c>
      <c r="I15" s="3449" t="s">
        <v>3456</v>
      </c>
      <c r="J15" s="3450">
        <v>45001.000497685185</v>
      </c>
      <c r="K15" s="3449" t="s">
        <v>3441</v>
      </c>
      <c r="L15" s="3449" t="s">
        <v>3493</v>
      </c>
      <c r="M15" s="3449">
        <v>4457.12</v>
      </c>
      <c r="N15" s="3449">
        <v>1114.28</v>
      </c>
      <c r="O15" s="3449">
        <v>4457.12</v>
      </c>
      <c r="P15" s="3449">
        <v>1174</v>
      </c>
      <c r="Q15" s="3449">
        <v>78.27</v>
      </c>
      <c r="R15" s="3449">
        <v>587</v>
      </c>
      <c r="S15" s="3449" t="s">
        <v>3448</v>
      </c>
      <c r="T15" s="3449">
        <f t="shared" si="0"/>
        <v>832</v>
      </c>
    </row>
    <row r="16" spans="1:20" s="3451" customFormat="1">
      <c r="A16" s="3451" t="s">
        <v>3494</v>
      </c>
      <c r="B16" s="3451" t="s">
        <v>3407</v>
      </c>
      <c r="C16" s="3451" t="s">
        <v>3495</v>
      </c>
      <c r="D16" s="3451" t="s">
        <v>3437</v>
      </c>
      <c r="E16" s="3451">
        <v>6837.8</v>
      </c>
      <c r="F16" s="3451">
        <v>5470.24</v>
      </c>
      <c r="G16" s="3451" t="s">
        <v>3496</v>
      </c>
      <c r="H16" s="3451" t="s">
        <v>3439</v>
      </c>
      <c r="I16" s="3451" t="s">
        <v>3497</v>
      </c>
      <c r="J16" s="3452">
        <v>44980.000497685185</v>
      </c>
      <c r="K16" s="3451" t="s">
        <v>3441</v>
      </c>
      <c r="L16" s="3451" t="s">
        <v>3498</v>
      </c>
      <c r="M16" s="3451">
        <v>496.42</v>
      </c>
      <c r="N16" s="3451">
        <v>124.11</v>
      </c>
      <c r="O16" s="3451">
        <v>496.42</v>
      </c>
      <c r="P16" s="3451">
        <v>725.99</v>
      </c>
      <c r="Q16" s="3451">
        <v>48.4</v>
      </c>
      <c r="R16" s="3451">
        <v>907</v>
      </c>
      <c r="S16" s="3451" t="s">
        <v>3448</v>
      </c>
      <c r="T16" s="3449">
        <f t="shared" si="0"/>
        <v>1285</v>
      </c>
    </row>
    <row r="17" spans="1:20">
      <c r="A17" s="3449" t="s">
        <v>3499</v>
      </c>
      <c r="B17" s="3449" t="s">
        <v>3407</v>
      </c>
      <c r="C17" s="3449" t="s">
        <v>3500</v>
      </c>
      <c r="D17" s="3449" t="s">
        <v>3437</v>
      </c>
      <c r="E17" s="3449">
        <v>420642.53</v>
      </c>
      <c r="F17" s="3449">
        <v>841285.06</v>
      </c>
      <c r="G17" s="3449">
        <v>2</v>
      </c>
      <c r="H17" s="3449" t="s">
        <v>3439</v>
      </c>
      <c r="I17" s="3449" t="s">
        <v>3437</v>
      </c>
      <c r="J17" s="3450">
        <v>44964.000497685185</v>
      </c>
      <c r="K17" s="3449" t="s">
        <v>3441</v>
      </c>
      <c r="L17" s="3449" t="s">
        <v>3501</v>
      </c>
      <c r="M17" s="3449">
        <v>49383.43</v>
      </c>
      <c r="N17" s="3449">
        <v>9900</v>
      </c>
      <c r="O17" s="3449">
        <v>49383.43</v>
      </c>
      <c r="P17" s="3449">
        <v>1173.99</v>
      </c>
      <c r="Q17" s="3449">
        <v>78.27</v>
      </c>
      <c r="R17" s="3449">
        <v>587</v>
      </c>
      <c r="S17" s="3449" t="s">
        <v>3448</v>
      </c>
      <c r="T17" s="3449">
        <f t="shared" si="0"/>
        <v>832</v>
      </c>
    </row>
    <row r="18" spans="1:20">
      <c r="A18" s="3449" t="s">
        <v>3502</v>
      </c>
      <c r="B18" s="3449" t="s">
        <v>3407</v>
      </c>
      <c r="C18" s="3449" t="s">
        <v>3503</v>
      </c>
      <c r="D18" s="3449" t="s">
        <v>3437</v>
      </c>
      <c r="E18" s="3449">
        <v>15343</v>
      </c>
      <c r="F18" s="3449">
        <v>36000</v>
      </c>
      <c r="G18" s="3449" t="s">
        <v>3504</v>
      </c>
      <c r="H18" s="3449" t="s">
        <v>3439</v>
      </c>
      <c r="I18" s="3449" t="s">
        <v>3505</v>
      </c>
      <c r="J18" s="3450">
        <v>44955.000497685185</v>
      </c>
      <c r="K18" s="3449" t="s">
        <v>3441</v>
      </c>
      <c r="L18" s="3449" t="s">
        <v>3506</v>
      </c>
      <c r="M18" s="3449">
        <v>11401.2</v>
      </c>
      <c r="N18" s="3449">
        <v>2290</v>
      </c>
      <c r="O18" s="3449">
        <v>11401.2</v>
      </c>
      <c r="P18" s="3449">
        <v>7430.88</v>
      </c>
      <c r="Q18" s="3449">
        <v>495.39</v>
      </c>
      <c r="R18" s="3449">
        <v>3167</v>
      </c>
      <c r="S18" s="3449" t="s">
        <v>3448</v>
      </c>
      <c r="T18" s="3449">
        <f t="shared" si="0"/>
        <v>4487</v>
      </c>
    </row>
    <row r="19" spans="1:20">
      <c r="A19" s="3449" t="s">
        <v>3507</v>
      </c>
      <c r="B19" s="3449" t="s">
        <v>3407</v>
      </c>
      <c r="C19" s="3449" t="s">
        <v>3508</v>
      </c>
      <c r="D19" s="3449" t="s">
        <v>3437</v>
      </c>
      <c r="E19" s="3449">
        <v>21884.6</v>
      </c>
      <c r="F19" s="3449">
        <v>32826.9</v>
      </c>
      <c r="G19" s="3449" t="s">
        <v>3509</v>
      </c>
      <c r="H19" s="3449" t="s">
        <v>3439</v>
      </c>
      <c r="I19" s="3449" t="s">
        <v>3440</v>
      </c>
      <c r="J19" s="3450">
        <v>44955.000497685185</v>
      </c>
      <c r="K19" s="3449" t="s">
        <v>3441</v>
      </c>
      <c r="L19" s="3449" t="s">
        <v>3510</v>
      </c>
      <c r="M19" s="3449">
        <v>3308.95</v>
      </c>
      <c r="N19" s="3449">
        <v>700</v>
      </c>
      <c r="O19" s="3449">
        <v>3308.95</v>
      </c>
      <c r="P19" s="3449">
        <v>1511.99</v>
      </c>
      <c r="Q19" s="3449">
        <v>100.8</v>
      </c>
      <c r="R19" s="3449">
        <v>1008</v>
      </c>
      <c r="S19" s="3449" t="s">
        <v>3448</v>
      </c>
      <c r="T19" s="3449">
        <f t="shared" si="0"/>
        <v>1428</v>
      </c>
    </row>
    <row r="20" spans="1:20" s="3451" customFormat="1">
      <c r="A20" s="3451" t="s">
        <v>3511</v>
      </c>
      <c r="B20" s="3451" t="s">
        <v>3407</v>
      </c>
      <c r="C20" s="3451" t="s">
        <v>3512</v>
      </c>
      <c r="D20" s="3451" t="s">
        <v>3437</v>
      </c>
      <c r="E20" s="3451">
        <v>3658.3</v>
      </c>
      <c r="F20" s="3451">
        <v>3900</v>
      </c>
      <c r="G20" s="3451" t="s">
        <v>3513</v>
      </c>
      <c r="H20" s="3451" t="s">
        <v>3439</v>
      </c>
      <c r="I20" s="3451" t="s">
        <v>3440</v>
      </c>
      <c r="J20" s="3452">
        <v>44955.000497685185</v>
      </c>
      <c r="K20" s="3451" t="s">
        <v>3441</v>
      </c>
      <c r="L20" s="3451" t="s">
        <v>3510</v>
      </c>
      <c r="M20" s="3451">
        <v>368.94</v>
      </c>
      <c r="N20" s="3451">
        <v>80</v>
      </c>
      <c r="O20" s="3451">
        <v>368.94</v>
      </c>
      <c r="P20" s="3451">
        <v>1008.5</v>
      </c>
      <c r="Q20" s="3451">
        <v>67.23</v>
      </c>
      <c r="R20" s="3451">
        <v>946</v>
      </c>
      <c r="S20" s="3451" t="s">
        <v>3514</v>
      </c>
      <c r="T20" s="3449">
        <f t="shared" si="0"/>
        <v>1340</v>
      </c>
    </row>
    <row r="21" spans="1:20">
      <c r="A21" s="3449" t="s">
        <v>3515</v>
      </c>
      <c r="B21" s="3449" t="s">
        <v>3407</v>
      </c>
      <c r="C21" s="3449" t="s">
        <v>3516</v>
      </c>
      <c r="D21" s="3449" t="s">
        <v>3437</v>
      </c>
      <c r="E21" s="3449">
        <v>25334.799999999999</v>
      </c>
      <c r="F21" s="3449">
        <v>38002.199999999997</v>
      </c>
      <c r="G21" s="3449">
        <v>1.5</v>
      </c>
      <c r="H21" s="3449" t="s">
        <v>3439</v>
      </c>
      <c r="I21" s="3449" t="s">
        <v>3440</v>
      </c>
      <c r="J21" s="3450">
        <v>44931.000497685185</v>
      </c>
      <c r="K21" s="3449" t="s">
        <v>3441</v>
      </c>
      <c r="L21" s="3449" t="s">
        <v>3517</v>
      </c>
      <c r="M21" s="3449">
        <v>2169.9299999999998</v>
      </c>
      <c r="N21" s="3449">
        <v>542.48</v>
      </c>
      <c r="O21" s="3449">
        <v>2169.9299999999998</v>
      </c>
      <c r="P21" s="3449">
        <v>856.5</v>
      </c>
      <c r="Q21" s="3449">
        <v>57.1</v>
      </c>
      <c r="R21" s="3449">
        <v>571</v>
      </c>
      <c r="S21" s="3449" t="s">
        <v>3448</v>
      </c>
      <c r="T21" s="3449">
        <f t="shared" si="0"/>
        <v>809</v>
      </c>
    </row>
    <row r="22" spans="1:20">
      <c r="A22" s="3449" t="s">
        <v>3518</v>
      </c>
      <c r="B22" s="3449" t="s">
        <v>3407</v>
      </c>
      <c r="C22" s="3449" t="s">
        <v>3519</v>
      </c>
      <c r="D22" s="3449" t="s">
        <v>3437</v>
      </c>
      <c r="E22" s="3449">
        <v>52790.03</v>
      </c>
      <c r="F22" s="3449">
        <v>79185.05</v>
      </c>
      <c r="G22" s="3449" t="s">
        <v>3482</v>
      </c>
      <c r="H22" s="3449" t="s">
        <v>3439</v>
      </c>
      <c r="I22" s="3449" t="s">
        <v>3437</v>
      </c>
      <c r="J22" s="3450">
        <v>44868.000497685185</v>
      </c>
      <c r="K22" s="3449" t="s">
        <v>3441</v>
      </c>
      <c r="L22" s="3449" t="s">
        <v>3520</v>
      </c>
      <c r="M22" s="3449">
        <v>9429.41</v>
      </c>
      <c r="N22" s="3449">
        <v>1900</v>
      </c>
      <c r="O22" s="3449">
        <v>9429.41</v>
      </c>
      <c r="P22" s="3449">
        <v>1786.21</v>
      </c>
      <c r="Q22" s="3449">
        <v>119.08</v>
      </c>
      <c r="R22" s="3449">
        <v>1191</v>
      </c>
      <c r="S22" s="3449" t="s">
        <v>3448</v>
      </c>
      <c r="T22" s="3449">
        <f t="shared" si="0"/>
        <v>1687</v>
      </c>
    </row>
    <row r="23" spans="1:20">
      <c r="A23" s="3449" t="s">
        <v>3521</v>
      </c>
      <c r="B23" s="3449" t="s">
        <v>3407</v>
      </c>
      <c r="C23" s="3449" t="s">
        <v>3522</v>
      </c>
      <c r="D23" s="3449" t="s">
        <v>3437</v>
      </c>
      <c r="E23" s="3449">
        <v>19670.8</v>
      </c>
      <c r="F23" s="3449">
        <v>29506.2</v>
      </c>
      <c r="G23" s="3449">
        <v>1.5</v>
      </c>
      <c r="H23" s="3449" t="s">
        <v>3439</v>
      </c>
      <c r="I23" s="3449" t="s">
        <v>3523</v>
      </c>
      <c r="J23" s="3450">
        <v>44860.000497685185</v>
      </c>
      <c r="K23" s="3449" t="s">
        <v>3441</v>
      </c>
      <c r="L23" s="3449" t="s">
        <v>3524</v>
      </c>
      <c r="M23" s="3449">
        <v>1684.8</v>
      </c>
      <c r="N23" s="3449">
        <v>421.2</v>
      </c>
      <c r="O23" s="3449">
        <v>1684.8</v>
      </c>
      <c r="P23" s="3449">
        <v>856.49</v>
      </c>
      <c r="Q23" s="3449">
        <v>57.1</v>
      </c>
      <c r="R23" s="3449">
        <v>571</v>
      </c>
      <c r="S23" s="3449" t="s">
        <v>3448</v>
      </c>
      <c r="T23" s="3449">
        <f t="shared" si="0"/>
        <v>809</v>
      </c>
    </row>
    <row r="24" spans="1:20">
      <c r="A24" s="3449" t="s">
        <v>3525</v>
      </c>
      <c r="B24" s="3449" t="s">
        <v>3407</v>
      </c>
      <c r="C24" s="3449" t="s">
        <v>3526</v>
      </c>
      <c r="D24" s="3449" t="s">
        <v>3437</v>
      </c>
      <c r="E24" s="3449">
        <v>24526.2</v>
      </c>
      <c r="F24" s="3449">
        <v>49052.4</v>
      </c>
      <c r="G24" s="3449">
        <v>2</v>
      </c>
      <c r="H24" s="3449" t="s">
        <v>3439</v>
      </c>
      <c r="I24" s="3449" t="s">
        <v>3523</v>
      </c>
      <c r="J24" s="3450">
        <v>44860.000497685185</v>
      </c>
      <c r="K24" s="3449" t="s">
        <v>3441</v>
      </c>
      <c r="L24" s="3449" t="s">
        <v>3527</v>
      </c>
      <c r="M24" s="3449">
        <v>2800.89</v>
      </c>
      <c r="N24" s="3449">
        <v>700.22</v>
      </c>
      <c r="O24" s="3449">
        <v>2800.89</v>
      </c>
      <c r="P24" s="3449">
        <v>1141.99</v>
      </c>
      <c r="Q24" s="3449">
        <v>76.13</v>
      </c>
      <c r="R24" s="3449">
        <v>571</v>
      </c>
      <c r="S24" s="3449" t="s">
        <v>3448</v>
      </c>
      <c r="T24" s="3449">
        <f t="shared" si="0"/>
        <v>809</v>
      </c>
    </row>
    <row r="25" spans="1:20">
      <c r="A25" s="3449" t="s">
        <v>3528</v>
      </c>
      <c r="B25" s="3449" t="s">
        <v>3407</v>
      </c>
      <c r="C25" s="3449" t="s">
        <v>3529</v>
      </c>
      <c r="D25" s="3449" t="s">
        <v>3437</v>
      </c>
      <c r="E25" s="3449">
        <v>26316.6</v>
      </c>
      <c r="F25" s="3449">
        <v>30264.09</v>
      </c>
      <c r="G25" s="3449" t="s">
        <v>3530</v>
      </c>
      <c r="H25" s="3449" t="s">
        <v>3439</v>
      </c>
      <c r="I25" s="3449" t="s">
        <v>3523</v>
      </c>
      <c r="J25" s="3450">
        <v>44809.000497685185</v>
      </c>
      <c r="K25" s="3449" t="s">
        <v>3441</v>
      </c>
      <c r="L25" s="3449" t="s">
        <v>3531</v>
      </c>
      <c r="M25" s="3449">
        <v>1973.22</v>
      </c>
      <c r="N25" s="3449">
        <v>493.3</v>
      </c>
      <c r="O25" s="3449">
        <v>1973.22</v>
      </c>
      <c r="P25" s="3449">
        <v>749.8</v>
      </c>
      <c r="Q25" s="3449">
        <v>49.99</v>
      </c>
      <c r="R25" s="3449">
        <v>652</v>
      </c>
      <c r="S25" s="3449" t="s">
        <v>3448</v>
      </c>
      <c r="T25" s="3449">
        <f t="shared" si="0"/>
        <v>924</v>
      </c>
    </row>
    <row r="26" spans="1:20">
      <c r="A26" s="3449" t="s">
        <v>3532</v>
      </c>
      <c r="B26" s="3449" t="s">
        <v>3407</v>
      </c>
      <c r="C26" s="3449" t="s">
        <v>3533</v>
      </c>
      <c r="D26" s="3449" t="s">
        <v>3437</v>
      </c>
      <c r="E26" s="3449">
        <v>10526.1</v>
      </c>
      <c r="F26" s="3449">
        <v>12631.32</v>
      </c>
      <c r="G26" s="3449">
        <v>1.2</v>
      </c>
      <c r="H26" s="3449" t="s">
        <v>3439</v>
      </c>
      <c r="I26" s="3449" t="s">
        <v>3523</v>
      </c>
      <c r="J26" s="3450">
        <v>44809.000497685185</v>
      </c>
      <c r="K26" s="3449" t="s">
        <v>3441</v>
      </c>
      <c r="L26" s="3449" t="s">
        <v>3534</v>
      </c>
      <c r="M26" s="3449">
        <v>823.56</v>
      </c>
      <c r="N26" s="3449">
        <v>205.89</v>
      </c>
      <c r="O26" s="3449">
        <v>823.56</v>
      </c>
      <c r="P26" s="3449">
        <v>782.39</v>
      </c>
      <c r="Q26" s="3449">
        <v>52.16</v>
      </c>
      <c r="R26" s="3449">
        <v>652</v>
      </c>
      <c r="S26" s="3449" t="s">
        <v>3448</v>
      </c>
      <c r="T26" s="3449">
        <f t="shared" si="0"/>
        <v>924</v>
      </c>
    </row>
    <row r="27" spans="1:20">
      <c r="A27" s="3449" t="s">
        <v>3535</v>
      </c>
      <c r="B27" s="3449" t="s">
        <v>3407</v>
      </c>
      <c r="C27" s="3449" t="s">
        <v>3536</v>
      </c>
      <c r="D27" s="3449" t="s">
        <v>3437</v>
      </c>
      <c r="E27" s="3449">
        <v>15975.8</v>
      </c>
      <c r="F27" s="3449">
        <v>23963.7</v>
      </c>
      <c r="G27" s="3449" t="s">
        <v>3482</v>
      </c>
      <c r="H27" s="3449" t="s">
        <v>3439</v>
      </c>
      <c r="I27" s="3449" t="s">
        <v>3523</v>
      </c>
      <c r="J27" s="3450">
        <v>44788.000497685185</v>
      </c>
      <c r="K27" s="3449" t="s">
        <v>3441</v>
      </c>
      <c r="L27" s="3449" t="s">
        <v>3537</v>
      </c>
      <c r="M27" s="3449">
        <v>1368.33</v>
      </c>
      <c r="N27" s="3449">
        <v>342.08</v>
      </c>
      <c r="O27" s="3449">
        <v>1368.33</v>
      </c>
      <c r="P27" s="3449">
        <v>856.5</v>
      </c>
      <c r="Q27" s="3449">
        <v>57.1</v>
      </c>
      <c r="R27" s="3449">
        <v>571</v>
      </c>
      <c r="S27" s="3449" t="s">
        <v>3448</v>
      </c>
      <c r="T27" s="3449">
        <f t="shared" si="0"/>
        <v>809</v>
      </c>
    </row>
    <row r="28" spans="1:20" s="3451" customFormat="1">
      <c r="A28" s="3451" t="s">
        <v>3538</v>
      </c>
      <c r="B28" s="3451" t="s">
        <v>3407</v>
      </c>
      <c r="C28" s="3451" t="s">
        <v>3539</v>
      </c>
      <c r="D28" s="3451" t="s">
        <v>3437</v>
      </c>
      <c r="E28" s="3451">
        <v>7506.5</v>
      </c>
      <c r="F28" s="3451">
        <v>11259.75</v>
      </c>
      <c r="G28" s="3451" t="s">
        <v>3482</v>
      </c>
      <c r="H28" s="3451" t="s">
        <v>3439</v>
      </c>
      <c r="I28" s="3451" t="s">
        <v>3523</v>
      </c>
      <c r="J28" s="3452">
        <v>44788.000497685185</v>
      </c>
      <c r="K28" s="3451" t="s">
        <v>3441</v>
      </c>
      <c r="L28" s="3451" t="s">
        <v>3540</v>
      </c>
      <c r="M28" s="3451">
        <v>1134.98</v>
      </c>
      <c r="N28" s="3451">
        <v>283.75</v>
      </c>
      <c r="O28" s="3451">
        <v>1134.98</v>
      </c>
      <c r="P28" s="3451">
        <v>1511.99</v>
      </c>
      <c r="Q28" s="3451">
        <v>100.8</v>
      </c>
      <c r="R28" s="3451">
        <v>1008</v>
      </c>
      <c r="S28" s="3451" t="s">
        <v>3448</v>
      </c>
      <c r="T28" s="3449">
        <f t="shared" si="0"/>
        <v>1428</v>
      </c>
    </row>
    <row r="29" spans="1:20">
      <c r="A29" s="3449" t="s">
        <v>3541</v>
      </c>
      <c r="B29" s="3449" t="s">
        <v>3407</v>
      </c>
      <c r="C29" s="3449" t="s">
        <v>3542</v>
      </c>
      <c r="D29" s="3449" t="s">
        <v>3437</v>
      </c>
      <c r="E29" s="3449">
        <v>20000</v>
      </c>
      <c r="F29" s="3449">
        <v>20000</v>
      </c>
      <c r="G29" s="3449" t="s">
        <v>3543</v>
      </c>
      <c r="H29" s="3449" t="s">
        <v>3439</v>
      </c>
      <c r="I29" s="3449" t="s">
        <v>3437</v>
      </c>
      <c r="J29" s="3450">
        <v>44742.000497685185</v>
      </c>
      <c r="K29" s="3449" t="s">
        <v>3441</v>
      </c>
      <c r="L29" s="3449" t="s">
        <v>3544</v>
      </c>
      <c r="M29" s="3449">
        <v>2284.42</v>
      </c>
      <c r="N29" s="3449">
        <v>500</v>
      </c>
      <c r="O29" s="3449">
        <v>2284.42</v>
      </c>
      <c r="P29" s="3449">
        <v>1142.21</v>
      </c>
      <c r="Q29" s="3449">
        <v>76.150000000000006</v>
      </c>
      <c r="R29" s="3449">
        <v>1142</v>
      </c>
      <c r="S29" s="3449" t="s">
        <v>3448</v>
      </c>
      <c r="T29" s="3449">
        <f t="shared" si="0"/>
        <v>1618</v>
      </c>
    </row>
    <row r="30" spans="1:20">
      <c r="A30" s="3449" t="s">
        <v>3545</v>
      </c>
      <c r="B30" s="3449" t="s">
        <v>3407</v>
      </c>
      <c r="C30" s="3449" t="s">
        <v>3546</v>
      </c>
      <c r="D30" s="3449" t="s">
        <v>3437</v>
      </c>
      <c r="E30" s="3449">
        <v>113291.7</v>
      </c>
      <c r="F30" s="3449">
        <v>113291.7</v>
      </c>
      <c r="G30" s="3449" t="s">
        <v>3438</v>
      </c>
      <c r="H30" s="3449" t="s">
        <v>3439</v>
      </c>
      <c r="I30" s="3449" t="s">
        <v>3547</v>
      </c>
      <c r="J30" s="3450">
        <v>44713.000497685185</v>
      </c>
      <c r="K30" s="3449" t="s">
        <v>3441</v>
      </c>
      <c r="L30" s="3449" t="s">
        <v>3548</v>
      </c>
      <c r="M30" s="3449">
        <v>6650.22</v>
      </c>
      <c r="N30" s="3449">
        <v>1662.56</v>
      </c>
      <c r="O30" s="3449">
        <v>6650.22</v>
      </c>
      <c r="P30" s="3449">
        <v>586.99</v>
      </c>
      <c r="Q30" s="3449">
        <v>39.130000000000003</v>
      </c>
      <c r="R30" s="3449">
        <v>587</v>
      </c>
      <c r="S30" s="3449" t="s">
        <v>3448</v>
      </c>
      <c r="T30" s="3449">
        <f t="shared" si="0"/>
        <v>832</v>
      </c>
    </row>
    <row r="31" spans="1:20">
      <c r="A31" s="3449" t="s">
        <v>3549</v>
      </c>
      <c r="B31" s="3449" t="s">
        <v>3407</v>
      </c>
      <c r="C31" s="3449" t="s">
        <v>3550</v>
      </c>
      <c r="D31" s="3449" t="s">
        <v>3437</v>
      </c>
      <c r="E31" s="3449">
        <v>30589.9</v>
      </c>
      <c r="F31" s="3449">
        <v>45884.85</v>
      </c>
      <c r="G31" s="3449" t="s">
        <v>3482</v>
      </c>
      <c r="H31" s="3449" t="s">
        <v>3439</v>
      </c>
      <c r="I31" s="3449" t="s">
        <v>3551</v>
      </c>
      <c r="J31" s="3450">
        <v>44713.000497685185</v>
      </c>
      <c r="K31" s="3449" t="s">
        <v>3441</v>
      </c>
      <c r="L31" s="3449" t="s">
        <v>3552</v>
      </c>
      <c r="M31" s="3449">
        <v>2620.02</v>
      </c>
      <c r="N31" s="3449">
        <v>655.01</v>
      </c>
      <c r="O31" s="3449">
        <v>2620.02</v>
      </c>
      <c r="P31" s="3449">
        <v>856.49</v>
      </c>
      <c r="Q31" s="3449">
        <v>57.1</v>
      </c>
      <c r="R31" s="3449">
        <v>571</v>
      </c>
      <c r="S31" s="3449" t="s">
        <v>3448</v>
      </c>
      <c r="T31" s="3449">
        <f t="shared" si="0"/>
        <v>809</v>
      </c>
    </row>
    <row r="32" spans="1:20">
      <c r="A32" s="3449" t="s">
        <v>3553</v>
      </c>
      <c r="B32" s="3449" t="s">
        <v>3407</v>
      </c>
      <c r="C32" s="3449" t="s">
        <v>3554</v>
      </c>
      <c r="D32" s="3449" t="s">
        <v>3437</v>
      </c>
      <c r="E32" s="3449">
        <v>54995.519999999997</v>
      </c>
      <c r="F32" s="3449">
        <v>82493.289999999994</v>
      </c>
      <c r="G32" s="3449" t="s">
        <v>3482</v>
      </c>
      <c r="H32" s="3449" t="s">
        <v>3439</v>
      </c>
      <c r="I32" s="3449" t="s">
        <v>3555</v>
      </c>
      <c r="J32" s="3450">
        <v>44712.000497685185</v>
      </c>
      <c r="K32" s="3449" t="s">
        <v>3441</v>
      </c>
      <c r="L32" s="3449" t="s">
        <v>3556</v>
      </c>
      <c r="M32" s="3449">
        <v>8783.01</v>
      </c>
      <c r="N32" s="3449">
        <v>1800</v>
      </c>
      <c r="O32" s="3449">
        <v>8783.01</v>
      </c>
      <c r="P32" s="3449">
        <v>1597.04</v>
      </c>
      <c r="Q32" s="3449">
        <v>106.47</v>
      </c>
      <c r="R32" s="3449">
        <v>1065</v>
      </c>
      <c r="S32" s="3449" t="s">
        <v>3448</v>
      </c>
      <c r="T32" s="3449">
        <f t="shared" si="0"/>
        <v>1509</v>
      </c>
    </row>
    <row r="33" spans="1:20">
      <c r="A33" s="3449" t="s">
        <v>3557</v>
      </c>
      <c r="B33" s="3449" t="s">
        <v>3407</v>
      </c>
      <c r="C33" s="3449" t="s">
        <v>3557</v>
      </c>
      <c r="D33" s="3449" t="s">
        <v>3437</v>
      </c>
      <c r="E33" s="3449">
        <v>103092.9</v>
      </c>
      <c r="F33" s="3449">
        <v>175257.93</v>
      </c>
      <c r="G33" s="3449" t="s">
        <v>3558</v>
      </c>
      <c r="H33" s="3449" t="s">
        <v>3439</v>
      </c>
      <c r="I33" s="3449" t="s">
        <v>3547</v>
      </c>
      <c r="J33" s="3450">
        <v>44700.000497685185</v>
      </c>
      <c r="K33" s="3449" t="s">
        <v>3441</v>
      </c>
      <c r="L33" s="3449" t="s">
        <v>3559</v>
      </c>
      <c r="M33" s="3449">
        <v>10287.64</v>
      </c>
      <c r="N33" s="3449">
        <v>2571.91</v>
      </c>
      <c r="O33" s="3449">
        <v>10287.64</v>
      </c>
      <c r="P33" s="3449">
        <v>997.89</v>
      </c>
      <c r="Q33" s="3449">
        <v>66.53</v>
      </c>
      <c r="R33" s="3449">
        <v>587</v>
      </c>
      <c r="S33" s="3449" t="s">
        <v>3448</v>
      </c>
      <c r="T33" s="3449">
        <f t="shared" si="0"/>
        <v>832</v>
      </c>
    </row>
    <row r="34" spans="1:20">
      <c r="A34" s="3449" t="s">
        <v>3560</v>
      </c>
      <c r="B34" s="3449" t="s">
        <v>3407</v>
      </c>
      <c r="C34" s="3449" t="s">
        <v>3561</v>
      </c>
      <c r="D34" s="3449" t="s">
        <v>3437</v>
      </c>
      <c r="E34" s="3449">
        <v>21090.2</v>
      </c>
      <c r="F34" s="3449">
        <v>22144.7</v>
      </c>
      <c r="G34" s="3449">
        <v>1.54</v>
      </c>
      <c r="H34" s="3449" t="s">
        <v>3439</v>
      </c>
      <c r="I34" s="3449" t="s">
        <v>3562</v>
      </c>
      <c r="J34" s="3450">
        <v>44671.000497685185</v>
      </c>
      <c r="K34" s="3449" t="s">
        <v>3441</v>
      </c>
      <c r="L34" s="3449" t="s">
        <v>3563</v>
      </c>
      <c r="M34" s="3449">
        <v>2163.09</v>
      </c>
      <c r="N34" s="3449">
        <v>540.77</v>
      </c>
      <c r="O34" s="3449">
        <v>2163.09</v>
      </c>
      <c r="P34" s="3449">
        <v>1025.6300000000001</v>
      </c>
      <c r="Q34" s="3449">
        <v>68.38</v>
      </c>
      <c r="R34" s="3449">
        <v>977</v>
      </c>
      <c r="S34" s="3449" t="s">
        <v>3448</v>
      </c>
      <c r="T34" s="3449">
        <f t="shared" si="0"/>
        <v>1384</v>
      </c>
    </row>
    <row r="35" spans="1:20">
      <c r="A35" s="3449" t="s">
        <v>3564</v>
      </c>
      <c r="B35" s="3449" t="s">
        <v>3407</v>
      </c>
      <c r="C35" s="3449" t="s">
        <v>3565</v>
      </c>
      <c r="D35" s="3449" t="s">
        <v>3437</v>
      </c>
      <c r="E35" s="3449">
        <v>718046.1</v>
      </c>
      <c r="F35" s="3449">
        <v>646241.49</v>
      </c>
      <c r="G35" s="3449">
        <v>0.9</v>
      </c>
      <c r="H35" s="3449" t="s">
        <v>3439</v>
      </c>
      <c r="I35" s="3449" t="s">
        <v>3437</v>
      </c>
      <c r="J35" s="3450">
        <v>44671.000497685185</v>
      </c>
      <c r="K35" s="3449" t="s">
        <v>3441</v>
      </c>
      <c r="L35" s="3449" t="s">
        <v>3566</v>
      </c>
      <c r="M35" s="3449">
        <v>61033.919999999998</v>
      </c>
      <c r="N35" s="3449">
        <v>12300</v>
      </c>
      <c r="O35" s="3449">
        <v>61033.919999999998</v>
      </c>
      <c r="P35" s="3449">
        <v>850</v>
      </c>
      <c r="Q35" s="3449">
        <v>56.67</v>
      </c>
      <c r="R35" s="3449">
        <v>944</v>
      </c>
      <c r="S35" s="3449" t="s">
        <v>3567</v>
      </c>
      <c r="T35" s="3449">
        <f t="shared" si="0"/>
        <v>1337</v>
      </c>
    </row>
    <row r="36" spans="1:20">
      <c r="A36" s="3449" t="s">
        <v>3568</v>
      </c>
      <c r="B36" s="3449" t="s">
        <v>3407</v>
      </c>
      <c r="C36" s="3449" t="s">
        <v>3569</v>
      </c>
      <c r="D36" s="3449" t="s">
        <v>3437</v>
      </c>
      <c r="E36" s="3449">
        <v>54214.080000000002</v>
      </c>
      <c r="F36" s="3449">
        <v>108428.16</v>
      </c>
      <c r="G36" s="3449">
        <v>2</v>
      </c>
      <c r="H36" s="3449" t="s">
        <v>3439</v>
      </c>
      <c r="I36" s="3449" t="s">
        <v>3555</v>
      </c>
      <c r="J36" s="3450">
        <v>44642.000497685185</v>
      </c>
      <c r="K36" s="3449" t="s">
        <v>3441</v>
      </c>
      <c r="L36" s="3449" t="s">
        <v>3570</v>
      </c>
      <c r="M36" s="3449">
        <v>8793.52</v>
      </c>
      <c r="N36" s="3449">
        <v>1800</v>
      </c>
      <c r="O36" s="3449">
        <v>8793.52</v>
      </c>
      <c r="P36" s="3449">
        <v>1621.99</v>
      </c>
      <c r="Q36" s="3449">
        <v>108.13</v>
      </c>
      <c r="R36" s="3449">
        <v>811</v>
      </c>
      <c r="S36" s="3449" t="s">
        <v>3448</v>
      </c>
      <c r="T36" s="3449">
        <f t="shared" si="0"/>
        <v>1149</v>
      </c>
    </row>
    <row r="37" spans="1:20">
      <c r="A37" s="3449" t="s">
        <v>3571</v>
      </c>
      <c r="B37" s="3449" t="s">
        <v>3407</v>
      </c>
      <c r="C37" s="3449" t="s">
        <v>3572</v>
      </c>
      <c r="D37" s="3449" t="s">
        <v>3437</v>
      </c>
      <c r="E37" s="3449">
        <v>76366.38</v>
      </c>
      <c r="F37" s="3449">
        <v>114549.57</v>
      </c>
      <c r="G37" s="3449">
        <v>1.5</v>
      </c>
      <c r="H37" s="3449" t="s">
        <v>3439</v>
      </c>
      <c r="I37" s="3449" t="s">
        <v>3437</v>
      </c>
      <c r="J37" s="3450">
        <v>44630.000497685185</v>
      </c>
      <c r="K37" s="3449" t="s">
        <v>3441</v>
      </c>
      <c r="L37" s="3449" t="s">
        <v>3573</v>
      </c>
      <c r="M37" s="3449">
        <v>11431.52</v>
      </c>
      <c r="N37" s="3449">
        <v>2500</v>
      </c>
      <c r="O37" s="3449">
        <v>11431.52</v>
      </c>
      <c r="P37" s="3449">
        <v>1496.93</v>
      </c>
      <c r="Q37" s="3449">
        <v>99.8</v>
      </c>
      <c r="R37" s="3449">
        <v>998</v>
      </c>
      <c r="S37" s="3449" t="s">
        <v>3448</v>
      </c>
      <c r="T37" s="3449">
        <f t="shared" si="0"/>
        <v>1414</v>
      </c>
    </row>
    <row r="38" spans="1:20">
      <c r="A38" s="3449" t="s">
        <v>3574</v>
      </c>
      <c r="B38" s="3449" t="s">
        <v>3407</v>
      </c>
      <c r="C38" s="3449" t="s">
        <v>3575</v>
      </c>
      <c r="D38" s="3449" t="s">
        <v>3437</v>
      </c>
      <c r="E38" s="3449">
        <v>40148.6</v>
      </c>
      <c r="F38" s="3449">
        <v>60222.9</v>
      </c>
      <c r="G38" s="3449">
        <v>1.5</v>
      </c>
      <c r="H38" s="3449" t="s">
        <v>3439</v>
      </c>
      <c r="I38" s="3449" t="s">
        <v>3456</v>
      </c>
      <c r="J38" s="3450">
        <v>44600.000497685185</v>
      </c>
      <c r="K38" s="3449" t="s">
        <v>3441</v>
      </c>
      <c r="L38" s="3449" t="s">
        <v>3576</v>
      </c>
      <c r="M38" s="3449">
        <v>3438.73</v>
      </c>
      <c r="N38" s="3449">
        <v>859.68</v>
      </c>
      <c r="O38" s="3449">
        <v>3438.73</v>
      </c>
      <c r="P38" s="3449">
        <v>856.5</v>
      </c>
      <c r="Q38" s="3449">
        <v>57.1</v>
      </c>
      <c r="R38" s="3449">
        <v>571</v>
      </c>
      <c r="S38" s="3449" t="s">
        <v>3448</v>
      </c>
      <c r="T38" s="3449">
        <f t="shared" si="0"/>
        <v>809</v>
      </c>
    </row>
    <row r="39" spans="1:20">
      <c r="A39" s="3449" t="s">
        <v>3577</v>
      </c>
      <c r="B39" s="3449" t="s">
        <v>3407</v>
      </c>
      <c r="C39" s="3449" t="s">
        <v>3578</v>
      </c>
      <c r="D39" s="3449" t="s">
        <v>3437</v>
      </c>
      <c r="E39" s="3449">
        <v>49662.400000000001</v>
      </c>
      <c r="F39" s="3449">
        <v>74493.600000000006</v>
      </c>
      <c r="G39" s="3449">
        <v>1.5</v>
      </c>
      <c r="H39" s="3449" t="s">
        <v>3439</v>
      </c>
      <c r="I39" s="3449" t="s">
        <v>3555</v>
      </c>
      <c r="J39" s="3450">
        <v>44564.000497685185</v>
      </c>
      <c r="K39" s="3449" t="s">
        <v>3441</v>
      </c>
      <c r="L39" s="3449" t="s">
        <v>3579</v>
      </c>
      <c r="M39" s="3449">
        <v>7665.39</v>
      </c>
      <c r="N39" s="3449">
        <v>1600</v>
      </c>
      <c r="O39" s="3449">
        <v>7665.39</v>
      </c>
      <c r="P39" s="3449">
        <v>1543.49</v>
      </c>
      <c r="Q39" s="3449">
        <v>102.9</v>
      </c>
      <c r="R39" s="3449">
        <v>1029</v>
      </c>
      <c r="S39" s="3449">
        <v>20</v>
      </c>
      <c r="T39" s="3449">
        <f t="shared" si="0"/>
        <v>1458</v>
      </c>
    </row>
    <row r="40" spans="1:20">
      <c r="A40" s="3449" t="s">
        <v>3580</v>
      </c>
      <c r="B40" s="3449" t="s">
        <v>3407</v>
      </c>
      <c r="C40" s="3449" t="s">
        <v>3581</v>
      </c>
      <c r="D40" s="3449" t="s">
        <v>3437</v>
      </c>
      <c r="E40" s="3449">
        <v>19333.34</v>
      </c>
      <c r="F40" s="3449">
        <v>38666.69</v>
      </c>
      <c r="G40" s="3449">
        <v>2</v>
      </c>
      <c r="H40" s="3449" t="s">
        <v>3439</v>
      </c>
      <c r="I40" s="3449" t="s">
        <v>3582</v>
      </c>
      <c r="J40" s="3450">
        <v>44561.000497685185</v>
      </c>
      <c r="K40" s="3449" t="s">
        <v>3441</v>
      </c>
      <c r="L40" s="3449" t="s">
        <v>3583</v>
      </c>
      <c r="M40" s="3449">
        <v>3477.1</v>
      </c>
      <c r="N40" s="3449">
        <v>700</v>
      </c>
      <c r="O40" s="3449">
        <v>3477.1</v>
      </c>
      <c r="P40" s="3449">
        <v>1798.49</v>
      </c>
      <c r="Q40" s="3449">
        <v>119.9</v>
      </c>
      <c r="R40" s="3449">
        <v>899</v>
      </c>
      <c r="S40" s="3449">
        <v>20</v>
      </c>
      <c r="T40" s="3449">
        <f t="shared" si="0"/>
        <v>1274</v>
      </c>
    </row>
    <row r="41" spans="1:20">
      <c r="A41" s="3449" t="s">
        <v>3584</v>
      </c>
      <c r="B41" s="3449" t="s">
        <v>3407</v>
      </c>
      <c r="C41" s="3449" t="s">
        <v>3585</v>
      </c>
      <c r="D41" s="3449" t="s">
        <v>3437</v>
      </c>
      <c r="E41" s="3449">
        <v>95015.4</v>
      </c>
      <c r="F41" s="3449">
        <v>180529.26</v>
      </c>
      <c r="G41" s="3449">
        <v>1.9</v>
      </c>
      <c r="H41" s="3449" t="s">
        <v>3439</v>
      </c>
      <c r="I41" s="3449" t="s">
        <v>3586</v>
      </c>
      <c r="J41" s="3450">
        <v>44554.000497685185</v>
      </c>
      <c r="K41" s="3449" t="s">
        <v>3441</v>
      </c>
      <c r="L41" s="3449" t="s">
        <v>3587</v>
      </c>
      <c r="M41" s="3449">
        <v>10308.219999999999</v>
      </c>
      <c r="N41" s="3449">
        <v>2577.06</v>
      </c>
      <c r="O41" s="3449">
        <v>10308.219999999999</v>
      </c>
      <c r="P41" s="3449">
        <v>1084.8900000000001</v>
      </c>
      <c r="Q41" s="3449">
        <v>72.33</v>
      </c>
      <c r="R41" s="3449">
        <v>571</v>
      </c>
      <c r="S41" s="3449">
        <v>20</v>
      </c>
      <c r="T41" s="3449">
        <f t="shared" si="0"/>
        <v>809</v>
      </c>
    </row>
    <row r="42" spans="1:20">
      <c r="A42" s="3449" t="s">
        <v>3588</v>
      </c>
      <c r="B42" s="3449" t="s">
        <v>3407</v>
      </c>
      <c r="C42" s="3449" t="s">
        <v>3589</v>
      </c>
      <c r="D42" s="3449" t="s">
        <v>3437</v>
      </c>
      <c r="E42" s="3449">
        <v>95076.46</v>
      </c>
      <c r="F42" s="3449">
        <v>114091.75</v>
      </c>
      <c r="G42" s="3449">
        <v>1.2</v>
      </c>
      <c r="H42" s="3449" t="s">
        <v>3439</v>
      </c>
      <c r="I42" s="3449" t="s">
        <v>3555</v>
      </c>
      <c r="J42" s="3450">
        <v>44521.000497685185</v>
      </c>
      <c r="K42" s="3449" t="s">
        <v>3441</v>
      </c>
      <c r="L42" s="3449" t="s">
        <v>3590</v>
      </c>
      <c r="M42" s="3449">
        <v>15254.86</v>
      </c>
      <c r="N42" s="3449">
        <v>3100</v>
      </c>
      <c r="O42" s="3449">
        <v>15254.86</v>
      </c>
      <c r="P42" s="3449">
        <v>1604.48</v>
      </c>
      <c r="Q42" s="3449">
        <v>106.97</v>
      </c>
      <c r="R42" s="3449">
        <v>1337</v>
      </c>
      <c r="S42" s="3449" t="s">
        <v>3591</v>
      </c>
      <c r="T42" s="3449">
        <f t="shared" si="0"/>
        <v>1894</v>
      </c>
    </row>
    <row r="43" spans="1:20">
      <c r="A43" s="3449" t="s">
        <v>3592</v>
      </c>
      <c r="B43" s="3449" t="s">
        <v>3407</v>
      </c>
      <c r="C43" s="3449" t="s">
        <v>3593</v>
      </c>
      <c r="D43" s="3449" t="s">
        <v>3437</v>
      </c>
      <c r="E43" s="3449">
        <v>23200</v>
      </c>
      <c r="F43" s="3449">
        <v>32480</v>
      </c>
      <c r="G43" s="3449">
        <v>1.4</v>
      </c>
      <c r="H43" s="3449" t="s">
        <v>3439</v>
      </c>
      <c r="I43" s="3449" t="s">
        <v>3456</v>
      </c>
      <c r="J43" s="3450">
        <v>44487.000497685185</v>
      </c>
      <c r="K43" s="3449" t="s">
        <v>3441</v>
      </c>
      <c r="L43" s="3449" t="s">
        <v>3594</v>
      </c>
      <c r="M43" s="3449">
        <v>2150.1799999999998</v>
      </c>
      <c r="N43" s="3449">
        <v>440</v>
      </c>
      <c r="O43" s="3449">
        <v>2150.1799999999998</v>
      </c>
      <c r="P43" s="3449">
        <v>926.8</v>
      </c>
      <c r="Q43" s="3449">
        <v>61.79</v>
      </c>
      <c r="R43" s="3449">
        <v>662</v>
      </c>
      <c r="S43" s="3449" t="s">
        <v>3591</v>
      </c>
      <c r="T43" s="3449">
        <f t="shared" si="0"/>
        <v>938</v>
      </c>
    </row>
    <row r="44" spans="1:20">
      <c r="A44" s="3449" t="s">
        <v>3595</v>
      </c>
      <c r="B44" s="3449" t="s">
        <v>3407</v>
      </c>
      <c r="C44" s="3449" t="s">
        <v>3596</v>
      </c>
      <c r="D44" s="3449" t="s">
        <v>3437</v>
      </c>
      <c r="E44" s="3449">
        <v>57488.82</v>
      </c>
      <c r="F44" s="3449">
        <v>86233.23</v>
      </c>
      <c r="G44" s="3449" t="s">
        <v>3482</v>
      </c>
      <c r="H44" s="3449" t="s">
        <v>3439</v>
      </c>
      <c r="I44" s="3449" t="s">
        <v>3456</v>
      </c>
      <c r="J44" s="3450">
        <v>44480.000497685185</v>
      </c>
      <c r="K44" s="3449" t="s">
        <v>3441</v>
      </c>
      <c r="L44" s="3449" t="s">
        <v>3597</v>
      </c>
      <c r="M44" s="3449">
        <v>7835.68</v>
      </c>
      <c r="N44" s="3449">
        <v>1600</v>
      </c>
      <c r="O44" s="3449">
        <v>7835.68</v>
      </c>
      <c r="P44" s="3449">
        <v>1362.99</v>
      </c>
      <c r="Q44" s="3449">
        <v>90.87</v>
      </c>
      <c r="R44" s="3449">
        <v>909</v>
      </c>
      <c r="S44" s="3449" t="s">
        <v>3448</v>
      </c>
    </row>
    <row r="45" spans="1:20">
      <c r="A45" s="3449" t="s">
        <v>3598</v>
      </c>
      <c r="B45" s="3449" t="s">
        <v>3407</v>
      </c>
      <c r="C45" s="3449" t="s">
        <v>3599</v>
      </c>
      <c r="D45" s="3449" t="s">
        <v>3437</v>
      </c>
      <c r="E45" s="3449">
        <v>7422.43</v>
      </c>
      <c r="F45" s="3449">
        <v>5937.95</v>
      </c>
      <c r="G45" s="3449" t="s">
        <v>3496</v>
      </c>
      <c r="H45" s="3449" t="s">
        <v>3439</v>
      </c>
      <c r="I45" s="3449" t="s">
        <v>3456</v>
      </c>
      <c r="J45" s="3450">
        <v>44480.000497685185</v>
      </c>
      <c r="K45" s="3449" t="s">
        <v>3441</v>
      </c>
      <c r="L45" s="3449" t="s">
        <v>3600</v>
      </c>
      <c r="M45" s="3449">
        <v>844.63</v>
      </c>
      <c r="N45" s="3449">
        <v>170</v>
      </c>
      <c r="O45" s="3449">
        <v>844.63</v>
      </c>
      <c r="P45" s="3449">
        <v>1137.94</v>
      </c>
      <c r="Q45" s="3449">
        <v>75.86</v>
      </c>
      <c r="R45" s="3449">
        <v>1422</v>
      </c>
      <c r="S45" s="3449" t="s">
        <v>3448</v>
      </c>
    </row>
    <row r="46" spans="1:20">
      <c r="A46" s="3449" t="s">
        <v>3601</v>
      </c>
      <c r="B46" s="3449" t="s">
        <v>3407</v>
      </c>
      <c r="C46" s="3449" t="s">
        <v>3602</v>
      </c>
      <c r="D46" s="3449" t="s">
        <v>3437</v>
      </c>
      <c r="E46" s="3449">
        <v>23652.31</v>
      </c>
      <c r="F46" s="3449">
        <v>23652.31</v>
      </c>
      <c r="G46" s="3449">
        <v>1</v>
      </c>
      <c r="H46" s="3449" t="s">
        <v>3439</v>
      </c>
      <c r="I46" s="3449" t="s">
        <v>3456</v>
      </c>
      <c r="J46" s="3450">
        <v>44480.000497685185</v>
      </c>
      <c r="K46" s="3449" t="s">
        <v>3441</v>
      </c>
      <c r="L46" s="3449" t="s">
        <v>3603</v>
      </c>
      <c r="M46" s="3449">
        <v>2689.6</v>
      </c>
      <c r="N46" s="3449">
        <v>550</v>
      </c>
      <c r="O46" s="3449">
        <v>2689.6</v>
      </c>
      <c r="P46" s="3449">
        <v>1137.1400000000001</v>
      </c>
      <c r="Q46" s="3449">
        <v>75.81</v>
      </c>
      <c r="R46" s="3449">
        <v>1137</v>
      </c>
      <c r="S46" s="3449" t="s">
        <v>3448</v>
      </c>
    </row>
    <row r="47" spans="1:20">
      <c r="A47" s="3449" t="s">
        <v>3604</v>
      </c>
      <c r="B47" s="3449" t="s">
        <v>3407</v>
      </c>
      <c r="C47" s="3449" t="s">
        <v>3605</v>
      </c>
      <c r="D47" s="3449" t="s">
        <v>3437</v>
      </c>
      <c r="E47" s="3449">
        <v>23170.400000000001</v>
      </c>
      <c r="F47" s="3449">
        <v>23170.400000000001</v>
      </c>
      <c r="G47" s="3449">
        <v>1</v>
      </c>
      <c r="H47" s="3449" t="s">
        <v>3439</v>
      </c>
      <c r="I47" s="3449" t="s">
        <v>3456</v>
      </c>
      <c r="J47" s="3450">
        <v>44480.000497685185</v>
      </c>
      <c r="K47" s="3449" t="s">
        <v>3441</v>
      </c>
      <c r="L47" s="3449" t="s">
        <v>3600</v>
      </c>
      <c r="M47" s="3449">
        <v>2632.78</v>
      </c>
      <c r="N47" s="3449">
        <v>530</v>
      </c>
      <c r="O47" s="3449">
        <v>2632.78</v>
      </c>
      <c r="P47" s="3449">
        <v>1136.26</v>
      </c>
      <c r="Q47" s="3449">
        <v>75.75</v>
      </c>
      <c r="R47" s="3449">
        <v>1136</v>
      </c>
      <c r="S47" s="3449" t="s">
        <v>3448</v>
      </c>
    </row>
    <row r="48" spans="1:20">
      <c r="A48" s="3449" t="s">
        <v>3606</v>
      </c>
      <c r="B48" s="3449" t="s">
        <v>3407</v>
      </c>
      <c r="C48" s="3449" t="s">
        <v>3607</v>
      </c>
      <c r="D48" s="3449" t="s">
        <v>3437</v>
      </c>
      <c r="E48" s="3449">
        <v>82052.600000000006</v>
      </c>
      <c r="F48" s="3449">
        <v>155899.94</v>
      </c>
      <c r="G48" s="3449">
        <v>1.9</v>
      </c>
      <c r="H48" s="3449" t="s">
        <v>3439</v>
      </c>
      <c r="I48" s="3449" t="s">
        <v>3437</v>
      </c>
      <c r="J48" s="3450">
        <v>44466.000497685185</v>
      </c>
      <c r="K48" s="3449" t="s">
        <v>3441</v>
      </c>
      <c r="L48" s="3449" t="s">
        <v>3608</v>
      </c>
      <c r="M48" s="3449">
        <v>16837.189999999999</v>
      </c>
      <c r="N48" s="3449">
        <v>3400</v>
      </c>
      <c r="O48" s="3449">
        <v>16837.189999999999</v>
      </c>
      <c r="P48" s="3449">
        <v>2051.9899999999998</v>
      </c>
      <c r="Q48" s="3449">
        <v>136.80000000000001</v>
      </c>
      <c r="R48" s="3449">
        <v>1080</v>
      </c>
      <c r="S48" s="3449" t="s">
        <v>3567</v>
      </c>
    </row>
    <row r="49" spans="1:19">
      <c r="A49" s="3449" t="s">
        <v>3609</v>
      </c>
      <c r="B49" s="3449" t="s">
        <v>3407</v>
      </c>
      <c r="C49" s="3449" t="s">
        <v>3610</v>
      </c>
      <c r="D49" s="3449" t="s">
        <v>3437</v>
      </c>
      <c r="E49" s="3449">
        <v>7844</v>
      </c>
      <c r="F49" s="3449">
        <v>11766</v>
      </c>
      <c r="G49" s="3449">
        <v>1.5</v>
      </c>
      <c r="H49" s="3449" t="s">
        <v>3439</v>
      </c>
      <c r="I49" s="3449" t="s">
        <v>3437</v>
      </c>
      <c r="J49" s="3450">
        <v>44466.000497685185</v>
      </c>
      <c r="K49" s="3449" t="s">
        <v>3441</v>
      </c>
      <c r="L49" s="3449" t="s">
        <v>3611</v>
      </c>
      <c r="M49" s="3449">
        <v>854.21</v>
      </c>
      <c r="N49" s="3449">
        <v>213.55</v>
      </c>
      <c r="O49" s="3449">
        <v>854.21</v>
      </c>
      <c r="P49" s="3449">
        <v>1088.99</v>
      </c>
      <c r="Q49" s="3449">
        <v>72.599999999999994</v>
      </c>
      <c r="R49" s="3449">
        <v>726</v>
      </c>
      <c r="S49" s="3449" t="s">
        <v>3448</v>
      </c>
    </row>
    <row r="50" spans="1:19">
      <c r="A50" s="3449" t="s">
        <v>3612</v>
      </c>
      <c r="B50" s="3449" t="s">
        <v>3407</v>
      </c>
      <c r="C50" s="3449" t="s">
        <v>3613</v>
      </c>
      <c r="D50" s="3449" t="s">
        <v>3437</v>
      </c>
      <c r="E50" s="3449">
        <v>49454.7</v>
      </c>
      <c r="F50" s="3449">
        <v>98909.1</v>
      </c>
      <c r="G50" s="3449">
        <v>2</v>
      </c>
      <c r="H50" s="3449" t="s">
        <v>3439</v>
      </c>
      <c r="I50" s="3449" t="s">
        <v>3614</v>
      </c>
      <c r="J50" s="3450">
        <v>44454.000497685185</v>
      </c>
      <c r="K50" s="3449" t="s">
        <v>3441</v>
      </c>
      <c r="L50" s="3449" t="s">
        <v>3447</v>
      </c>
      <c r="M50" s="3449">
        <v>6448.89</v>
      </c>
      <c r="N50" s="3449">
        <v>1612.22</v>
      </c>
      <c r="O50" s="3449">
        <v>6448.89</v>
      </c>
      <c r="P50" s="3449">
        <v>1303.99</v>
      </c>
      <c r="Q50" s="3449">
        <v>86.93</v>
      </c>
      <c r="R50" s="3449">
        <v>652</v>
      </c>
      <c r="S50" s="3449">
        <v>20</v>
      </c>
    </row>
    <row r="51" spans="1:19">
      <c r="A51" s="3449" t="s">
        <v>3615</v>
      </c>
      <c r="B51" s="3449" t="s">
        <v>3407</v>
      </c>
      <c r="C51" s="3449" t="s">
        <v>3616</v>
      </c>
      <c r="D51" s="3449" t="s">
        <v>3437</v>
      </c>
      <c r="E51" s="3449">
        <v>13006.3</v>
      </c>
      <c r="F51" s="3449">
        <v>9104.41</v>
      </c>
      <c r="G51" s="3449" t="s">
        <v>3617</v>
      </c>
      <c r="H51" s="3449" t="s">
        <v>3439</v>
      </c>
      <c r="I51" s="3449" t="s">
        <v>3523</v>
      </c>
      <c r="J51" s="3450">
        <v>44446.000497685185</v>
      </c>
      <c r="K51" s="3449" t="s">
        <v>3441</v>
      </c>
      <c r="L51" s="3449" t="s">
        <v>3618</v>
      </c>
      <c r="M51" s="3449">
        <v>742.66</v>
      </c>
      <c r="N51" s="3449">
        <v>185.66</v>
      </c>
      <c r="O51" s="3449">
        <v>742.66</v>
      </c>
      <c r="P51" s="3449">
        <v>571</v>
      </c>
      <c r="Q51" s="3449">
        <v>38.07</v>
      </c>
      <c r="R51" s="3449">
        <v>816</v>
      </c>
      <c r="S51" s="3449" t="s">
        <v>3448</v>
      </c>
    </row>
  </sheetData>
  <phoneticPr fontId="134"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6" t="s">
        <v>2841</v>
      </c>
      <c r="B1" s="3776"/>
      <c r="C1" s="3776"/>
      <c r="D1" s="3776"/>
      <c r="E1" s="3776"/>
      <c r="F1" s="3776"/>
      <c r="G1" s="377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8" t="s">
        <v>3183</v>
      </c>
      <c r="B1" s="3778"/>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9" t="s">
        <v>3234</v>
      </c>
      <c r="B1" s="3779"/>
      <c r="C1" s="3779"/>
      <c r="D1" s="3779"/>
      <c r="E1" s="3779"/>
      <c r="F1" s="378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45378</v>
      </c>
      <c r="B1" s="3209" t="s">
        <v>3372</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2827</v>
      </c>
    </row>
    <row r="22" spans="1:30" s="3008" customFormat="1"/>
    <row r="23" spans="1:30" s="3208" customFormat="1" ht="12.75">
      <c r="B23" s="3209" t="s">
        <v>3373</v>
      </c>
      <c r="C23" s="3210"/>
      <c r="D23" s="3210"/>
      <c r="E23" s="3210"/>
      <c r="F23" s="3210"/>
      <c r="G23" s="3210"/>
      <c r="H23" s="3210"/>
      <c r="I23" s="3210"/>
      <c r="J23" s="3164"/>
      <c r="K23" s="3210" t="s">
        <v>2828</v>
      </c>
      <c r="L23" s="3210"/>
      <c r="M23" s="3210"/>
      <c r="N23" s="3210"/>
      <c r="O23" s="3210"/>
      <c r="P23" s="3210"/>
      <c r="Q23" s="3164"/>
      <c r="R23" s="3781" t="s">
        <v>2829</v>
      </c>
      <c r="S23" s="3782"/>
      <c r="T23" s="3782"/>
      <c r="U23" s="3782"/>
      <c r="V23" s="3782"/>
      <c r="W23" s="3782"/>
      <c r="X23" s="3164"/>
      <c r="Y23" s="3781" t="s">
        <v>2830</v>
      </c>
      <c r="Z23" s="3782"/>
      <c r="AA23" s="3782"/>
      <c r="AB23" s="3782"/>
      <c r="AC23" s="3782"/>
      <c r="AD23" s="3782"/>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45378</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1384.1800000000003</v>
      </c>
      <c r="C4" s="853">
        <f>项目基本情况!C18</f>
        <v>929.76</v>
      </c>
      <c r="D4" s="853">
        <f ca="1">结果表!D118</f>
        <v>776</v>
      </c>
      <c r="E4" s="853">
        <f ca="1">结果表!E118</f>
        <v>5606</v>
      </c>
      <c r="F4" s="853">
        <f ca="1">结果表!F118</f>
        <v>350</v>
      </c>
      <c r="G4" s="853">
        <f ca="1">结果表!G118</f>
        <v>2529</v>
      </c>
      <c r="H4" s="853">
        <f ca="1">结果表!H118</f>
        <v>1126</v>
      </c>
      <c r="I4" s="853">
        <f ca="1">结果表!I118</f>
        <v>8135</v>
      </c>
    </row>
    <row r="5" spans="1:9" ht="30" customHeight="1">
      <c r="A5" s="3469" t="s">
        <v>927</v>
      </c>
      <c r="B5" s="3469"/>
      <c r="C5" s="3469"/>
      <c r="D5" s="3469" t="str">
        <f ca="1">结果表!D119</f>
        <v>柒佰柒拾陆万元整</v>
      </c>
      <c r="E5" s="3469"/>
      <c r="F5" s="3469" t="str">
        <f ca="1">结果表!F119</f>
        <v>叁佰伍拾万元整</v>
      </c>
      <c r="G5" s="3469"/>
      <c r="H5" s="3469" t="str">
        <f ca="1">结果表!H119</f>
        <v>壹仟壹佰贰拾陆万元整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1126</v>
      </c>
      <c r="E8" s="3468"/>
      <c r="F8" s="3468"/>
      <c r="G8" s="3468"/>
      <c r="H8" s="3468"/>
      <c r="I8" s="3468"/>
    </row>
    <row r="9" spans="1:9" ht="15">
      <c r="A9" s="3469" t="s">
        <v>927</v>
      </c>
      <c r="B9" s="3469"/>
      <c r="C9" s="3469"/>
      <c r="D9" s="3469" t="str">
        <f ca="1">结果表!D123</f>
        <v>壹仟壹佰贰拾陆万元整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45383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2158</v>
      </c>
      <c r="B17" s="3492"/>
      <c r="C17" s="3492"/>
      <c r="D17" s="3492"/>
      <c r="E17" s="3492"/>
      <c r="F17" s="3492"/>
      <c r="G17" s="3492"/>
      <c r="H17" s="3492"/>
    </row>
    <row r="18" spans="1:8" ht="24" customHeight="1">
      <c r="A18" s="3493" t="s">
        <v>2159</v>
      </c>
      <c r="B18" s="3493"/>
      <c r="C18" s="3493"/>
      <c r="D18" s="2342"/>
      <c r="E18" s="3494" t="s">
        <v>2160</v>
      </c>
      <c r="F18" s="3493"/>
      <c r="G18" s="3493"/>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基准地价（汇总）</vt:lpstr>
      <vt:lpstr>基准地价修正</vt:lpstr>
      <vt:lpstr>修正</vt:lpstr>
      <vt:lpstr>容积率修正</vt:lpstr>
      <vt:lpstr>成本法（废）</vt:lpstr>
      <vt:lpstr>土地比较法-工业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2024-04-01T03:13:28Z</dcterms:modified>
</cp:coreProperties>
</file>