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售价" sheetId="80" r:id="rId26"/>
    <sheet name="租金" sheetId="81"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<sst xmlns="http://schemas.openxmlformats.org/spreadsheetml/2006/main" count="7955" uniqueCount="2770">
  <si>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</si>
  <si>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</si>
  <si>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</si>
  <si>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</si>
  <si>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</si>
  <si>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</si>
  <si>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</si>
  <si>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</si>
  <si>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</si>
  <si>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</si>
  <si>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</si>
  <si>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</si>
  <si>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</si>
  <si>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</si>
  <si>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</si>
  <si>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</si>
  <si>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</si>
  <si>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</si>
  <si>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</si>
  <si>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</si>
  <si>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</si>
  <si>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</si>
  <si>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</si>
  <si>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</si>
  <si>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</si>
  <si>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</si>
  <si>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</si>
  <si>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</si>
  <si>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</si>
  <si>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</si>
  <si>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</si>
  <si>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</si>
  <si>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</si>
  <si>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</si>
  <si>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</si>
  <si>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</si>
  <si>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</si>
  <si>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</si>
  <si>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</si>
  <si>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</si>
  <si>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</si>
  <si>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</si>
  <si>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</si>
  <si>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</si>
  <si>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</si>
  <si>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</si>
  <si>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</si>
  <si>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</si>
  <si>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</si>
  <si>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</si>
  <si>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</si>
  <si>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</si>
  <si>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</si>
  <si>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</si>
  <si>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</si>
  <si>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</si>
  <si>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</si>
  <si>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</si>
  <si>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</si>
  <si>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</si>
  <si>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</si>
  <si>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</si>
  <si>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</si>
  <si>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</si>
  <si>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</si>
  <si>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</si>
  <si>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</si>
  <si>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</si>
  <si>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</si>
  <si>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</si>
  <si>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</si>
  <si>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</si>
  <si>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</si>
  <si>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</si>
  <si>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</si>
  <si>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</si>
  <si>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</si>
  <si>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</si>
  <si>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</si>
  <si>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</si>
  <si>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</si>
  <si>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</si>
  <si>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</si>
  <si>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</si>
  <si>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</si>
  <si>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</si>
  <si>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</si>
  <si>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</si>
  <si>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</si>
  <si>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</si>
  <si>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</si>
  <si>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</si>
  <si>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</si>
  <si>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</si>
  <si>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</si>
  <si>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</si>
  <si>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</si>
  <si>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</si>
  <si>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</si>
  <si>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</si>
  <si>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</si>
  <si>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</si>
  <si>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</si>
  <si>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</si>
  <si>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</si>
  <si>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</si>
  <si>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</si>
  <si>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</si>
  <si>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</si>
  <si>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</si>
  <si>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</si>
  <si>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</si>
  <si>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</si>
  <si>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</si>
  <si>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</si>
  <si>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</si>
  <si>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</si>
  <si>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</si>
  <si>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</si>
  <si>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</si>
  <si>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</si>
  <si>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</si>
  <si>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</si>
  <si>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</si>
  <si>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</si>
  <si>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</si>
  <si>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</si>
  <si>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</si>
  <si>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</si>
  <si>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</si>
  <si>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</si>
  <si>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</si>
  <si>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</si>
  <si>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</si>
  <si>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</si>
  <si>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</si>
  <si>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</si>
  <si>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</si>
  <si>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</si>
  <si>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</si>
  <si>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</si>
  <si>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</si>
  <si>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</si>
  <si>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</si>
  <si>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</si>
  <si>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</si>
  <si>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</si>
  <si>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</si>
  <si>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</si>
  <si>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</si>
  <si>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</si>
  <si>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</si>
  <si>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</si>
  <si>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</si>
  <si>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</si>
  <si>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</si>
  <si>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</si>
  <si>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</si>
  <si>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</si>
  <si>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</si>
  <si>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</si>
  <si>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</si>
  <si>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</si>
  <si>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</si>
  <si>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</si>
  <si>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</si>
  <si>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</si>
  <si>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</si>
  <si>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</si>
  <si>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</si>
  <si>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</si>
  <si>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</si>
  <si>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</si>
  <si>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</si>
  <si>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</si>
  <si>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</si>
  <si>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</si>
  <si>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</si>
  <si>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</si>
  <si>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</si>
  <si>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</si>
  <si>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</si>
  <si>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</si>
  <si>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</si>
  <si>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</si>
  <si>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</si>
  <si>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</si>
  <si>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</si>
  <si>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</si>
  <si>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</si>
  <si>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</si>
  <si>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</si>
  <si>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</si>
  <si>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</si>
  <si>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</si>
  <si>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</si>
  <si>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</si>
  <si>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</si>
  <si>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</si>
  <si>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</si>
  <si>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</si>
  <si>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</si>
  <si>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</si>
  <si>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</si>
  <si>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</si>
  <si>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</si>
  <si>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</si>
  <si>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</si>
  <si>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</si>
  <si>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</si>
  <si>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</si>
  <si>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</si>
  <si>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</si>
  <si>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</si>
  <si>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</si>
  <si>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</si>
  <si>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</si>
  <si>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</si>
  <si>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</si>
  <si>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</si>
  <si>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</si>
  <si>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</si>
  <si>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</si>
  <si>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</si>
  <si>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</si>
  <si>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</si>
  <si>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</si>
  <si>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</si>
  <si>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</si>
  <si>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</si>
  <si>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</si>
  <si>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</si>
  <si>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</si>
  <si>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</si>
  <si>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</si>
  <si>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</si>
  <si>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</si>
  <si>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</si>
  <si>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</si>
  <si>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</si>
  <si>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</si>
  <si>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</si>
  <si>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</si>
  <si>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</si>
  <si>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</si>
  <si>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</si>
  <si>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</si>
  <si>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</si>
  <si>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</si>
  <si>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</si>
  <si>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</si>
  <si>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</si>
  <si>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</si>
  <si>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</si>
  <si>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</si>
  <si>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</si>
  <si>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</si>
  <si>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</si>
  <si>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</si>
  <si>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</si>
  <si>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</si>
  <si>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</si>
  <si>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</si>
  <si>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</si>
  <si>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</si>
  <si>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</si>
  <si>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</si>
  <si>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</si>
  <si>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</si>
  <si>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</si>
  <si>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</si>
  <si>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</si>
  <si>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</si>
  <si>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</si>
  <si>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</si>
  <si>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</si>
  <si>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</si>
  <si>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</si>
  <si>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</si>
  <si>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</si>
  <si>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</si>
  <si>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</si>
  <si>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</si>
  <si>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</si>
  <si>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</si>
  <si>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</si>
  <si>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</si>
  <si>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</si>
  <si>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</si>
  <si>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</si>
  <si>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</si>
  <si>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</si>
  <si>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</si>
  <si>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</si>
  <si>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</si>
  <si>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</si>
  <si>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</si>
  <si>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</si>
  <si>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</si>
  <si>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</si>
  <si>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</si>
  <si>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</si>
  <si>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</si>
  <si>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</si>
  <si>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</si>
  <si>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</si>
  <si>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</si>
  <si>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</si>
  <si>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</si>
  <si>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</si>
  <si>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</si>
  <si>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</si>
  <si>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</si>
  <si>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</si>
  <si>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</si>
  <si>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</si>
  <si>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</si>
  <si>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</si>
  <si>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</si>
  <si>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</si>
  <si>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</si>
  <si>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</si>
  <si>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</si>
  <si>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</si>
  <si>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</si>
  <si>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</si>
  <si>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</si>
  <si>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</si>
  <si>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</si>
  <si>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</si>
  <si>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</si>
  <si>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</si>
  <si>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</si>
  <si>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</si>
  <si>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</si>
  <si>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</si>
  <si>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</si>
  <si>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</si>
  <si>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</si>
  <si>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</si>
  <si>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</si>
  <si>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</si>
  <si>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</si>
  <si>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</si>
  <si>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</si>
  <si>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</si>
  <si>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</si>
  <si>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</si>
  <si>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</si>
  <si>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</si>
  <si>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</si>
  <si>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</si>
  <si>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</si>
  <si>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</si>
  <si>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</si>
  <si>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</si>
  <si>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</si>
  <si>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</si>
  <si>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</si>
  <si>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</si>
  <si>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</si>
  <si>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</si>
  <si>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</si>
  <si>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</si>
  <si>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</si>
  <si>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</si>
  <si>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</si>
  <si>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</si>
  <si>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</si>
  <si>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</si>
  <si>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</si>
  <si>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</si>
  <si>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</si>
  <si>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</si>
  <si>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</si>
  <si>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</si>
  <si>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</si>
  <si>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</si>
  <si>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</si>
  <si>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</si>
  <si>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</si>
  <si>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</si>
  <si>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</si>
  <si>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</si>
  <si>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</si>
  <si>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</si>
  <si>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</si>
  <si>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</si>
  <si>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</si>
  <si>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</si>
  <si>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</si>
  <si>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</si>
  <si>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</si>
  <si>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</si>
  <si>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</si>
  <si>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</si>
  <si>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</si>
  <si>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</si>
  <si>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</si>
  <si>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</si>
  <si>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</si>
  <si>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</si>
  <si>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</si>
  <si>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</si>
  <si>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</si>
  <si>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</si>
  <si>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</si>
  <si>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</si>
  <si>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</si>
  <si>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</si>
  <si>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</si>
  <si>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</si>
  <si>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</si>
  <si>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</si>
  <si>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</si>
  <si>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</si>
  <si>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</si>
  <si>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</si>
  <si>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</si>
  <si>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</si>
  <si>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</si>
  <si>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</si>
  <si>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</si>
  <si>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</si>
  <si>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</si>
  <si>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</si>
  <si>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</si>
  <si>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</si>
  <si>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</si>
  <si>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</si>
  <si>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</si>
  <si>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</si>
  <si>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</si>
  <si>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</si>
  <si>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</si>
  <si>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</si>
  <si>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</si>
  <si>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</si>
  <si>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</si>
  <si>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</si>
  <si>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</si>
  <si>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</si>
  <si>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</si>
  <si>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</si>
  <si>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</si>
  <si>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</si>
  <si>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</si>
  <si>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</si>
  <si>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</si>
  <si>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</si>
  <si>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</si>
  <si>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</si>
  <si>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</si>
  <si>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</si>
  <si>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</si>
  <si>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</si>
  <si>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</si>
  <si>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</si>
  <si>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</si>
  <si>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</si>
  <si>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</si>
  <si>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</si>
  <si>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</si>
  <si>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</si>
  <si>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</si>
  <si>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</si>
  <si>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</si>
  <si>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</si>
  <si>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</si>
  <si>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</si>
  <si>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</si>
  <si>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</si>
  <si>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</si>
  <si>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</si>
  <si>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</si>
  <si>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</si>
  <si>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</si>
  <si>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</si>
  <si>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</si>
  <si>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</si>
  <si>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</si>
  <si>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</si>
  <si>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</si>
  <si>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</si>
  <si>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</si>
  <si>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</si>
  <si>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</si>
  <si>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</si>
  <si>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</si>
  <si>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</si>
  <si>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</si>
  <si>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</si>
  <si>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</si>
  <si>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</si>
  <si>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</si>
  <si>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</si>
  <si>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</si>
  <si>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</si>
  <si>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</si>
  <si>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</si>
  <si>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</si>
  <si>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</si>
  <si>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</si>
  <si>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</si>
  <si>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</si>
  <si>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</si>
  <si>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</si>
  <si>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</si>
  <si>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</si>
  <si>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</si>
  <si>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</si>
  <si>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</si>
  <si>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</si>
  <si>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</si>
  <si>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</si>
  <si>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</si>
  <si>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</si>
  <si>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</si>
  <si>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</si>
  <si>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</si>
  <si>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</si>
  <si>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</si>
  <si>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</si>
  <si>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</si>
  <si>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</si>
  <si>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</si>
  <si>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</si>
  <si>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</si>
  <si>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</si>
  <si>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</si>
  <si>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</si>
  <si>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</si>
  <si>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</si>
  <si>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</si>
  <si>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</si>
  <si>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</si>
  <si>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</si>
  <si>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</si>
  <si>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</si>
  <si>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</si>
  <si>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</si>
  <si>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</si>
  <si>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</si>
  <si>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</si>
  <si>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</si>
  <si>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</si>
  <si>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</si>
  <si>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</si>
  <si>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</si>
  <si>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</si>
  <si>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</si>
  <si>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</si>
  <si>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</si>
  <si>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</si>
  <si>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</si>
  <si>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</si>
  <si>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</si>
  <si>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</si>
  <si>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</si>
  <si>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</si>
  <si>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</si>
  <si>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</si>
  <si>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</si>
  <si>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</si>
  <si>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</si>
  <si>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</si>
  <si>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</si>
  <si>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</si>
  <si>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</si>
  <si>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</si>
  <si>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</si>
  <si>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</si>
  <si>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</si>
  <si>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</si>
  <si>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</si>
  <si>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</si>
  <si>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</si>
  <si>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</si>
  <si>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</si>
  <si>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</si>
  <si>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</si>
  <si>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</si>
  <si>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</si>
  <si>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</si>
  <si>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</si>
  <si>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</si>
  <si>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</si>
  <si>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</si>
  <si>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</si>
  <si>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</si>
  <si>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</si>
  <si>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</si>
  <si>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</si>
  <si>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</si>
  <si>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</si>
  <si>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</si>
  <si>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</si>
  <si>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</si>
  <si>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</si>
  <si>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</si>
  <si>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</si>
  <si>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</si>
  <si>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</si>
  <si>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</si>
  <si>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</si>
  <si>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</si>
  <si>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</si>
  <si>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</si>
  <si>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</si>
  <si>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</si>
  <si>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</si>
  <si>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</si>
  <si>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</si>
  <si>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</si>
  <si>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</si>
  <si>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</si>
  <si>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</si>
  <si>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</si>
  <si>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</si>
  <si>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</si>
  <si>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</si>
  <si>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</si>
  <si>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</si>
  <si>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</si>
  <si>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</si>
  <si>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</si>
  <si>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</si>
  <si>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</si>
  <si>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</si>
  <si>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</si>
  <si>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</si>
  <si>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</si>
  <si>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</si>
  <si>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</si>
  <si>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</si>
  <si>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</si>
  <si>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</si>
  <si>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</si>
  <si>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</si>
  <si>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</si>
  <si>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</si>
  <si>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</si>
  <si>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</si>
  <si>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</si>
  <si>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</si>
  <si>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</si>
  <si>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</si>
  <si>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</si>
  <si>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</si>
  <si>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</si>
  <si>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</si>
  <si>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</si>
  <si>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</si>
  <si>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</si>
  <si>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</si>
  <si>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</si>
  <si>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</si>
  <si>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</si>
  <si>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</si>
  <si>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</si>
  <si>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</si>
  <si>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</si>
  <si>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</si>
  <si>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</si>
  <si>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</si>
  <si>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</si>
  <si>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</si>
  <si>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</si>
  <si>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</si>
  <si>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</si>
  <si>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</si>
  <si>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</si>
  <si>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</si>
  <si>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</si>
  <si>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</si>
  <si>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</si>
  <si>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</si>
  <si>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</si>
  <si>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</si>
  <si>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</si>
  <si>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</si>
  <si>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</si>
  <si>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</si>
  <si>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</si>
  <si>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</si>
  <si>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</si>
  <si>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</si>
  <si>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</si>
  <si>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</si>
  <si>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</si>
  <si>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</si>
  <si>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</si>
  <si>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</si>
  <si>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</si>
  <si>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</si>
  <si>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</si>
  <si>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</si>
  <si>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</si>
  <si>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</si>
  <si>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</si>
  <si>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</si>
  <si>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</si>
  <si>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</si>
  <si>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</si>
  <si>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</si>
  <si>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</si>
  <si>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</si>
  <si>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</si>
  <si>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</si>
  <si>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</si>
  <si>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</si>
  <si>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</si>
  <si>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</si>
  <si>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</si>
  <si>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</si>
  <si>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</si>
  <si>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</si>
  <si>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</si>
  <si>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</si>
  <si>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</si>
  <si>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</si>
  <si>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</si>
  <si>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</si>
  <si>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</si>
  <si>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</si>
  <si>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</si>
  <si>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</si>
  <si>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</si>
  <si>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</si>
  <si>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</si>
  <si>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</si>
  <si>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</si>
  <si>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</si>
  <si>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</si>
  <si>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</si>
  <si>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台湖镇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</si>
  <si>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</si>
  <si>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</si>
  <si>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</si>
  <si>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</si>
  <si>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</si>
  <si>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</si>
  <si>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</si>
  <si>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</si>
  <si>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</si>
  <si>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</si>
  <si>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</si>
  <si>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</si>
  <si>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</si>
  <si>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</si>
  <si>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</si>
  <si>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</si>
  <si>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</si>
  <si>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</si>
  <si>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</si>
  <si>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</si>
  <si>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</si>
  <si>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</si>
  <si>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</si>
  <si>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</si>
  <si>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</si>
  <si>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</si>
  <si>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</si>
  <si>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</si>
  <si>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</si>
  <si>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</si>
  <si>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</si>
  <si>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</si>
  <si>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</si>
  <si>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</si>
  <si>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</si>
  <si>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</si>
  <si>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</si>
  <si>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</si>
  <si>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</si>
  <si>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</si>
  <si>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</si>
  <si>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</si>
  <si>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</si>
  <si>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</si>
  <si>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</si>
  <si>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</si>
  <si>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</si>
  <si>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</si>
  <si>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</si>
  <si>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</si>
  <si>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</si>
  <si>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</si>
  <si>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</si>
  <si>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</si>
  <si>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</si>
  <si>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</si>
  <si>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</si>
  <si>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</si>
  <si>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</si>
  <si>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</si>
  <si>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</si>
  <si>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</si>
  <si>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</si>
  <si>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</si>
  <si>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</si>
  <si>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</si>
  <si>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</si>
  <si>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</si>
  <si>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</si>
  <si>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</si>
  <si>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</si>
  <si>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</si>
  <si>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</si>
  <si>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</si>
  <si>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</si>
  <si>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</si>
  <si>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</si>
  <si>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</si>
  <si>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</si>
  <si>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</si>
  <si>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</si>
  <si>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</si>
  <si>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</si>
  <si>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</si>
  <si>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</si>
  <si>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</si>
  <si>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</si>
  <si>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</si>
  <si>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</si>
  <si>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</si>
  <si>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</si>
  <si>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</si>
  <si>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</si>
  <si>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</si>
  <si>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</si>
  <si>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</si>
  <si>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</si>
  <si>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</si>
  <si>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</si>
  <si>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</si>
  <si>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</si>
  <si>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</si>
  <si>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</si>
  <si>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</si>
  <si>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</si>
  <si>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</si>
  <si>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</si>
  <si>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</si>
  <si>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</si>
  <si>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</si>
  <si>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</si>
  <si>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</si>
  <si>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</si>
  <si>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</si>
  <si>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</si>
  <si>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</si>
  <si>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</si>
  <si>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</si>
  <si>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</si>
  <si>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</si>
  <si>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</si>
  <si>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</si>
  <si>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</si>
  <si>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</si>
  <si>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</si>
  <si>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</si>
  <si>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</si>
  <si>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</si>
  <si>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</si>
  <si>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</si>
  <si>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</si>
  <si>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</si>
  <si>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</si>
  <si>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</si>
  <si>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</si>
  <si>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</si>
  <si>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</si>
  <si>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</si>
  <si>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</si>
  <si>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</si>
  <si>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</si>
  <si>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</si>
  <si>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</si>
  <si>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</si>
  <si>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</si>
  <si>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</si>
  <si>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</si>
  <si>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</si>
  <si>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</si>
  <si>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</si>
  <si>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</si>
  <si>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</si>
  <si>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</si>
  <si>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</si>
  <si>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</si>
  <si>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</si>
  <si>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</si>
  <si>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</si>
  <si>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</si>
  <si>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</si>
  <si>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</si>
  <si>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</si>
  <si>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</si>
  <si>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</si>
  <si>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</si>
  <si>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</si>
  <si>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</si>
  <si>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</si>
  <si>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</si>
  <si>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</si>
  <si>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</si>
  <si>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</si>
  <si>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</si>
  <si>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</si>
  <si>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</si>
  <si>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</si>
  <si>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</si>
  <si>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</si>
  <si>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</si>
  <si>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</si>
  <si>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</si>
  <si>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</si>
  <si>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</si>
  <si>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</si>
  <si>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</si>
  <si>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</si>
  <si>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</si>
  <si>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</si>
  <si>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</si>
  <si>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</si>
  <si>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</si>
  <si>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</si>
  <si>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</si>
  <si>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</si>
  <si>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</si>
  <si>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</si>
  <si>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</si>
  <si>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</si>
  <si>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</si>
  <si>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</si>
  <si>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</si>
  <si>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</si>
  <si>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</si>
  <si>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</si>
  <si>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</si>
  <si>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</si>
  <si>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</si>
  <si>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</si>
  <si>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</si>
  <si>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</si>
  <si>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</si>
  <si>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</si>
  <si>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</si>
  <si>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</si>
  <si>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</si>
  <si>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</si>
  <si>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</si>
  <si>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</si>
  <si>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</si>
  <si>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</si>
  <si>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</si>
  <si>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</si>
  <si>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</si>
  <si>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</si>
  <si>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</si>
  <si>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</si>
  <si>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</si>
  <si>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</si>
  <si>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</si>
  <si>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</si>
  <si>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</si>
  <si>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</si>
  <si>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</si>
  <si>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</si>
  <si>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</si>
  <si>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</si>
  <si>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</si>
  <si>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</si>
  <si>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</si>
  <si>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</si>
  <si>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</si>
  <si>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</si>
  <si>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</si>
  <si>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</si>
  <si>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</si>
  <si>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</si>
  <si>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</si>
  <si>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</si>
  <si>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</si>
  <si>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</si>
  <si>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</si>
  <si>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</si>
  <si>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</si>
  <si>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</si>
  <si>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</si>
  <si>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</si>
  <si>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</si>
  <si>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</si>
  <si>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</si>
  <si>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</si>
  <si>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</si>
  <si>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</si>
  <si>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</si>
  <si>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</si>
  <si>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</si>
  <si>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</si>
  <si>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</si>
  <si>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</si>
  <si>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</si>
  <si>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</si>
  <si>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</si>
  <si>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</si>
  <si>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</si>
  <si>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</si>
  <si>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</si>
  <si>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</si>
  <si>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</si>
  <si>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</si>
  <si>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</si>
  <si>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</si>
  <si>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</si>
  <si>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</si>
  <si>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</si>
  <si>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</si>
  <si>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</si>
  <si>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</si>
  <si>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</si>
  <si>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</si>
  <si>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</si>
  <si>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</si>
  <si>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</si>
  <si>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</si>
  <si>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</si>
  <si>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</si>
  <si>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</si>
  <si>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</si>
  <si>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</si>
  <si>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</si>
  <si>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</si>
  <si>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</si>
  <si>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</si>
  <si>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</si>
  <si>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</si>
  <si>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</si>
  <si>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</si>
  <si>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</si>
  <si>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</si>
  <si>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</si>
  <si>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</si>
  <si>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</si>
  <si>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</si>
  <si>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</si>
  <si>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</si>
  <si>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</si>
  <si>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</si>
  <si>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</si>
  <si>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</si>
  <si>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</si>
  <si>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</si>
  <si>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</si>
  <si>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</si>
  <si>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</si>
  <si>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</si>
  <si>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</si>
  <si>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</si>
  <si>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</si>
  <si>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</si>
  <si>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</si>
  <si>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</si>
  <si>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</si>
  <si>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</si>
  <si>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</si>
  <si>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</si>
  <si>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</si>
  <si>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</si>
  <si>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</si>
  <si>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</si>
  <si>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</si>
  <si>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</si>
  <si>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</si>
  <si>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</si>
  <si>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</si>
  <si>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</si>
  <si>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</si>
  <si>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</si>
  <si>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</si>
  <si>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</si>
  <si>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</si>
  <si>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</si>
  <si>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</si>
  <si>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</si>
  <si>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</si>
  <si>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</si>
  <si>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</si>
  <si>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</si>
  <si>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</si>
  <si>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</si>
  <si>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</si>
  <si>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</si>
  <si>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</si>
  <si>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</si>
  <si>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</si>
  <si>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</si>
  <si>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</si>
  <si>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</si>
  <si>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</si>
  <si>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</si>
  <si>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</si>
  <si>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</si>
  <si>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</si>
  <si>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</si>
  <si>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</si>
  <si>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</si>
  <si>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</si>
  <si>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</si>
  <si>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</si>
  <si>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</si>
  <si>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</si>
  <si>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</si>
  <si>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</si>
  <si>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</si>
  <si>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</si>
  <si>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</si>
  <si>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</si>
  <si>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</si>
  <si>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</si>
  <si>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</si>
  <si>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</si>
  <si>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</si>
  <si>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</si>
  <si>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</si>
  <si>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</si>
  <si>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</si>
  <si>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</si>
  <si>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</si>
  <si>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</si>
  <si>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</si>
  <si>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</si>
  <si>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</si>
  <si>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</si>
  <si>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</si>
  <si>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</si>
  <si>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</si>
  <si>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</si>
  <si>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</si>
  <si>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</si>
  <si>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</si>
  <si>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</si>
  <si>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</si>
  <si>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</si>
  <si>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</si>
  <si>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</si>
  <si>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</si>
  <si>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</si>
  <si>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</si>
  <si>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</si>
  <si>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</si>
  <si>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</si>
  <si>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</si>
  <si>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</si>
  <si>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</si>
  <si>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</si>
  <si>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</si>
  <si>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</si>
  <si>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</si>
  <si>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</si>
  <si>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</si>
  <si>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</si>
  <si>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</si>
  <si>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</si>
  <si>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</si>
  <si>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</si>
  <si>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</si>
  <si>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</si>
  <si>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</si>
  <si>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</si>
  <si>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</si>
  <si>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</si>
  <si>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</si>
  <si>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</si>
  <si>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</si>
  <si>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</si>
  <si>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</si>
  <si>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</si>
  <si>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</si>
  <si>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</si>
  <si>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</si>
  <si>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</si>
  <si>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</si>
  <si>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</si>
  <si>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</si>
  <si>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</si>
  <si>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</si>
  <si>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</si>
  <si>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</si>
  <si>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</si>
  <si>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</si>
  <si>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</si>
  <si>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</si>
  <si>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</si>
  <si>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</si>
  <si>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</si>
  <si>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</si>
  <si>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</si>
  <si>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</si>
  <si>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</si>
  <si>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</si>
  <si>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</si>
  <si>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</si>
  <si>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</si>
  <si>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</si>
  <si>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</si>
  <si>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</si>
  <si>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</si>
  <si>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</si>
  <si>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</si>
  <si>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</si>
  <si>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</si>
  <si>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</si>
  <si>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</si>
  <si>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</si>
  <si>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</si>
  <si>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</si>
  <si>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</si>
  <si>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</si>
  <si>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</si>
  <si>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</si>
  <si>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</si>
  <si>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</si>
  <si>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</si>
  <si>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</si>
  <si>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</si>
  <si>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</si>
  <si>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</si>
  <si>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</si>
  <si>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</si>
  <si>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</si>
  <si>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</si>
  <si>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</si>
  <si>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</si>
  <si>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</si>
  <si>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</si>
  <si>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</si>
  <si>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</si>
  <si>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</si>
  <si>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</si>
  <si>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</si>
  <si>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</si>
  <si>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</si>
  <si>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</si>
  <si>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</si>
  <si>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</si>
  <si>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</si>
  <si>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</si>
  <si>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</si>
  <si>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</si>
  <si>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</si>
  <si>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</si>
  <si>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</si>
  <si>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</si>
  <si>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</si>
  <si>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</si>
  <si>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</si>
  <si>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</si>
  <si>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</si>
  <si>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</si>
  <si>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</si>
  <si>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</si>
  <si>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</si>
  <si>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</si>
  <si>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</si>
  <si>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</si>
  <si>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</si>
  <si>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</si>
  <si>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</si>
  <si>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</si>
  <si>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</si>
  <si>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</si>
  <si>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</si>
  <si>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</si>
  <si>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</si>
  <si>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</si>
  <si>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</si>
  <si>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</si>
  <si>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</si>
  <si>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</si>
  <si>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</si>
  <si>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</si>
  <si>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</si>
  <si>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</si>
  <si>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</si>
  <si>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</si>
  <si>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</si>
  <si>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</si>
  <si>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</si>
  <si>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</si>
  <si>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</si>
  <si>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</si>
  <si>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</si>
  <si>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</si>
  <si>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</si>
  <si>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</si>
  <si>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</si>
  <si>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</si>
  <si>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</si>
  <si>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</si>
  <si>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</si>
  <si>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</si>
  <si>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</si>
  <si>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</si>
  <si>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</si>
  <si>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</si>
  <si>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</si>
  <si>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</si>
  <si>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</si>
  <si>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</si>
  <si>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</si>
  <si>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</si>
  <si>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</si>
  <si>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</si>
  <si>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</si>
  <si>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</si>
  <si>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</si>
  <si>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</si>
  <si>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</si>
  <si>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</si>
  <si>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</si>
  <si>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</si>
  <si>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</si>
  <si>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</si>
  <si>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</si>
  <si>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</si>
  <si>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</si>
  <si>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</si>
  <si>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</si>
  <si>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</si>
  <si>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</si>
  <si>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</si>
  <si>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</si>
  <si>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</si>
  <si>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</si>
  <si>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</si>
  <si>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</si>
  <si>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</si>
  <si>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</si>
  <si>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</si>
  <si>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</si>
  <si>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</si>
  <si>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</si>
  <si>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</si>
  <si>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</si>
  <si>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</si>
  <si>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</si>
  <si>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</si>
  <si>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</si>
  <si>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</si>
  <si>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</si>
  <si>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</si>
  <si>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</si>
  <si>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</si>
  <si>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</si>
  <si>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</si>
  <si>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</si>
  <si>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</si>
  <si>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</si>
  <si>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</si>
  <si>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</si>
  <si>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</si>
  <si>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</si>
  <si>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</si>
  <si>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</si>
  <si>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</si>
  <si>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</si>
  <si>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</si>
  <si>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</si>
  <si>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</si>
  <si>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</si>
  <si>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</si>
  <si>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</si>
  <si>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</si>
  <si>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</si>
  <si>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</si>
  <si>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</si>
  <si>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</si>
  <si>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</si>
  <si>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</si>
  <si>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</si>
  <si>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</si>
  <si>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</si>
  <si>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</si>
  <si>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</si>
  <si>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</si>
  <si>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</si>
  <si>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</si>
  <si>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</si>
  <si>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</si>
  <si>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</si>
  <si>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</si>
  <si>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</si>
  <si>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</si>
  <si>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</si>
  <si>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</si>
  <si>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</si>
  <si>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</si>
  <si>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</si>
  <si>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</si>
  <si>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</si>
  <si>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</si>
  <si>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</si>
  <si>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</si>
  <si>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</si>
  <si>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</si>
  <si>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</si>
  <si>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</si>
  <si>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</si>
  <si>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</si>
  <si>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</si>
  <si>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</si>
  <si>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</si>
  <si>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</si>
  <si>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</si>
  <si>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</si>
  <si>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</si>
  <si>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</si>
  <si>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</si>
  <si>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</si>
  <si>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</si>
  <si>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</si>
  <si>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</si>
  <si>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</si>
  <si>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</si>
  <si>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</si>
  <si>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</si>
  <si>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</si>
  <si>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</si>
  <si>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</si>
  <si>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</si>
  <si>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</si>
  <si>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</si>
  <si>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</si>
  <si>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</si>
  <si>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</si>
  <si>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</si>
  <si>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</si>
  <si>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</si>
  <si>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</si>
  <si>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</si>
  <si>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</si>
  <si>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</si>
  <si>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</si>
  <si>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</si>
  <si>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</si>
  <si>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</si>
  <si>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</si>
  <si>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</si>
  <si>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</si>
  <si>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</si>
  <si>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</si>
  <si>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</si>
  <si>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</si>
  <si>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</si>
  <si>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</si>
  <si>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</si>
  <si>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</si>
  <si>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</si>
  <si>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</si>
  <si>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</si>
  <si>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</si>
  <si>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</si>
  <si>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</si>
  <si>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</si>
  <si>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</si>
  <si>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</si>
  <si>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</si>
  <si>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</si>
  <si>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</si>
  <si>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</si>
  <si>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挂牌大</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</si>
  <si>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</si>
  <si>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</si>
  <si>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</si>
  <si>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</si>
  <si>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</si>
  <si>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</si>
  <si>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独栋</t>
  </si>
  <si>
    <t>钢混</t>
  </si>
  <si>
    <t>精装修</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</si>
  <si>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</si>
  <si>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</si>
  <si>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</si>
  <si>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</si>
  <si>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</si>
  <si>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t>毛坯</t>
  </si>
  <si>
    <r>
      <rPr>
        <sz val="11"/>
        <rFont val="宋体"/>
        <charset val="134"/>
      </rPr>
      <t>层高</t>
    </r>
  </si>
  <si>
    <r>
      <rPr>
        <sz val="11"/>
        <color indexed="8"/>
        <rFont val="宋体"/>
        <charset val="134"/>
      </rPr>
      <t>单套建筑面积</t>
    </r>
  </si>
  <si>
    <t>普装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</si>
  <si>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</si>
  <si>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</si>
  <si>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</si>
  <si>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</si>
  <si>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</si>
  <si>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</si>
  <si>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</si>
  <si>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</si>
  <si>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</si>
  <si>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</si>
  <si>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</si>
  <si>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</si>
  <si>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</si>
  <si>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</si>
  <si>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</si>
  <si>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</si>
  <si>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-1层</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</si>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</sst>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b/>
      <sz val="10"/>
      <name val="宋体"/>
      <charset val="134"/>
    </font>
    <font>
      <b/>
      <sz val="10"/>
      <color indexed="8"/>
      <name val="宋体"/>
      <charset val="134"/>
    </font>
    <font>
      <b/>
      <sz val="11"/>
      <name val="宋体"/>
      <charset val="134"/>
    </font>
    <font>
      <sz val="10"/>
      <color theme="1"/>
      <name val="宋体"/>
      <charset val="134"/>
    </font>
    <font>
      <sz val="10"/>
      <color theme="9" tint="-0.249977111117893"/>
      <name val="宋体"/>
      <charset val="134"/>
    </font>
    <font>
      <sz val="10"/>
      <name val="宋体"/>
      <charset val="134"/>
    </font>
    <font>
      <sz val="14"/>
      <color rgb="FF000000"/>
      <name val="宋体"/>
      <charset val="134"/>
    </font>
    <font>
      <sz val="10"/>
      <color rgb="FF000000"/>
      <name val="宋体"/>
      <charset val="134"/>
    </font>
    <font>
      <i/>
      <sz val="10"/>
      <name val="楷体_GB2312"/>
      <charset val="134"/>
    </font>
    <font>
      <sz val="11"/>
      <color indexed="10"/>
      <name val="宋体"/>
      <charset val="134"/>
    </font>
    <font>
      <sz val="11"/>
      <color theme="1"/>
      <name val="宋体"/>
      <charset val="134"/>
    </font>
    <font>
      <b/>
      <sz val="10"/>
      <color indexed="53"/>
      <name val="宋体"/>
      <charset val="134"/>
    </font>
    <font>
      <b/>
      <sz val="10"/>
      <color theme="1"/>
      <name val="宋体"/>
      <charset val="134"/>
    </font>
    <font>
      <sz val="14"/>
      <color theme="1"/>
      <name val="宋体"/>
      <charset val="134"/>
    </font>
    <font>
      <b/>
      <sz val="11"/>
      <color theme="1"/>
      <name val="宋体"/>
      <charset val="134"/>
    </font>
    <font>
      <sz val="12"/>
      <color theme="1"/>
      <name val="宋体"/>
      <charset val="134"/>
    </font>
    <font>
      <b/>
      <sz val="10"/>
      <color rgb="FFFF0000"/>
      <name val="宋体"/>
      <charset val="134"/>
    </font>
    <font>
      <b/>
      <sz val="14"/>
      <color theme="1"/>
      <name val="宋体"/>
      <charset val="134"/>
    </font>
    <font>
      <i/>
      <sz val="10"/>
      <name val="宋体"/>
      <charset val="134"/>
    </font>
    <font>
      <b/>
      <sz val="14"/>
      <color rgb="FFFF0000"/>
      <name val="宋体"/>
      <charset val="134"/>
    </font>
    <font>
      <sz val="9"/>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b/>
      <vertAlign val="subscript"/>
      <sz val="10"/>
      <name val="楷体_GB2312"/>
      <charset val="134"/>
    </font>
    <font>
      <sz val="9"/>
      <color indexed="8"/>
      <name val="仿宋_GB2312"/>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4"/>
      <color theme="9" tint="-0.249977111117893"/>
      <name val="宋体"/>
      <charset val="134"/>
    </font>
    <font>
      <sz val="8"/>
      <color indexed="8"/>
      <name val="仿宋_GB2312"/>
      <charset val="134"/>
    </font>
    <font>
      <sz val="12"/>
      <color indexed="8"/>
      <name val="宋体"/>
      <charset val="134"/>
    </font>
    <font>
      <b/>
      <i/>
      <sz val="11"/>
      <color theme="3" tint="0.399945066682943"/>
      <name val="宋体"/>
      <charset val="134"/>
    </font>
    <font>
      <b/>
      <sz val="10"/>
      <color indexed="10"/>
      <name val="楷体_GB2312"/>
      <charset val="134"/>
    </font>
    <font>
      <b/>
      <sz val="12"/>
      <color indexed="8"/>
      <name val="宋体"/>
      <charset val="134"/>
    </font>
    <font>
      <sz val="10"/>
      <color indexed="10"/>
      <name val="宋体"/>
      <charset val="134"/>
    </font>
    <font>
      <b/>
      <sz val="11"/>
      <color rgb="FFFF0000"/>
      <name val="宋体"/>
      <charset val="134"/>
    </font>
    <font>
      <i/>
      <sz val="14"/>
      <color theme="3" tint="0.399945066682943"/>
      <name val="宋体"/>
      <charset val="134"/>
    </font>
    <font>
      <b/>
      <vertAlign val="subscript"/>
      <sz val="10"/>
      <name val="宋体"/>
      <charset val="134"/>
    </font>
    <font>
      <b/>
      <vertAlign val="subscript"/>
      <sz val="10"/>
      <name val="Arial"/>
      <charset val="134"/>
    </font>
    <font>
      <i/>
      <sz val="10"/>
      <color indexed="8"/>
      <name val="宋体"/>
      <charset val="134"/>
    </font>
    <font>
      <sz val="10"/>
      <color rgb="FFFF0000"/>
      <name val="楷体_GB2312"/>
      <charset val="134"/>
    </font>
    <font>
      <sz val="10"/>
      <color indexed="8"/>
      <name val="楷体_GB2312"/>
      <charset val="134"/>
    </font>
    <font>
      <sz val="11"/>
      <color theme="9" tint="-0.249977111117893"/>
      <name val="宋体"/>
      <charset val="134"/>
    </font>
    <font>
      <b/>
      <sz val="10"/>
      <color indexed="10"/>
      <name val="宋体"/>
      <charset val="134"/>
    </font>
    <font>
      <sz val="12"/>
      <color rgb="FF000000"/>
      <name val="宋体"/>
      <charset val="134"/>
    </font>
    <font>
      <b/>
      <sz val="12"/>
      <color rgb="FF000000"/>
      <name val="宋体"/>
      <charset val="134"/>
    </font>
    <font>
      <sz val="12"/>
      <color theme="9" tint="-0.249977111117893"/>
      <name val="宋体"/>
      <charset val="134"/>
    </font>
    <font>
      <vertAlign val="superscript"/>
      <sz val="10"/>
      <color indexed="8"/>
      <name val="Arial"/>
      <charset val="134"/>
    </font>
    <font>
      <sz val="8"/>
      <color indexed="8"/>
      <name val="宋体"/>
      <charset val="134"/>
    </font>
    <font>
      <b/>
      <i/>
      <sz val="14"/>
      <color theme="3" tint="0.399945066682943"/>
      <name val="宋体"/>
      <charset val="134"/>
    </font>
    <font>
      <vertAlign val="superscript"/>
      <sz val="10"/>
      <color theme="1"/>
      <name val="宋体"/>
      <charset val="134"/>
    </font>
    <font>
      <vertAlign val="subscript"/>
      <sz val="10"/>
      <color theme="1"/>
      <name val="Arial"/>
      <charset val="134"/>
    </font>
    <font>
      <b/>
      <sz val="14"/>
      <color indexed="10"/>
      <name val="宋体"/>
      <charset val="134"/>
      <scheme val="minor"/>
    </font>
    <font>
      <b/>
      <sz val="14"/>
      <color rgb="FF000000"/>
      <name val="宋体"/>
      <charset val="134"/>
    </font>
    <font>
      <b/>
      <sz val="18"/>
      <color indexed="10"/>
      <name val="΢ȭхڬˎ̥"/>
      <charset val="134"/>
    </font>
    <font>
      <sz val="11"/>
      <color indexed="53"/>
      <name val="宋体"/>
      <charset val="134"/>
    </font>
    <font>
      <i/>
      <sz val="11"/>
      <color theme="3" tint="0.399945066682943"/>
      <name val="宋体"/>
      <charset val="134"/>
    </font>
    <font>
      <b/>
      <sz val="18"/>
      <color theme="1"/>
      <name val="宋体"/>
      <charset val="134"/>
    </font>
    <font>
      <b/>
      <sz val="16"/>
      <color indexed="10"/>
      <name val="楷体_GB2312"/>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sz val="11"/>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5"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5"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0"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0"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97" fillId="0" borderId="0" xfId="0" applyFont="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97"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10</xdr:row>
      <xdr:rowOff>161925</xdr:rowOff>
    </xdr:from>
    <xdr:to>
      <xdr:col>15</xdr:col>
      <xdr:colOff>133350</xdr:colOff>
      <xdr:row>36</xdr:row>
      <xdr:rowOff>28575</xdr:rowOff>
    </xdr:to>
    <xdr:pic>
      <xdr:nvPicPr>
        <xdr:cNvPr id="2" name="图片 1"/>
        <xdr:cNvPicPr>
          <a:picLocks noChangeAspect="1"/>
        </xdr:cNvPicPr>
      </xdr:nvPicPr>
      <xdr:blipFill>
        <a:blip r:embed="rId1"/>
        <a:stretch>
          <a:fillRect/>
        </a:stretch>
      </xdr:blipFill>
      <xdr:spPr>
        <a:xfrm>
          <a:off x="533400" y="19716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4" name="图片 3"/>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5" name="图片 4"/>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1</xdr:col>
      <xdr:colOff>400050</xdr:colOff>
      <xdr:row>53</xdr:row>
      <xdr:rowOff>76200</xdr:rowOff>
    </xdr:from>
    <xdr:to>
      <xdr:col>15</xdr:col>
      <xdr:colOff>133350</xdr:colOff>
      <xdr:row>66</xdr:row>
      <xdr:rowOff>57150</xdr:rowOff>
    </xdr:to>
    <xdr:pic>
      <xdr:nvPicPr>
        <xdr:cNvPr id="3" name="图片 2"/>
        <xdr:cNvPicPr>
          <a:picLocks noChangeAspect="1"/>
        </xdr:cNvPicPr>
      </xdr:nvPicPr>
      <xdr:blipFill>
        <a:blip r:embed="rId4"/>
        <a:stretch>
          <a:fillRect/>
        </a:stretch>
      </xdr:blipFill>
      <xdr:spPr>
        <a:xfrm>
          <a:off x="1085850" y="9667875"/>
          <a:ext cx="8705850" cy="2333625"/>
        </a:xfrm>
        <a:prstGeom prst="rect">
          <a:avLst/>
        </a:prstGeom>
        <a:noFill/>
        <a:ln w="9525">
          <a:noFill/>
        </a:ln>
      </xdr:spPr>
    </xdr:pic>
    <xdr:clientData/>
  </xdr:twoCellAnchor>
  <xdr:twoCellAnchor editAs="oneCell">
    <xdr:from>
      <xdr:col>1</xdr:col>
      <xdr:colOff>609600</xdr:colOff>
      <xdr:row>67</xdr:row>
      <xdr:rowOff>66675</xdr:rowOff>
    </xdr:from>
    <xdr:to>
      <xdr:col>13</xdr:col>
      <xdr:colOff>0</xdr:colOff>
      <xdr:row>95</xdr:row>
      <xdr:rowOff>76200</xdr:rowOff>
    </xdr:to>
    <xdr:pic>
      <xdr:nvPicPr>
        <xdr:cNvPr id="6" name="图片 5"/>
        <xdr:cNvPicPr>
          <a:picLocks noChangeAspect="1"/>
        </xdr:cNvPicPr>
      </xdr:nvPicPr>
      <xdr:blipFill>
        <a:blip r:embed="rId5"/>
        <a:stretch>
          <a:fillRect/>
        </a:stretch>
      </xdr:blipFill>
      <xdr:spPr>
        <a:xfrm>
          <a:off x="1295400" y="12192000"/>
          <a:ext cx="6991350"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123825</xdr:rowOff>
    </xdr:from>
    <xdr:to>
      <xdr:col>15</xdr:col>
      <xdr:colOff>628650</xdr:colOff>
      <xdr:row>42</xdr:row>
      <xdr:rowOff>152400</xdr:rowOff>
    </xdr:to>
    <xdr:pic>
      <xdr:nvPicPr>
        <xdr:cNvPr id="2" name="图片 1"/>
        <xdr:cNvPicPr>
          <a:picLocks noChangeAspect="1"/>
        </xdr:cNvPicPr>
      </xdr:nvPicPr>
      <xdr:blipFill>
        <a:blip r:embed="rId1"/>
        <a:stretch>
          <a:fillRect/>
        </a:stretch>
      </xdr:blipFill>
      <xdr:spPr>
        <a:xfrm>
          <a:off x="400050" y="295275"/>
          <a:ext cx="10515600" cy="7058025"/>
        </a:xfrm>
        <a:prstGeom prst="rect">
          <a:avLst/>
        </a:prstGeom>
        <a:noFill/>
        <a:ln w="9525">
          <a:noFill/>
        </a:ln>
      </xdr:spPr>
    </xdr:pic>
    <xdr:clientData/>
  </xdr:twoCellAnchor>
  <xdr:twoCellAnchor editAs="oneCell">
    <xdr:from>
      <xdr:col>16</xdr:col>
      <xdr:colOff>152400</xdr:colOff>
      <xdr:row>1</xdr:row>
      <xdr:rowOff>142875</xdr:rowOff>
    </xdr:from>
    <xdr:to>
      <xdr:col>30</xdr:col>
      <xdr:colOff>276225</xdr:colOff>
      <xdr:row>45</xdr:row>
      <xdr:rowOff>133350</xdr:rowOff>
    </xdr:to>
    <xdr:pic>
      <xdr:nvPicPr>
        <xdr:cNvPr id="3" name="图片 2"/>
        <xdr:cNvPicPr>
          <a:picLocks noChangeAspect="1"/>
        </xdr:cNvPicPr>
      </xdr:nvPicPr>
      <xdr:blipFill>
        <a:blip r:embed="rId2"/>
        <a:stretch>
          <a:fillRect/>
        </a:stretch>
      </xdr:blipFill>
      <xdr:spPr>
        <a:xfrm>
          <a:off x="11125200" y="314325"/>
          <a:ext cx="10001250" cy="7534275"/>
        </a:xfrm>
        <a:prstGeom prst="rect">
          <a:avLst/>
        </a:prstGeom>
        <a:noFill/>
        <a:ln w="9525">
          <a:noFill/>
        </a:ln>
      </xdr:spPr>
    </xdr:pic>
    <xdr:clientData/>
  </xdr:twoCellAnchor>
  <xdr:twoCellAnchor editAs="oneCell">
    <xdr:from>
      <xdr:col>0</xdr:col>
      <xdr:colOff>285750</xdr:colOff>
      <xdr:row>47</xdr:row>
      <xdr:rowOff>161925</xdr:rowOff>
    </xdr:from>
    <xdr:to>
      <xdr:col>17</xdr:col>
      <xdr:colOff>381000</xdr:colOff>
      <xdr:row>83</xdr:row>
      <xdr:rowOff>142875</xdr:rowOff>
    </xdr:to>
    <xdr:pic>
      <xdr:nvPicPr>
        <xdr:cNvPr id="4" name="图片 3"/>
        <xdr:cNvPicPr>
          <a:picLocks noChangeAspect="1"/>
        </xdr:cNvPicPr>
      </xdr:nvPicPr>
      <xdr:blipFill>
        <a:blip r:embed="rId3"/>
        <a:stretch>
          <a:fillRect/>
        </a:stretch>
      </xdr:blipFill>
      <xdr:spPr>
        <a:xfrm>
          <a:off x="285750" y="8220075"/>
          <a:ext cx="11753850" cy="6153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 spans="1:2">
      <c r="A5" s="3724" t="s">
        <v>5</v>
      </c>
      <c r="B5" s="3725" t="str">
        <f>'预评函-封皮'!B49</f>
        <v>康正预评字号</v>
      </c>
    </row>
    <row r="6" s="3713" customFormat="1" ht="1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估价对象为北京市房地产，为所有。根据《国有土地使用证》[]，估价对象（分摊）出让国有建设用地使用权面积为0平方米，建筑面积为373.87平方米。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估价对象为北京市房地产,属开发建设的，该项目尚在开发建设中。根据《国有土地使用证》[]，估价对象（分摊）出让国有建设用地使用权面积为0平方米，规划建筑面积为373.87平方米。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2025年10月30日</v>
      </c>
    </row>
    <row r="13" s="3714" customFormat="1" spans="1:2">
      <c r="A13" s="3722" t="s">
        <v>13</v>
      </c>
      <c r="B13" s="3723" t="str">
        <f>'预评函-1'!A18</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 spans="1:2">
      <c r="A18" s="3724" t="s">
        <v>18</v>
      </c>
      <c r="B18" s="3725" t="str">
        <f>'预评函-1'!A24</f>
        <v>本次评估采用的主估价方法为比较法和收益法。</v>
      </c>
    </row>
    <row r="19" s="3713" customFormat="1" ht="1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1252</v>
      </c>
    </row>
    <row r="21" s="3714" customFormat="1" spans="1:2">
      <c r="A21" s="3722" t="s">
        <v>21</v>
      </c>
      <c r="B21" s="3723">
        <f ca="1">'预评函-2'!D7</f>
        <v>33496</v>
      </c>
    </row>
    <row r="22" s="3714" customFormat="1" spans="1:2">
      <c r="A22" s="3722" t="s">
        <v>22</v>
      </c>
      <c r="B22" s="3723" t="str">
        <f ca="1">'预评函-2'!D6</f>
        <v>壹仟贰佰伍拾贰万元整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1252</v>
      </c>
    </row>
    <row r="31" s="3714" customFormat="1" spans="1:2">
      <c r="A31" s="3722" t="s">
        <v>31</v>
      </c>
      <c r="B31" s="3723">
        <f ca="1">'预评函-2'!D15</f>
        <v>33496</v>
      </c>
    </row>
    <row r="32" s="3714" customFormat="1" spans="1:2">
      <c r="A32" s="3722" t="s">
        <v>32</v>
      </c>
      <c r="B32" s="3723" t="str">
        <f ca="1">'预评函-2'!D14</f>
        <v>壹仟贰佰伍拾贰万元整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373.87</v>
      </c>
    </row>
    <row r="44" s="3714" customFormat="1"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估价师知悉的法定优先受偿款</v>
      </c>
    </row>
    <row r="58" s="3713" customFormat="1" ht="1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f>'预评函-4'!A4</f>
        <v>0</v>
      </c>
    </row>
    <row r="71" spans="1:2">
      <c r="A71" s="3722" t="s">
        <v>71</v>
      </c>
      <c r="B71" s="3723">
        <f ca="1">'预评函-4'!B4</f>
        <v>0</v>
      </c>
    </row>
    <row r="72" spans="1:2">
      <c r="A72" s="3722" t="s">
        <v>72</v>
      </c>
      <c r="B72" s="3729">
        <f>'预评函-4'!A5</f>
        <v>0</v>
      </c>
    </row>
    <row r="73" s="3712" customFormat="1" ht="15" spans="1:2">
      <c r="A73" s="3724" t="s">
        <v>73</v>
      </c>
      <c r="B73" s="3725">
        <f ca="1">'预评函-4'!B5</f>
        <v>0</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F30" sqref="AF30"/>
    </sheetView>
  </sheetViews>
  <sheetFormatPr defaultColWidth="9" defaultRowHeight="13.5"/>
  <cols>
    <col min="1" max="1" width="13.5" style="3555" customWidth="1"/>
    <col min="2" max="2" width="23.25" style="3556" customWidth="1"/>
    <col min="3" max="3" width="13" style="3557" customWidth="1"/>
    <col min="4" max="4" width="5.75" style="3558" customWidth="1"/>
    <col min="5" max="5" width="7.125" style="3558" customWidth="1"/>
    <col min="6" max="6" width="10.625" style="3558" customWidth="1"/>
    <col min="7" max="7" width="7.5" style="3558" customWidth="1"/>
    <col min="8" max="8" width="11.875" style="3557" customWidth="1"/>
    <col min="9" max="9" width="11.625" style="3557" customWidth="1"/>
    <col min="10" max="10" width="9" style="3557" customWidth="1"/>
    <col min="11" max="19" width="9" style="3558" customWidth="1"/>
    <col min="20" max="23" width="9" style="3557" customWidth="1"/>
    <col min="24" max="28" width="15.125" style="3557" customWidth="1"/>
    <col min="29" max="16384" width="9" style="3556"/>
  </cols>
  <sheetData>
    <row r="1" s="3554" customFormat="1" ht="40.5"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c r="X1" s="3563" t="s">
        <v>229</v>
      </c>
      <c r="Y1" s="3563" t="s">
        <v>230</v>
      </c>
      <c r="Z1" s="3563" t="s">
        <v>231</v>
      </c>
      <c r="AA1" s="3563" t="s">
        <v>232</v>
      </c>
      <c r="AB1" s="3563" t="s">
        <v>233</v>
      </c>
    </row>
    <row r="2" spans="1:28">
      <c r="A2" s="3564" t="s">
        <v>124</v>
      </c>
      <c r="B2" s="3564" t="s">
        <v>234</v>
      </c>
      <c r="C2" s="3565"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4" t="s">
        <v>249</v>
      </c>
      <c r="B3" s="3566" t="s">
        <v>250</v>
      </c>
      <c r="C3" s="3567"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4" t="s">
        <v>262</v>
      </c>
      <c r="B4" s="3564" t="s">
        <v>263</v>
      </c>
      <c r="C4" s="3565"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4" t="s">
        <v>273</v>
      </c>
      <c r="B5" s="3564" t="s">
        <v>274</v>
      </c>
      <c r="C5" s="3565"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4" t="s">
        <v>284</v>
      </c>
      <c r="B6" s="3566" t="s">
        <v>285</v>
      </c>
      <c r="C6" s="3568"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4" t="s">
        <v>293</v>
      </c>
      <c r="B7" s="3566" t="s">
        <v>294</v>
      </c>
      <c r="C7" s="3565" t="s">
        <v>295</v>
      </c>
      <c r="F7" s="3558" t="s">
        <v>296</v>
      </c>
      <c r="H7" s="3558" t="s">
        <v>162</v>
      </c>
      <c r="I7" s="3558" t="s">
        <v>297</v>
      </c>
      <c r="X7" s="3557" t="s">
        <v>298</v>
      </c>
      <c r="Z7" s="3557" t="s">
        <v>299</v>
      </c>
      <c r="AB7" s="3557" t="s">
        <v>300</v>
      </c>
    </row>
    <row r="8" spans="1:28">
      <c r="A8" s="3564" t="s">
        <v>301</v>
      </c>
      <c r="B8" s="3564" t="s">
        <v>302</v>
      </c>
      <c r="C8" s="3565" t="s">
        <v>303</v>
      </c>
      <c r="F8" s="3558" t="s">
        <v>304</v>
      </c>
      <c r="H8" s="3558" t="s">
        <v>231</v>
      </c>
      <c r="I8" s="3558" t="s">
        <v>305</v>
      </c>
      <c r="X8" s="3557" t="s">
        <v>306</v>
      </c>
      <c r="Z8" s="3557" t="s">
        <v>307</v>
      </c>
      <c r="AB8" s="3557" t="s">
        <v>308</v>
      </c>
    </row>
    <row r="9" spans="1:28">
      <c r="A9" s="3564" t="s">
        <v>309</v>
      </c>
      <c r="B9" s="3564" t="s">
        <v>310</v>
      </c>
      <c r="C9" s="3565" t="s">
        <v>311</v>
      </c>
      <c r="F9" s="3558" t="s">
        <v>164</v>
      </c>
      <c r="H9" s="3558"/>
      <c r="I9" s="3557" t="s">
        <v>312</v>
      </c>
      <c r="X9" s="3557" t="s">
        <v>313</v>
      </c>
      <c r="Z9" s="3557" t="s">
        <v>314</v>
      </c>
      <c r="AB9" s="3557" t="s">
        <v>315</v>
      </c>
    </row>
    <row r="10" spans="1:28">
      <c r="A10" s="3564" t="s">
        <v>316</v>
      </c>
      <c r="B10" s="3564" t="s">
        <v>317</v>
      </c>
      <c r="C10" s="3565" t="s">
        <v>318</v>
      </c>
      <c r="F10" s="3558" t="s">
        <v>231</v>
      </c>
      <c r="I10" s="3557" t="s">
        <v>319</v>
      </c>
      <c r="Z10" s="3557" t="s">
        <v>320</v>
      </c>
      <c r="AB10" s="3557" t="s">
        <v>321</v>
      </c>
    </row>
    <row r="11" spans="1:28">
      <c r="A11" s="3564" t="s">
        <v>322</v>
      </c>
      <c r="B11" s="3564" t="s">
        <v>323</v>
      </c>
      <c r="C11" s="3565" t="s">
        <v>324</v>
      </c>
      <c r="F11" s="3558" t="s">
        <v>124</v>
      </c>
      <c r="I11" s="3557" t="s">
        <v>325</v>
      </c>
      <c r="Z11" s="3557" t="s">
        <v>326</v>
      </c>
      <c r="AB11" s="3557" t="s">
        <v>327</v>
      </c>
    </row>
    <row r="12" spans="1:28">
      <c r="A12" s="3564" t="s">
        <v>328</v>
      </c>
      <c r="B12" s="3564" t="s">
        <v>329</v>
      </c>
      <c r="C12" s="3565" t="s">
        <v>330</v>
      </c>
      <c r="I12" s="3557" t="s">
        <v>331</v>
      </c>
      <c r="Z12" s="3557" t="s">
        <v>332</v>
      </c>
      <c r="AB12" s="3557" t="s">
        <v>333</v>
      </c>
    </row>
    <row r="13" spans="1:26">
      <c r="A13" s="3564" t="s">
        <v>334</v>
      </c>
      <c r="B13" s="3564" t="s">
        <v>335</v>
      </c>
      <c r="C13" s="3565" t="s">
        <v>336</v>
      </c>
      <c r="I13" s="3557" t="s">
        <v>337</v>
      </c>
      <c r="Z13" s="3557" t="s">
        <v>338</v>
      </c>
    </row>
    <row r="14" spans="1:26">
      <c r="A14" s="3564" t="s">
        <v>339</v>
      </c>
      <c r="B14" s="3564" t="s">
        <v>340</v>
      </c>
      <c r="C14" s="3558" t="s">
        <v>124</v>
      </c>
      <c r="I14" s="3557" t="s">
        <v>341</v>
      </c>
      <c r="Z14" s="3557" t="s">
        <v>342</v>
      </c>
    </row>
    <row r="15" spans="1:9">
      <c r="A15" s="3564" t="s">
        <v>343</v>
      </c>
      <c r="B15" s="3564" t="s">
        <v>344</v>
      </c>
      <c r="C15" s="3565"/>
      <c r="I15" s="3557" t="s">
        <v>345</v>
      </c>
    </row>
    <row r="16" spans="1:3">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3">
      <c r="A49" s="3564" t="s">
        <v>353</v>
      </c>
      <c r="B49" s="3564" t="s">
        <v>353</v>
      </c>
      <c r="C49" s="3565"/>
    </row>
    <row r="50" spans="1:3">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7" t="s">
        <v>364</v>
      </c>
      <c r="D52" s="3557" t="s">
        <v>365</v>
      </c>
    </row>
    <row r="53" spans="1:3">
      <c r="A53" s="3561" t="s">
        <v>366</v>
      </c>
      <c r="B53" s="3570"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368</v>
      </c>
      <c r="C54" s="3557" t="s">
        <v>369</v>
      </c>
    </row>
    <row r="55" spans="1:3">
      <c r="A55" s="3561"/>
      <c r="B55" s="3570" t="s">
        <v>370</v>
      </c>
      <c r="C55" s="3557" t="s">
        <v>371</v>
      </c>
    </row>
    <row r="56" spans="1:3">
      <c r="A56" s="3561"/>
      <c r="B56" s="3570" t="s">
        <v>372</v>
      </c>
      <c r="C56" s="3557" t="s">
        <v>373</v>
      </c>
    </row>
    <row r="57" spans="1:3">
      <c r="A57" s="3561"/>
      <c r="B57" s="3570" t="s">
        <v>374</v>
      </c>
      <c r="C57" s="3557" t="s">
        <v>375</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workbookViewId="0">
      <selection activeCell="F54" sqref="F54"/>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376</v>
      </c>
      <c r="B1" s="3497"/>
      <c r="C1" s="3497"/>
      <c r="D1" s="3497"/>
      <c r="E1" s="3497"/>
      <c r="F1" s="3498"/>
      <c r="I1" s="3547" t="s">
        <v>377</v>
      </c>
      <c r="J1" s="76"/>
      <c r="K1" s="76"/>
      <c r="L1" s="76"/>
      <c r="M1" s="76"/>
      <c r="N1" s="3548"/>
      <c r="O1" s="3548"/>
      <c r="P1" s="3548"/>
      <c r="Q1" s="3548"/>
      <c r="R1" s="3548"/>
    </row>
    <row r="2" spans="1:18">
      <c r="A2" s="3499"/>
      <c r="B2" s="3500"/>
      <c r="C2" s="3500"/>
      <c r="D2" s="3500"/>
      <c r="E2" s="3500"/>
      <c r="F2" s="3501"/>
      <c r="I2" s="3549" t="s">
        <v>378</v>
      </c>
      <c r="J2" s="3549"/>
      <c r="K2" s="3549"/>
      <c r="L2" s="3549"/>
      <c r="M2" s="3549"/>
      <c r="N2" s="3549"/>
      <c r="O2" s="3549"/>
      <c r="P2" s="3549"/>
      <c r="Q2" s="3549"/>
      <c r="R2" s="3549"/>
    </row>
    <row r="3" spans="1:18">
      <c r="A3" s="512" t="s">
        <v>379</v>
      </c>
      <c r="B3" s="3502">
        <f>项目基本情况!D3</f>
        <v>45960</v>
      </c>
      <c r="C3" s="513"/>
      <c r="D3" s="513"/>
      <c r="E3" s="513"/>
      <c r="F3" s="3501"/>
      <c r="I3" s="3550"/>
      <c r="J3" s="3550" t="s">
        <v>380</v>
      </c>
      <c r="K3" s="3550" t="s">
        <v>381</v>
      </c>
      <c r="L3" s="3550" t="s">
        <v>382</v>
      </c>
      <c r="M3" s="3550" t="s">
        <v>383</v>
      </c>
      <c r="N3" s="3551" t="s">
        <v>384</v>
      </c>
      <c r="O3" s="3551" t="s">
        <v>385</v>
      </c>
      <c r="P3" s="3551" t="s">
        <v>386</v>
      </c>
      <c r="Q3" s="3551" t="s">
        <v>387</v>
      </c>
      <c r="R3" s="3551" t="s">
        <v>388</v>
      </c>
    </row>
    <row r="4" spans="1:18">
      <c r="A4" s="512" t="s">
        <v>389</v>
      </c>
      <c r="B4" s="513" t="s">
        <v>390</v>
      </c>
      <c r="C4" s="513" t="s">
        <v>391</v>
      </c>
      <c r="D4" s="513" t="s">
        <v>392</v>
      </c>
      <c r="E4" s="513" t="s">
        <v>393</v>
      </c>
      <c r="F4" s="3501"/>
      <c r="I4" s="3550" t="s">
        <v>394</v>
      </c>
      <c r="J4" s="3550">
        <v>80</v>
      </c>
      <c r="K4" s="3550">
        <v>70</v>
      </c>
      <c r="L4" s="3550">
        <v>20</v>
      </c>
      <c r="M4" s="3550">
        <v>30</v>
      </c>
      <c r="N4" s="513">
        <v>45</v>
      </c>
      <c r="O4" s="513">
        <v>60</v>
      </c>
      <c r="P4" s="513">
        <v>50</v>
      </c>
      <c r="Q4" s="513">
        <v>20</v>
      </c>
      <c r="R4" s="513">
        <v>375</v>
      </c>
    </row>
    <row r="5" spans="1:18">
      <c r="A5" s="3503">
        <v>40</v>
      </c>
      <c r="B5" s="3502">
        <v>46375</v>
      </c>
      <c r="C5" s="513">
        <f>ROUNDDOWN(MIN((B5-B3)/365,A5),2)</f>
        <v>1.13</v>
      </c>
      <c r="D5" s="3504">
        <f>IF(ISERROR(ROUND(POWER(1+E5,A5-C5)*(POWER(1+E5,C5)-1)/(POWER(1+E5,A5)-1),3)),0,ROUND(POWER(1+E5,A5-C5)*(POWER(1+E5,C5)-1)/(POWER(1+E5,A5)-1),4))</f>
        <v>0.0548</v>
      </c>
      <c r="E5" s="3505">
        <v>0.04</v>
      </c>
      <c r="F5" s="3501"/>
      <c r="I5" s="3550" t="s">
        <v>395</v>
      </c>
      <c r="J5" s="3550">
        <v>70</v>
      </c>
      <c r="K5" s="3550">
        <v>60</v>
      </c>
      <c r="L5" s="3550">
        <v>15</v>
      </c>
      <c r="M5" s="3550">
        <v>25</v>
      </c>
      <c r="N5" s="513">
        <v>40</v>
      </c>
      <c r="O5" s="513">
        <v>50</v>
      </c>
      <c r="P5" s="513">
        <v>40</v>
      </c>
      <c r="Q5" s="513">
        <v>15</v>
      </c>
      <c r="R5" s="513">
        <v>315</v>
      </c>
    </row>
    <row r="6" spans="1:18">
      <c r="A6" s="3503">
        <v>50</v>
      </c>
      <c r="B6" s="3502">
        <v>50028</v>
      </c>
      <c r="C6" s="513">
        <f>ROUNDDOWN(MIN((B6-B3)/365,A6),2)</f>
        <v>11.14</v>
      </c>
      <c r="D6" s="3504">
        <f>IF(ISERROR(ROUND(POWER(1+E6,A6-C6)*(POWER(1+E6,C6)-1)/(POWER(1+E6,A6)-1),3)),0,ROUND(POWER(1+E6,A6-C6)*(POWER(1+E6,C6)-1)/(POWER(1+E6,A6)-1),4))</f>
        <v>0.4119</v>
      </c>
      <c r="E6" s="3505">
        <v>0.04</v>
      </c>
      <c r="F6" s="3501"/>
      <c r="I6" s="3550" t="s">
        <v>396</v>
      </c>
      <c r="J6" s="3550">
        <v>60</v>
      </c>
      <c r="K6" s="3550">
        <v>50</v>
      </c>
      <c r="L6" s="3550">
        <v>10</v>
      </c>
      <c r="M6" s="3550">
        <v>20</v>
      </c>
      <c r="N6" s="513">
        <v>35</v>
      </c>
      <c r="O6" s="513">
        <v>40</v>
      </c>
      <c r="P6" s="513">
        <v>30</v>
      </c>
      <c r="Q6" s="513">
        <v>10</v>
      </c>
      <c r="R6" s="513">
        <v>255</v>
      </c>
    </row>
    <row r="7" spans="1:6">
      <c r="A7" s="3503">
        <v>70</v>
      </c>
      <c r="B7" s="3502">
        <v>57333</v>
      </c>
      <c r="C7" s="513">
        <f>ROUNDDOWN(MIN((B7-B3)/365,A7),2)</f>
        <v>31.15</v>
      </c>
      <c r="D7" s="3504">
        <f>IF(ISERROR(ROUND(POWER(1+E7,A7-C7)*(POWER(1+E7,C7)-1)/(POWER(1+E7,A7)-1),3)),0,ROUND(POWER(1+E7,A7-C7)*(POWER(1+E7,C7)-1)/(POWER(1+E7,A7)-1),4))</f>
        <v>0.7537</v>
      </c>
      <c r="E7" s="3505">
        <v>0.04</v>
      </c>
      <c r="F7" s="3501"/>
    </row>
    <row r="8" spans="1:6">
      <c r="A8" s="3499"/>
      <c r="B8" s="3500"/>
      <c r="C8" s="3500"/>
      <c r="D8" s="3500"/>
      <c r="E8" s="3500"/>
      <c r="F8" s="3501"/>
    </row>
    <row r="9" spans="1:6">
      <c r="A9" s="512" t="s">
        <v>397</v>
      </c>
      <c r="B9" s="513"/>
      <c r="C9" s="513"/>
      <c r="D9" s="513"/>
      <c r="E9" s="513"/>
      <c r="F9" s="574"/>
    </row>
    <row r="10" spans="1:6">
      <c r="A10" s="512" t="s">
        <v>398</v>
      </c>
      <c r="B10" s="513"/>
      <c r="C10" s="513"/>
      <c r="D10" s="513" t="s">
        <v>393</v>
      </c>
      <c r="E10" s="513"/>
      <c r="F10" s="574" t="s">
        <v>392</v>
      </c>
    </row>
    <row r="11" spans="1:6">
      <c r="A11" s="512" t="s">
        <v>399</v>
      </c>
      <c r="B11" s="3506">
        <v>70</v>
      </c>
      <c r="C11" s="513" t="s">
        <v>400</v>
      </c>
      <c r="D11" s="3507">
        <v>0.045</v>
      </c>
      <c r="E11" s="513" t="s">
        <v>401</v>
      </c>
      <c r="F11" s="3508">
        <f>ROUND(1-(1/(POWER(1+D11,B11))),4)</f>
        <v>0.9541</v>
      </c>
    </row>
    <row r="12" spans="1:6">
      <c r="A12" s="512" t="s">
        <v>402</v>
      </c>
      <c r="B12" s="3506">
        <v>40</v>
      </c>
      <c r="C12" s="513" t="s">
        <v>403</v>
      </c>
      <c r="D12" s="3507">
        <v>0.045</v>
      </c>
      <c r="E12" s="513" t="s">
        <v>404</v>
      </c>
      <c r="F12" s="3508">
        <f>ROUND(1-(1/(POWER(1+D12,B12))),4)</f>
        <v>0.8281</v>
      </c>
    </row>
    <row r="13" spans="1:6">
      <c r="A13" s="512" t="s">
        <v>405</v>
      </c>
      <c r="B13" s="513"/>
      <c r="C13" s="513"/>
      <c r="D13" s="3500"/>
      <c r="E13" s="3500"/>
      <c r="F13" s="3501"/>
    </row>
    <row r="14" spans="1:6">
      <c r="A14" s="512" t="s">
        <v>406</v>
      </c>
      <c r="B14" s="3506">
        <v>5000</v>
      </c>
      <c r="C14" s="3509"/>
      <c r="D14" s="3500"/>
      <c r="E14" s="3500"/>
      <c r="F14" s="3501"/>
    </row>
    <row r="15" spans="1:6">
      <c r="A15" s="512" t="s">
        <v>407</v>
      </c>
      <c r="B15" s="513">
        <f>ROUND(B14*F12/F11,2)</f>
        <v>4339.69</v>
      </c>
      <c r="C15" s="513">
        <f>ROUND(F12/F11,4)</f>
        <v>0.8679</v>
      </c>
      <c r="D15" s="3500"/>
      <c r="E15" s="3500"/>
      <c r="F15" s="3501"/>
    </row>
    <row r="16" spans="1:6">
      <c r="A16" s="512" t="s">
        <v>408</v>
      </c>
      <c r="B16" s="513"/>
      <c r="C16" s="513"/>
      <c r="D16" s="3500"/>
      <c r="E16" s="3500"/>
      <c r="F16" s="3501"/>
    </row>
    <row r="17" spans="1:6">
      <c r="A17" s="512" t="s">
        <v>407</v>
      </c>
      <c r="B17" s="3507">
        <v>4810</v>
      </c>
      <c r="C17" s="3509"/>
      <c r="D17" s="3500"/>
      <c r="E17" s="3500"/>
      <c r="F17" s="3501"/>
    </row>
    <row r="18" ht="14.25" spans="1:6">
      <c r="A18" s="3510" t="s">
        <v>406</v>
      </c>
      <c r="B18" s="577">
        <f>ROUND(B17*F11/F12,2)</f>
        <v>5541.87</v>
      </c>
      <c r="C18" s="577">
        <f>ROUND(F11/F12,4)</f>
        <v>1.1522</v>
      </c>
      <c r="D18" s="3511"/>
      <c r="E18" s="3511"/>
      <c r="F18" s="3512"/>
    </row>
    <row r="19" ht="14.25"/>
    <row r="20" s="3493" customFormat="1" ht="14.25" spans="1:13">
      <c r="A20" s="3513" t="s">
        <v>409</v>
      </c>
      <c r="B20" s="3514"/>
      <c r="C20" s="3514"/>
      <c r="D20" s="3514"/>
      <c r="E20" s="3514"/>
      <c r="F20" s="3514"/>
      <c r="G20" s="3515"/>
      <c r="I20" s="3552" t="s">
        <v>410</v>
      </c>
      <c r="J20" s="3552" t="s">
        <v>411</v>
      </c>
      <c r="K20" s="3552"/>
      <c r="L20" s="3552"/>
      <c r="M20" s="3552"/>
    </row>
    <row r="21" spans="1:10">
      <c r="A21" s="3516"/>
      <c r="B21" s="3517" t="s">
        <v>412</v>
      </c>
      <c r="C21" s="3517" t="s">
        <v>391</v>
      </c>
      <c r="D21" s="3517" t="s">
        <v>413</v>
      </c>
      <c r="E21" s="3517" t="s">
        <v>392</v>
      </c>
      <c r="F21" s="3517" t="s">
        <v>414</v>
      </c>
      <c r="G21" s="3518" t="s">
        <v>415</v>
      </c>
      <c r="I21" s="3495">
        <v>5</v>
      </c>
      <c r="J21" s="3495">
        <v>54.2</v>
      </c>
    </row>
    <row r="22" spans="1:11">
      <c r="A22" s="3516" t="s">
        <v>416</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417</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418</v>
      </c>
      <c r="N23" s="3553" t="s">
        <v>419</v>
      </c>
    </row>
    <row r="24" spans="1:14">
      <c r="A24" s="3516" t="s">
        <v>420</v>
      </c>
      <c r="B24" s="3519">
        <v>70</v>
      </c>
      <c r="C24" s="3519">
        <v>50</v>
      </c>
      <c r="D24" s="3520">
        <v>0.04</v>
      </c>
      <c r="E24" s="3517">
        <f t="shared" si="0"/>
        <v>0.918</v>
      </c>
      <c r="F24" s="3520">
        <f>F23</f>
        <v>0.7</v>
      </c>
      <c r="G24" s="3518">
        <f t="shared" si="1"/>
        <v>94.3</v>
      </c>
      <c r="I24" s="3495">
        <v>20</v>
      </c>
      <c r="J24" s="3495">
        <v>81</v>
      </c>
      <c r="K24" s="3495">
        <f t="shared" si="2"/>
        <v>6.90000000000001</v>
      </c>
      <c r="L24" s="3495" t="s">
        <v>421</v>
      </c>
      <c r="N24" s="3553">
        <v>10</v>
      </c>
    </row>
    <row r="25" spans="1:14">
      <c r="A25" s="3516" t="s">
        <v>422</v>
      </c>
      <c r="B25" s="3519">
        <v>70</v>
      </c>
      <c r="C25" s="3519">
        <v>60</v>
      </c>
      <c r="D25" s="3520">
        <v>0.04</v>
      </c>
      <c r="E25" s="3517">
        <f t="shared" si="0"/>
        <v>0.967</v>
      </c>
      <c r="F25" s="3520">
        <f>F24</f>
        <v>0.7</v>
      </c>
      <c r="G25" s="3518">
        <f t="shared" si="1"/>
        <v>97.7</v>
      </c>
      <c r="I25" s="3495">
        <v>25</v>
      </c>
      <c r="J25" s="3495">
        <v>86.3</v>
      </c>
      <c r="K25" s="3495">
        <f t="shared" si="2"/>
        <v>5.3</v>
      </c>
      <c r="L25" s="3495" t="s">
        <v>423</v>
      </c>
      <c r="N25" s="3553">
        <v>8</v>
      </c>
    </row>
    <row r="26" spans="1:14">
      <c r="A26" s="3521"/>
      <c r="B26" s="3522"/>
      <c r="C26" s="3522"/>
      <c r="D26" s="3522"/>
      <c r="E26" s="3522"/>
      <c r="F26" s="3522"/>
      <c r="G26" s="3523"/>
      <c r="I26" s="3495">
        <v>30</v>
      </c>
      <c r="J26" s="3495">
        <v>90.5</v>
      </c>
      <c r="K26" s="3495">
        <f t="shared" si="2"/>
        <v>4.2</v>
      </c>
      <c r="L26" s="3495" t="s">
        <v>424</v>
      </c>
      <c r="N26" s="3553">
        <v>5</v>
      </c>
    </row>
    <row r="27" spans="1:14">
      <c r="A27" s="3521" t="s">
        <v>425</v>
      </c>
      <c r="B27" s="3522"/>
      <c r="C27" s="3522"/>
      <c r="D27" s="3522"/>
      <c r="E27" s="3522"/>
      <c r="F27" s="3522"/>
      <c r="G27" s="3523"/>
      <c r="I27" s="3495">
        <v>35</v>
      </c>
      <c r="J27" s="3495">
        <v>93.8</v>
      </c>
      <c r="K27" s="3495">
        <f t="shared" si="2"/>
        <v>3.3</v>
      </c>
      <c r="L27" s="3495" t="s">
        <v>426</v>
      </c>
      <c r="N27" s="3553">
        <v>3</v>
      </c>
    </row>
    <row r="28" spans="1:14">
      <c r="A28" s="3521" t="s">
        <v>427</v>
      </c>
      <c r="B28" s="3522"/>
      <c r="C28" s="3522"/>
      <c r="D28" s="3522"/>
      <c r="E28" s="3522"/>
      <c r="F28" s="3522"/>
      <c r="G28" s="3523"/>
      <c r="I28" s="3495">
        <v>40</v>
      </c>
      <c r="J28" s="3495">
        <v>96.4</v>
      </c>
      <c r="K28" s="3495">
        <f t="shared" si="2"/>
        <v>2.60000000000001</v>
      </c>
      <c r="L28" s="3495" t="s">
        <v>428</v>
      </c>
      <c r="N28" s="3553">
        <v>2</v>
      </c>
    </row>
    <row r="29" spans="1:11">
      <c r="A29" s="3521" t="s">
        <v>429</v>
      </c>
      <c r="B29" s="3522"/>
      <c r="C29" s="3522"/>
      <c r="D29" s="3522"/>
      <c r="E29" s="3522"/>
      <c r="F29" s="3522"/>
      <c r="G29" s="3523"/>
      <c r="I29" s="3495">
        <v>45</v>
      </c>
      <c r="J29" s="3495">
        <v>98.4</v>
      </c>
      <c r="K29" s="3495">
        <f t="shared" si="2"/>
        <v>2</v>
      </c>
    </row>
    <row r="30" spans="1:11">
      <c r="A30" s="3521" t="s">
        <v>430</v>
      </c>
      <c r="B30" s="3522"/>
      <c r="C30" s="3522"/>
      <c r="D30" s="3522"/>
      <c r="E30" s="3522"/>
      <c r="F30" s="3522"/>
      <c r="G30" s="3523"/>
      <c r="I30" s="3495">
        <v>50</v>
      </c>
      <c r="J30" s="3495">
        <v>100</v>
      </c>
      <c r="K30" s="3495">
        <f t="shared" si="2"/>
        <v>1.59999999999999</v>
      </c>
    </row>
    <row r="31" spans="1:9">
      <c r="A31" s="3521" t="s">
        <v>431</v>
      </c>
      <c r="B31" s="3522"/>
      <c r="C31" s="3522"/>
      <c r="D31" s="3522"/>
      <c r="E31" s="3522"/>
      <c r="F31" s="3522"/>
      <c r="G31" s="3523"/>
      <c r="I31" s="3495" t="s">
        <v>432</v>
      </c>
    </row>
    <row r="32" spans="1:7">
      <c r="A32" s="3521" t="s">
        <v>433</v>
      </c>
      <c r="B32" s="3522"/>
      <c r="C32" s="3522"/>
      <c r="D32" s="3522"/>
      <c r="E32" s="3522"/>
      <c r="F32" s="3522"/>
      <c r="G32" s="3523"/>
    </row>
    <row r="33" spans="1:10">
      <c r="A33" s="3521" t="s">
        <v>434</v>
      </c>
      <c r="B33" s="3522"/>
      <c r="C33" s="3522"/>
      <c r="D33" s="3522"/>
      <c r="E33" s="3522"/>
      <c r="F33" s="3522"/>
      <c r="G33" s="3523"/>
      <c r="I33" s="3495" t="s">
        <v>410</v>
      </c>
      <c r="J33" s="3495" t="s">
        <v>435</v>
      </c>
    </row>
    <row r="34" spans="1:10">
      <c r="A34" s="3521" t="s">
        <v>436</v>
      </c>
      <c r="B34" s="3522"/>
      <c r="C34" s="3522"/>
      <c r="D34" s="3522"/>
      <c r="E34" s="3522"/>
      <c r="F34" s="3522"/>
      <c r="G34" s="3523"/>
      <c r="I34" s="3495">
        <v>5</v>
      </c>
      <c r="J34" s="3495">
        <v>55.1</v>
      </c>
    </row>
    <row r="35" spans="1:11">
      <c r="A35" s="3521" t="s">
        <v>437</v>
      </c>
      <c r="B35" s="3522"/>
      <c r="C35" s="3522"/>
      <c r="D35" s="3522"/>
      <c r="E35" s="3522"/>
      <c r="F35" s="3522"/>
      <c r="G35" s="3523"/>
      <c r="I35" s="3495">
        <v>10</v>
      </c>
      <c r="J35" s="3495">
        <v>67</v>
      </c>
      <c r="K35" s="3495">
        <f>J35-J34</f>
        <v>11.9</v>
      </c>
    </row>
    <row r="36" spans="1:14">
      <c r="A36" s="3521" t="s">
        <v>438</v>
      </c>
      <c r="B36" s="3522"/>
      <c r="C36" s="3522"/>
      <c r="D36" s="3522"/>
      <c r="E36" s="3522"/>
      <c r="F36" s="3522"/>
      <c r="G36" s="3523"/>
      <c r="I36" s="3495">
        <v>15</v>
      </c>
      <c r="J36" s="3495">
        <v>76.3</v>
      </c>
      <c r="K36" s="3495">
        <f t="shared" ref="K36:K41" si="3">J36-J35</f>
        <v>9.3</v>
      </c>
      <c r="L36" s="3495" t="s">
        <v>418</v>
      </c>
      <c r="N36" s="3553" t="s">
        <v>419</v>
      </c>
    </row>
    <row r="37" spans="1:14">
      <c r="A37" s="3521" t="s">
        <v>439</v>
      </c>
      <c r="B37" s="3522"/>
      <c r="C37" s="3522"/>
      <c r="D37" s="3522"/>
      <c r="E37" s="3522"/>
      <c r="F37" s="3522"/>
      <c r="G37" s="3523"/>
      <c r="I37" s="3495">
        <v>20</v>
      </c>
      <c r="J37" s="3495">
        <v>83.6</v>
      </c>
      <c r="K37" s="3495">
        <f t="shared" si="3"/>
        <v>7.3</v>
      </c>
      <c r="L37" s="3495" t="s">
        <v>421</v>
      </c>
      <c r="N37" s="3553">
        <v>10</v>
      </c>
    </row>
    <row r="38" spans="1:14">
      <c r="A38" s="3521" t="s">
        <v>440</v>
      </c>
      <c r="B38" s="3522"/>
      <c r="C38" s="3522"/>
      <c r="D38" s="3522"/>
      <c r="E38" s="3522"/>
      <c r="F38" s="3522"/>
      <c r="G38" s="3523"/>
      <c r="I38" s="3495">
        <v>25</v>
      </c>
      <c r="J38" s="3495">
        <v>89.3</v>
      </c>
      <c r="K38" s="3495">
        <f t="shared" si="3"/>
        <v>5.7</v>
      </c>
      <c r="L38" s="3495" t="s">
        <v>423</v>
      </c>
      <c r="N38" s="3553">
        <v>8</v>
      </c>
    </row>
    <row r="39" spans="1:14">
      <c r="A39" s="3521"/>
      <c r="B39" s="3522"/>
      <c r="C39" s="3522"/>
      <c r="D39" s="3522"/>
      <c r="E39" s="3522"/>
      <c r="F39" s="3522"/>
      <c r="G39" s="3523"/>
      <c r="I39" s="3495">
        <v>30</v>
      </c>
      <c r="J39" s="3495">
        <v>93.8</v>
      </c>
      <c r="K39" s="3495">
        <f t="shared" si="3"/>
        <v>4.5</v>
      </c>
      <c r="L39" s="3495" t="s">
        <v>424</v>
      </c>
      <c r="N39" s="3553">
        <v>6</v>
      </c>
    </row>
    <row r="40" spans="1:14">
      <c r="A40" s="3524" t="s">
        <v>441</v>
      </c>
      <c r="B40" s="3525"/>
      <c r="C40" s="3525"/>
      <c r="D40" s="3525"/>
      <c r="E40" s="3525"/>
      <c r="F40" s="3525"/>
      <c r="G40" s="3526"/>
      <c r="I40" s="3495">
        <v>35</v>
      </c>
      <c r="J40" s="3495">
        <v>97.2</v>
      </c>
      <c r="K40" s="3495">
        <f t="shared" si="3"/>
        <v>3.40000000000001</v>
      </c>
      <c r="L40" s="3495" t="s">
        <v>426</v>
      </c>
      <c r="N40" s="3553">
        <v>3</v>
      </c>
    </row>
    <row r="41" spans="1:11">
      <c r="A41" s="3527" t="s">
        <v>442</v>
      </c>
      <c r="B41" s="3528" t="s">
        <v>443</v>
      </c>
      <c r="C41" s="3529" t="s">
        <v>444</v>
      </c>
      <c r="D41" s="3529" t="s">
        <v>445</v>
      </c>
      <c r="E41" s="3530"/>
      <c r="F41" s="3531"/>
      <c r="G41" s="3532"/>
      <c r="I41" s="3495">
        <v>40</v>
      </c>
      <c r="J41" s="3495">
        <v>100</v>
      </c>
      <c r="K41" s="3495">
        <f t="shared" si="3"/>
        <v>2.8</v>
      </c>
    </row>
    <row r="42" spans="1:7">
      <c r="A42" s="3527" t="s">
        <v>233</v>
      </c>
      <c r="B42" s="3528" t="s">
        <v>446</v>
      </c>
      <c r="C42" s="3529" t="s">
        <v>446</v>
      </c>
      <c r="D42" s="3533" t="s">
        <v>447</v>
      </c>
      <c r="E42" s="3525" t="s">
        <v>448</v>
      </c>
      <c r="F42" s="3525"/>
      <c r="G42" s="3526"/>
    </row>
    <row r="43" spans="1:10">
      <c r="A43" s="3527" t="s">
        <v>232</v>
      </c>
      <c r="B43" s="3528" t="s">
        <v>449</v>
      </c>
      <c r="C43" s="3529" t="s">
        <v>450</v>
      </c>
      <c r="D43" s="3529" t="s">
        <v>451</v>
      </c>
      <c r="E43" s="3530" t="s">
        <v>452</v>
      </c>
      <c r="F43" s="3531"/>
      <c r="G43" s="3532"/>
      <c r="I43" s="3495" t="s">
        <v>410</v>
      </c>
      <c r="J43" s="3495" t="s">
        <v>453</v>
      </c>
    </row>
    <row r="44" spans="1:10">
      <c r="A44" s="3527" t="s">
        <v>454</v>
      </c>
      <c r="B44" s="3528" t="s">
        <v>455</v>
      </c>
      <c r="C44" s="3529" t="s">
        <v>456</v>
      </c>
      <c r="D44" s="3533">
        <v>0.5</v>
      </c>
      <c r="E44" s="3530" t="s">
        <v>457</v>
      </c>
      <c r="F44" s="3531"/>
      <c r="G44" s="3532"/>
      <c r="I44" s="3495">
        <v>30</v>
      </c>
      <c r="J44" s="3495">
        <v>81.7</v>
      </c>
    </row>
    <row r="45" ht="14.25" spans="1:11">
      <c r="A45" s="3534" t="s">
        <v>458</v>
      </c>
      <c r="B45" s="3535" t="s">
        <v>446</v>
      </c>
      <c r="C45" s="3536" t="s">
        <v>446</v>
      </c>
      <c r="D45" s="3536" t="s">
        <v>459</v>
      </c>
      <c r="E45" s="3537" t="s">
        <v>460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25"/>
    <row r="49" spans="1:1">
      <c r="A49" s="3496" t="s">
        <v>461</v>
      </c>
    </row>
    <row r="50" spans="1:4">
      <c r="A50" s="3539" t="s">
        <v>462</v>
      </c>
      <c r="B50" s="3539" t="s">
        <v>463</v>
      </c>
      <c r="C50" s="3539" t="s">
        <v>464</v>
      </c>
      <c r="D50" s="3539" t="s">
        <v>465</v>
      </c>
    </row>
    <row r="51" spans="1:4">
      <c r="A51" s="3539" t="s">
        <v>466</v>
      </c>
      <c r="B51" s="3509">
        <f>B52+B53</f>
        <v>15000</v>
      </c>
      <c r="C51" s="3540">
        <f>D51/B51</f>
        <v>2666.66666666667</v>
      </c>
      <c r="D51" s="3509">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9">
        <f>B51</f>
        <v>15000</v>
      </c>
      <c r="C54" s="3507">
        <v>700</v>
      </c>
      <c r="D54" s="3509">
        <f t="shared" ref="D54:D55" si="5">C54*B54</f>
        <v>10500000</v>
      </c>
    </row>
    <row r="55" spans="1:4">
      <c r="A55" s="3539" t="s">
        <v>470</v>
      </c>
      <c r="B55" s="3509">
        <f>B51</f>
        <v>15000</v>
      </c>
      <c r="C55" s="3507">
        <v>1500</v>
      </c>
      <c r="D55" s="3509">
        <f t="shared" si="5"/>
        <v>22500000</v>
      </c>
    </row>
    <row r="56" spans="1:4">
      <c r="A56" s="3539" t="s">
        <v>471</v>
      </c>
      <c r="B56" s="3509">
        <f>B51</f>
        <v>15000</v>
      </c>
      <c r="C56" s="3544">
        <f>C51+C54+C55</f>
        <v>4866.66666666667</v>
      </c>
      <c r="D56" s="3509">
        <f>D51+D54+D55</f>
        <v>73000000</v>
      </c>
    </row>
    <row r="58" spans="1:4">
      <c r="A58" s="3539" t="s">
        <v>472</v>
      </c>
      <c r="B58" s="3545">
        <v>0.05</v>
      </c>
      <c r="C58" s="3509">
        <f>C56*(1+B58)</f>
        <v>5110</v>
      </c>
      <c r="D58" s="3509">
        <f>D56*B58</f>
        <v>3650000</v>
      </c>
    </row>
    <row r="60" spans="1:4">
      <c r="A60" s="3539" t="s">
        <v>473</v>
      </c>
      <c r="B60" s="3507">
        <v>3500</v>
      </c>
      <c r="C60" s="3507">
        <f>C53</f>
        <v>5000</v>
      </c>
      <c r="D60" s="3509">
        <f>C60*B60</f>
        <v>17500000</v>
      </c>
    </row>
    <row r="62" spans="1:4">
      <c r="A62" s="3539" t="s">
        <v>388</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1" customWidth="1"/>
    <col min="10" max="10" width="10" style="3144" customWidth="1"/>
    <col min="11" max="11" width="10" style="3338" customWidth="1"/>
    <col min="12" max="13" width="10" style="3339" customWidth="1"/>
    <col min="14" max="14" width="10" style="3144" customWidth="1"/>
    <col min="15" max="15" width="10" style="1005" customWidth="1"/>
    <col min="16" max="17" width="10" style="3144"/>
    <col min="18" max="18" width="10" style="3144" customWidth="1"/>
    <col min="19" max="30" width="10" style="3144"/>
    <col min="31" max="16384" width="10" style="2948"/>
  </cols>
  <sheetData>
    <row r="1" ht="13.5" spans="1:28">
      <c r="A1" s="3340" t="s">
        <v>474</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8"/>
      <c r="K1" s="3458"/>
      <c r="L1" s="3459"/>
      <c r="M1" s="3459"/>
      <c r="N1" s="3386"/>
      <c r="O1" s="3249"/>
      <c r="P1" s="3386"/>
      <c r="Q1" s="3386"/>
      <c r="R1" s="3386"/>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spans="1:28">
      <c r="A2" s="3343" t="s">
        <v>475</v>
      </c>
      <c r="B2" s="3344"/>
      <c r="C2" s="3345"/>
      <c r="D2" s="3346"/>
      <c r="E2" s="3347"/>
      <c r="F2" s="3347"/>
      <c r="G2" s="3348"/>
      <c r="H2" s="3348"/>
      <c r="I2" s="3348"/>
      <c r="J2" s="2898"/>
      <c r="K2" s="3458"/>
      <c r="L2" s="3459"/>
      <c r="M2" s="3459"/>
      <c r="N2" s="3386"/>
      <c r="O2" s="3249"/>
      <c r="P2" s="3386"/>
      <c r="Q2" s="3386"/>
      <c r="R2" s="3386"/>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spans="1:28">
      <c r="A3" s="2017" t="s">
        <v>476</v>
      </c>
      <c r="B3" s="3349"/>
      <c r="C3" s="3350" t="s">
        <v>477</v>
      </c>
      <c r="D3" s="3349">
        <v>45960</v>
      </c>
      <c r="E3" s="3348"/>
      <c r="F3" s="3348"/>
      <c r="G3" s="3348"/>
      <c r="H3" s="3348"/>
      <c r="I3" s="3348"/>
      <c r="J3" s="2898"/>
      <c r="K3" s="3458"/>
      <c r="L3" s="3459"/>
      <c r="M3" s="3459"/>
      <c r="N3" s="3386"/>
      <c r="O3" s="3249"/>
      <c r="P3" s="3386"/>
      <c r="Q3" s="3386"/>
      <c r="R3" s="3386"/>
      <c r="S3" s="2949"/>
      <c r="T3" s="2948"/>
      <c r="U3" s="2948"/>
      <c r="V3" s="2948"/>
      <c r="W3" s="2948"/>
      <c r="X3" s="2948"/>
      <c r="Y3" s="2948"/>
      <c r="Z3" s="2948"/>
      <c r="AA3" s="2948"/>
      <c r="AB3" s="2948"/>
    </row>
    <row r="4" ht="13.5" spans="1:28">
      <c r="A4" s="2041"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2"/>
      <c r="K4" s="3460" t="str">
        <f ca="1">CONCATENATE(B4,"（注册号：",C4,")、",D4,"（注册号：",E4,")")</f>
        <v>（注册号：0)、（注册号：0)</v>
      </c>
      <c r="L4" s="3459"/>
      <c r="M4" s="3459"/>
      <c r="N4" s="3386"/>
      <c r="O4" s="3249"/>
      <c r="P4" s="3386"/>
      <c r="Q4" s="3386"/>
      <c r="R4" s="3386"/>
      <c r="S4" s="2949"/>
      <c r="T4" s="2948"/>
      <c r="U4" s="2948"/>
      <c r="V4" s="2948"/>
      <c r="W4" s="2948"/>
      <c r="X4" s="2948"/>
      <c r="Y4" s="2948"/>
      <c r="Z4" s="2948"/>
      <c r="AA4" s="2948"/>
      <c r="AB4" s="2948"/>
    </row>
    <row r="5" ht="13.5" spans="1:28">
      <c r="A5" s="3354" t="s">
        <v>479</v>
      </c>
      <c r="B5" s="3355"/>
      <c r="C5" s="3356"/>
      <c r="D5" s="3357"/>
      <c r="E5" s="3054"/>
      <c r="F5" s="3054"/>
      <c r="G5" s="3054"/>
      <c r="H5" s="3054"/>
      <c r="I5" s="3054"/>
      <c r="J5" s="2932"/>
      <c r="K5" s="3460" t="str">
        <f ca="1">IF(F4="——","",IF(H4="——",F4&amp;"（注册号："&amp;G4&amp;")",CONCATENATE(F4,"（注册号：",G4,")、",H4,"（注册号：",I4,")")))</f>
        <v>（注册号：0)、（注册号：0)</v>
      </c>
      <c r="L5" s="3459"/>
      <c r="M5" s="3459"/>
      <c r="N5" s="3386"/>
      <c r="O5" s="3249"/>
      <c r="P5" s="3386"/>
      <c r="Q5" s="3386"/>
      <c r="R5" s="3386"/>
      <c r="S5" s="2948"/>
      <c r="T5" s="2948"/>
      <c r="U5" s="2948"/>
      <c r="V5" s="2948"/>
      <c r="W5" s="2948"/>
      <c r="X5" s="2948"/>
      <c r="Y5" s="2948"/>
      <c r="Z5" s="2948"/>
      <c r="AA5" s="2948"/>
      <c r="AB5" s="2948"/>
    </row>
    <row r="6" spans="1:18">
      <c r="A6" s="3358" t="s">
        <v>480</v>
      </c>
      <c r="B6" s="3359"/>
      <c r="C6" s="3360"/>
      <c r="D6" s="3361"/>
      <c r="E6" s="3347"/>
      <c r="F6" s="3054"/>
      <c r="G6" s="3054"/>
      <c r="H6" s="3054"/>
      <c r="I6" s="3054"/>
      <c r="J6" s="2932"/>
      <c r="K6" s="3461" t="str">
        <f>IF(COUNTIF(B6,"*上海银行*"),"上海银行","")</f>
        <v/>
      </c>
      <c r="L6" s="3462"/>
      <c r="M6" s="3462"/>
      <c r="N6" s="2932"/>
      <c r="O6" s="3463"/>
      <c r="P6" s="2932"/>
      <c r="Q6" s="2932"/>
      <c r="R6" s="2932"/>
    </row>
    <row r="7" spans="1:18">
      <c r="A7" s="3358" t="s">
        <v>481</v>
      </c>
      <c r="B7" s="3362"/>
      <c r="C7" s="3360"/>
      <c r="D7" s="3361"/>
      <c r="E7" s="3347"/>
      <c r="F7" s="3054"/>
      <c r="G7" s="3054"/>
      <c r="H7" s="3054"/>
      <c r="I7" s="3054"/>
      <c r="J7" s="2932"/>
      <c r="K7" s="3464"/>
      <c r="L7" s="3462"/>
      <c r="M7" s="3462"/>
      <c r="N7" s="2932"/>
      <c r="O7" s="3463"/>
      <c r="P7" s="2932"/>
      <c r="Q7" s="2932"/>
      <c r="R7" s="2932"/>
    </row>
    <row r="8" spans="1:18">
      <c r="A8" s="3363" t="s">
        <v>482</v>
      </c>
      <c r="B8" s="3364" t="s">
        <v>363</v>
      </c>
      <c r="C8" s="3365"/>
      <c r="D8" s="3366" t="s">
        <v>483</v>
      </c>
      <c r="E8" s="3367" t="s">
        <v>368</v>
      </c>
      <c r="F8" s="3368"/>
      <c r="G8" s="3348"/>
      <c r="H8" s="3348"/>
      <c r="I8" s="3348"/>
      <c r="J8" s="2932"/>
      <c r="K8" s="3465"/>
      <c r="L8" s="3462"/>
      <c r="M8" s="3462"/>
      <c r="N8" s="2932"/>
      <c r="O8" s="3463"/>
      <c r="P8" s="2932"/>
      <c r="Q8" s="2932"/>
      <c r="R8" s="2932"/>
    </row>
    <row r="9" ht="13.5" spans="1:18">
      <c r="A9" s="3369" t="s">
        <v>484</v>
      </c>
      <c r="B9" s="3370" t="s">
        <v>368</v>
      </c>
      <c r="C9" s="3371"/>
      <c r="D9" s="3372"/>
      <c r="E9" s="3370"/>
      <c r="F9" s="3373"/>
      <c r="G9" s="3374"/>
      <c r="H9" s="3374"/>
      <c r="I9" s="3374"/>
      <c r="J9" s="2932"/>
      <c r="K9" s="3464"/>
      <c r="L9" s="3462"/>
      <c r="M9" s="3462"/>
      <c r="N9" s="2932"/>
      <c r="O9" s="3463"/>
      <c r="P9" s="2932"/>
      <c r="Q9" s="2932"/>
      <c r="R9" s="2932"/>
    </row>
    <row r="10" ht="13.5" spans="1:18">
      <c r="A10" s="3375" t="s">
        <v>485</v>
      </c>
      <c r="B10" s="3376" t="s">
        <v>486</v>
      </c>
      <c r="C10" s="3377"/>
      <c r="D10" s="3357"/>
      <c r="E10" s="3378" t="s">
        <v>487</v>
      </c>
      <c r="F10" s="3379"/>
      <c r="G10" s="3380"/>
      <c r="H10" s="3381"/>
      <c r="I10" s="3466"/>
      <c r="J10" s="2932"/>
      <c r="K10" s="3464"/>
      <c r="L10" s="3462"/>
      <c r="M10" s="3462"/>
      <c r="N10" s="2932"/>
      <c r="O10" s="3463"/>
      <c r="P10" s="2932"/>
      <c r="Q10" s="2932"/>
      <c r="R10" s="2932"/>
    </row>
    <row r="11" spans="1:18">
      <c r="A11" s="3382" t="s">
        <v>488</v>
      </c>
      <c r="B11" s="3383" t="s">
        <v>489</v>
      </c>
      <c r="C11" s="3384"/>
      <c r="D11" s="3385"/>
      <c r="E11" s="3386"/>
      <c r="F11" s="3386"/>
      <c r="G11" s="3386"/>
      <c r="H11" s="3386"/>
      <c r="I11" s="3386"/>
      <c r="J11" s="3467"/>
      <c r="K11" s="3468"/>
      <c r="L11" s="3462"/>
      <c r="M11" s="3462"/>
      <c r="N11" s="2932"/>
      <c r="O11" s="3463"/>
      <c r="P11" s="2932"/>
      <c r="Q11" s="2932"/>
      <c r="R11" s="2932"/>
    </row>
    <row r="12" spans="1:30">
      <c r="A12" s="3387" t="s">
        <v>490</v>
      </c>
      <c r="B12" s="2060" t="s">
        <v>491</v>
      </c>
      <c r="C12" s="3388" t="s">
        <v>492</v>
      </c>
      <c r="D12" s="3388" t="s">
        <v>493</v>
      </c>
      <c r="E12" s="3388" t="s">
        <v>494</v>
      </c>
      <c r="F12" s="3388" t="s">
        <v>495</v>
      </c>
      <c r="G12" s="3388" t="s">
        <v>496</v>
      </c>
      <c r="H12" s="3388" t="s">
        <v>497</v>
      </c>
      <c r="I12" s="3469" t="s">
        <v>231</v>
      </c>
      <c r="J12" s="3470"/>
      <c r="K12" s="3462"/>
      <c r="L12" s="3462"/>
      <c r="M12" s="2932"/>
      <c r="N12" s="3463"/>
      <c r="O12" s="2932"/>
      <c r="P12" s="2932"/>
      <c r="Q12" s="2932"/>
      <c r="AD12" s="2948"/>
    </row>
    <row r="13" spans="1:30">
      <c r="A13" s="3389" t="s">
        <v>498</v>
      </c>
      <c r="B13" s="3390" t="s">
        <v>499</v>
      </c>
      <c r="C13" s="3391"/>
      <c r="D13" s="3391"/>
      <c r="E13" s="3391">
        <v>59661</v>
      </c>
      <c r="F13" s="3391"/>
      <c r="G13" s="3391"/>
      <c r="H13" s="3391"/>
      <c r="I13" s="3391"/>
      <c r="J13" s="3470"/>
      <c r="K13" s="3462"/>
      <c r="L13" s="3462"/>
      <c r="M13" s="2932"/>
      <c r="N13" s="3463"/>
      <c r="O13" s="2932"/>
      <c r="P13" s="2932"/>
      <c r="Q13" s="2932"/>
      <c r="AD13" s="2948"/>
    </row>
    <row r="14" spans="1:30">
      <c r="A14" s="2046"/>
      <c r="B14" s="3390" t="s">
        <v>500</v>
      </c>
      <c r="C14" s="3392"/>
      <c r="D14" s="3392"/>
      <c r="E14" s="3392">
        <v>50</v>
      </c>
      <c r="F14" s="3392"/>
      <c r="G14" s="3392"/>
      <c r="H14" s="3392"/>
      <c r="I14" s="3392"/>
      <c r="J14" s="3471"/>
      <c r="K14" s="3462"/>
      <c r="L14" s="3462"/>
      <c r="M14" s="2932"/>
      <c r="N14" s="3463"/>
      <c r="O14" s="2932"/>
      <c r="P14" s="2932"/>
      <c r="Q14" s="2932"/>
      <c r="AD14" s="2948"/>
    </row>
    <row r="15" spans="1:30">
      <c r="A15" s="2053"/>
      <c r="B15" s="3393" t="s">
        <v>501</v>
      </c>
      <c r="C15" s="3394" t="str">
        <f>IF(A13="出让",IF(C13="","",ROUNDDOWN(MIN((C13-$D$3)/365,C14),2)),C14)</f>
        <v/>
      </c>
      <c r="D15" s="3394" t="str">
        <f>IF(A13="出让",IF(D13="","",ROUNDDOWN(MIN((D13-$D$3)/365,D14),2)),D14)</f>
        <v/>
      </c>
      <c r="E15" s="3394">
        <f>IF(A13="出让",IF(E13="","",ROUNDDOWN(MIN((E13-$D$3)/365,E14),2)),E14)</f>
        <v>37.53</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3"/>
      <c r="N15" s="3473"/>
      <c r="O15" s="2933"/>
      <c r="P15" s="2932"/>
      <c r="Q15" s="2932"/>
      <c r="AD15" s="2948"/>
    </row>
    <row r="16" spans="1:18">
      <c r="A16" s="3378" t="s">
        <v>502</v>
      </c>
      <c r="B16" s="3395"/>
      <c r="C16" s="3396"/>
      <c r="D16" s="3397"/>
      <c r="E16" s="3398" t="s">
        <v>503</v>
      </c>
      <c r="F16" s="3399"/>
      <c r="G16" s="3400"/>
      <c r="H16" s="3400"/>
      <c r="I16" s="3474"/>
      <c r="J16" s="2932"/>
      <c r="K16" s="3475"/>
      <c r="L16" s="3473"/>
      <c r="M16" s="3473"/>
      <c r="N16" s="2933"/>
      <c r="O16" s="3473"/>
      <c r="P16" s="2933"/>
      <c r="Q16" s="2932"/>
      <c r="R16" s="2932"/>
    </row>
    <row r="17" spans="1:22">
      <c r="A17" s="2030" t="s">
        <v>504</v>
      </c>
      <c r="B17" s="2017" t="s">
        <v>505</v>
      </c>
      <c r="C17" s="1068">
        <f>'数据-汇总表'!E3</f>
        <v>373.87</v>
      </c>
      <c r="D17" s="2073" t="s">
        <v>506</v>
      </c>
      <c r="E17" s="3401" t="s">
        <v>507</v>
      </c>
      <c r="F17" s="3402"/>
      <c r="G17" s="3402"/>
      <c r="H17" s="3402"/>
      <c r="I17" s="3476"/>
      <c r="J17" s="2932"/>
      <c r="K17" s="3477"/>
      <c r="L17" s="3473"/>
      <c r="M17" s="3473"/>
      <c r="N17" s="2933"/>
      <c r="O17" s="3473"/>
      <c r="P17" s="2933"/>
      <c r="Q17" s="2932"/>
      <c r="R17" s="2932"/>
      <c r="S17" s="2932"/>
      <c r="T17" s="2932"/>
      <c r="U17" s="2932"/>
      <c r="V17" s="2932"/>
    </row>
    <row r="18" ht="24.75" spans="1:22">
      <c r="A18" s="3403" t="s">
        <v>508</v>
      </c>
      <c r="B18" s="2041" t="s">
        <v>509</v>
      </c>
      <c r="C18" s="3404">
        <f>'数据-汇总表'!D3</f>
        <v>0</v>
      </c>
      <c r="D18" s="2066" t="s">
        <v>506</v>
      </c>
      <c r="E18" s="3405" t="s">
        <v>510</v>
      </c>
      <c r="F18" s="3406"/>
      <c r="G18" s="3406"/>
      <c r="H18" s="3406"/>
      <c r="I18" s="3478"/>
      <c r="J18" s="2932"/>
      <c r="K18" s="3477"/>
      <c r="L18" s="3473"/>
      <c r="M18" s="3473"/>
      <c r="N18" s="2933"/>
      <c r="O18" s="3473"/>
      <c r="P18" s="2933"/>
      <c r="Q18" s="2932"/>
      <c r="R18" s="2932"/>
      <c r="S18" s="2932"/>
      <c r="T18" s="2932"/>
      <c r="U18" s="2932"/>
      <c r="V18" s="2932"/>
    </row>
    <row r="19" ht="37.5" spans="1:22">
      <c r="A19" s="2083" t="s">
        <v>511</v>
      </c>
      <c r="B19" s="2022" t="s">
        <v>512</v>
      </c>
      <c r="C19" s="3407"/>
      <c r="D19" s="3408" t="s">
        <v>513</v>
      </c>
      <c r="E19" s="3409"/>
      <c r="F19" s="3410" t="str">
        <f>IF(AND(C19="是",E19="否"),"是否提供他项权证或相关说明","")</f>
        <v/>
      </c>
      <c r="G19" s="3411"/>
      <c r="H19" s="3054"/>
      <c r="I19" s="3054"/>
      <c r="J19" s="2932"/>
      <c r="K19" s="3464"/>
      <c r="L19" s="3462"/>
      <c r="M19" s="3462"/>
      <c r="N19" s="2933"/>
      <c r="O19" s="3473"/>
      <c r="P19" s="2933"/>
      <c r="Q19" s="2932"/>
      <c r="R19" s="2932"/>
      <c r="S19" s="2932"/>
      <c r="T19" s="2932"/>
      <c r="U19" s="2932"/>
      <c r="V19" s="2932"/>
    </row>
    <row r="20" spans="1:28">
      <c r="A20" s="3412" t="s">
        <v>514</v>
      </c>
      <c r="B20" s="3413" t="s">
        <v>515</v>
      </c>
      <c r="C20" s="3414"/>
      <c r="D20" s="3415" t="s">
        <v>516</v>
      </c>
      <c r="E20" s="3416"/>
      <c r="F20" s="3417" t="s">
        <v>517</v>
      </c>
      <c r="G20" s="3054"/>
      <c r="H20" s="3054"/>
      <c r="I20" s="3054"/>
      <c r="J20" s="2932"/>
      <c r="K20" s="3260" t="s">
        <v>518</v>
      </c>
      <c r="L20" s="2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8"/>
      <c r="X20" s="2948"/>
      <c r="Y20" s="2948"/>
      <c r="Z20" s="2948"/>
      <c r="AA20" s="2948"/>
      <c r="AB20" s="2948"/>
    </row>
    <row r="21" ht="24.75" spans="1:28">
      <c r="A21" s="3412"/>
      <c r="B21" s="3418" t="s">
        <v>519</v>
      </c>
      <c r="C21" s="3419" t="s">
        <v>520</v>
      </c>
      <c r="D21" s="3420" t="s">
        <v>521</v>
      </c>
      <c r="E21" s="3421" t="s">
        <v>520</v>
      </c>
      <c r="F21" s="3422"/>
      <c r="G21" s="3054"/>
      <c r="H21" s="3054"/>
      <c r="I21" s="3054"/>
      <c r="J21" s="2932"/>
      <c r="K21" s="3260"/>
      <c r="L21" s="2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8"/>
      <c r="X21" s="2948"/>
      <c r="Y21" s="2948"/>
      <c r="Z21" s="2948"/>
      <c r="AA21" s="2948"/>
      <c r="AB21" s="2948"/>
    </row>
    <row r="22" ht="24.75" spans="1:28">
      <c r="A22" s="3412"/>
      <c r="B22" s="3423" t="s">
        <v>522</v>
      </c>
      <c r="C22" s="3419" t="s">
        <v>523</v>
      </c>
      <c r="D22" s="3348"/>
      <c r="E22" s="3348"/>
      <c r="F22" s="3348"/>
      <c r="G22" s="3054"/>
      <c r="H22" s="3054"/>
      <c r="I22" s="3054"/>
      <c r="J22" s="2932"/>
      <c r="K22" s="3260"/>
      <c r="L22" s="2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8"/>
      <c r="X22" s="2948"/>
      <c r="Y22" s="2948"/>
      <c r="Z22" s="2948"/>
      <c r="AA22" s="2948"/>
      <c r="AB22" s="2948"/>
    </row>
    <row r="23" spans="1:22">
      <c r="A23" s="3424" t="s">
        <v>524</v>
      </c>
      <c r="B23" s="2923" t="s">
        <v>525</v>
      </c>
      <c r="C23" s="3425"/>
      <c r="D23" s="3426" t="s">
        <v>525</v>
      </c>
      <c r="E23" s="3427"/>
      <c r="F23" s="3348"/>
      <c r="G23" s="3054"/>
      <c r="H23" s="3054"/>
      <c r="I23" s="3054"/>
      <c r="J23" s="2932"/>
      <c r="K23" s="3481"/>
      <c r="L23" s="2182"/>
      <c r="M23" s="3462"/>
      <c r="N23" s="2933"/>
      <c r="O23" s="3473"/>
      <c r="P23" s="2933"/>
      <c r="Q23" s="2932"/>
      <c r="R23" s="2932"/>
      <c r="S23" s="2932"/>
      <c r="T23" s="2932"/>
      <c r="U23" s="2932"/>
      <c r="V23" s="2932"/>
    </row>
    <row r="24" spans="1:22">
      <c r="A24" s="3424"/>
      <c r="B24" s="2923" t="s">
        <v>526</v>
      </c>
      <c r="C24" s="3428"/>
      <c r="D24" s="3424" t="s">
        <v>526</v>
      </c>
      <c r="E24" s="3429"/>
      <c r="F24" s="3348"/>
      <c r="G24" s="3054"/>
      <c r="H24" s="3054"/>
      <c r="I24" s="3054"/>
      <c r="J24" s="2932"/>
      <c r="K24" s="3481"/>
      <c r="L24" s="2182"/>
      <c r="M24" s="3462"/>
      <c r="N24" s="2933"/>
      <c r="O24" s="3473"/>
      <c r="P24" s="2933"/>
      <c r="Q24" s="2932"/>
      <c r="R24" s="2932"/>
      <c r="S24" s="2932"/>
      <c r="T24" s="2932"/>
      <c r="U24" s="2932"/>
      <c r="V24" s="2932"/>
    </row>
    <row r="25" spans="1:22">
      <c r="A25" s="3424"/>
      <c r="B25" s="2923" t="s">
        <v>527</v>
      </c>
      <c r="C25" s="3428"/>
      <c r="D25" s="3424" t="s">
        <v>527</v>
      </c>
      <c r="E25" s="3429"/>
      <c r="F25" s="3348"/>
      <c r="G25" s="3054"/>
      <c r="H25" s="3054"/>
      <c r="I25" s="3054"/>
      <c r="J25" s="2932"/>
      <c r="K25" s="3464"/>
      <c r="L25" s="3462"/>
      <c r="M25" s="3462"/>
      <c r="N25" s="2933"/>
      <c r="O25" s="3473"/>
      <c r="P25" s="2933"/>
      <c r="Q25" s="2932"/>
      <c r="R25" s="2932"/>
      <c r="S25" s="2932"/>
      <c r="T25" s="2932"/>
      <c r="U25" s="2932"/>
      <c r="V25" s="2932"/>
    </row>
    <row r="26" ht="13.5" spans="1:22">
      <c r="A26" s="3430"/>
      <c r="B26" s="3431" t="s">
        <v>528</v>
      </c>
      <c r="C26" s="3432"/>
      <c r="D26" s="3430" t="s">
        <v>528</v>
      </c>
      <c r="E26" s="3433"/>
      <c r="F26" s="3374"/>
      <c r="G26" s="3374"/>
      <c r="H26" s="3374"/>
      <c r="I26" s="3374"/>
      <c r="J26" s="2932"/>
      <c r="K26" s="3464"/>
      <c r="L26" s="3462"/>
      <c r="M26" s="3462"/>
      <c r="N26" s="2933"/>
      <c r="O26" s="3473"/>
      <c r="P26" s="2933"/>
      <c r="Q26" s="2932"/>
      <c r="R26" s="2932"/>
      <c r="S26" s="2932"/>
      <c r="T26" s="2932"/>
      <c r="U26" s="2932"/>
      <c r="V26" s="2932"/>
    </row>
    <row r="27" ht="13.5" spans="1:22">
      <c r="A27" s="2046" t="s">
        <v>529</v>
      </c>
      <c r="B27" s="2053" t="s">
        <v>530</v>
      </c>
      <c r="C27" s="3434"/>
      <c r="D27" s="3435"/>
      <c r="E27" s="3054"/>
      <c r="F27" s="3054"/>
      <c r="G27" s="3054"/>
      <c r="H27" s="3054"/>
      <c r="I27" s="3054"/>
      <c r="J27" s="2932"/>
      <c r="K27" s="3475"/>
      <c r="L27" s="3473"/>
      <c r="M27" s="3473"/>
      <c r="N27" s="2933"/>
      <c r="O27" s="3473"/>
      <c r="P27" s="2933"/>
      <c r="Q27" s="2932"/>
      <c r="R27" s="2932"/>
      <c r="S27" s="2932"/>
      <c r="T27" s="2932"/>
      <c r="U27" s="2932"/>
      <c r="V27" s="2932"/>
    </row>
    <row r="28" spans="1:22">
      <c r="A28" s="2046"/>
      <c r="B28" s="2017" t="s">
        <v>531</v>
      </c>
      <c r="C28" s="3436"/>
      <c r="D28" s="3437"/>
      <c r="E28" s="3054"/>
      <c r="F28" s="3054"/>
      <c r="G28" s="3054"/>
      <c r="H28" s="3054"/>
      <c r="I28" s="3054"/>
      <c r="J28" s="2932"/>
      <c r="K28" s="3464"/>
      <c r="L28" s="3462"/>
      <c r="M28" s="3462"/>
      <c r="N28" s="2932"/>
      <c r="O28" s="3463"/>
      <c r="P28" s="2932"/>
      <c r="Q28" s="2932"/>
      <c r="R28" s="2932"/>
      <c r="S28" s="2932"/>
      <c r="T28" s="2932"/>
      <c r="U28" s="2932"/>
      <c r="V28" s="2932"/>
    </row>
    <row r="29" spans="1:22">
      <c r="A29" s="2046"/>
      <c r="B29" s="2017" t="s">
        <v>532</v>
      </c>
      <c r="C29" s="3438"/>
      <c r="D29" s="3439"/>
      <c r="E29" s="3054"/>
      <c r="F29" s="3054"/>
      <c r="G29" s="3054"/>
      <c r="H29" s="3054"/>
      <c r="I29" s="3054"/>
      <c r="J29" s="2932"/>
      <c r="K29" s="3464"/>
      <c r="L29" s="3462"/>
      <c r="M29" s="3462"/>
      <c r="N29" s="2932"/>
      <c r="O29" s="3463"/>
      <c r="P29" s="2932"/>
      <c r="Q29" s="2932"/>
      <c r="R29" s="2932"/>
      <c r="S29" s="2932"/>
      <c r="T29" s="2932"/>
      <c r="U29" s="2932"/>
      <c r="V29" s="2932"/>
    </row>
    <row r="30" spans="1:22">
      <c r="A30" s="2053"/>
      <c r="B30" s="2017" t="s">
        <v>533</v>
      </c>
      <c r="C30" s="3440"/>
      <c r="D30" s="3441"/>
      <c r="E30" s="3054"/>
      <c r="F30" s="3054"/>
      <c r="G30" s="3054"/>
      <c r="H30" s="3054"/>
      <c r="I30" s="3054"/>
      <c r="J30" s="2932"/>
      <c r="K30" s="3464"/>
      <c r="L30" s="3462"/>
      <c r="M30" s="3462"/>
      <c r="N30" s="2932"/>
      <c r="O30" s="3463"/>
      <c r="P30" s="2932"/>
      <c r="Q30" s="2932"/>
      <c r="R30" s="2932"/>
      <c r="S30" s="2932"/>
      <c r="T30" s="2932"/>
      <c r="U30" s="2932"/>
      <c r="V30" s="2932"/>
    </row>
    <row r="31" spans="1:22">
      <c r="A31" s="3442" t="s">
        <v>534</v>
      </c>
      <c r="B31" s="3443"/>
      <c r="C31" s="2173" t="str">
        <f>IF(B31="现房","成新及维护状况正常否",IF(B31="在建","工程状态是否正常",IF(B31="土地","是否闲置","-")))</f>
        <v>-</v>
      </c>
      <c r="D31" s="2389"/>
      <c r="E31" s="3444"/>
      <c r="F31" s="3054"/>
      <c r="G31" s="3054"/>
      <c r="H31" s="3054"/>
      <c r="I31" s="3054"/>
      <c r="J31" s="2932"/>
      <c r="K31" s="3461"/>
      <c r="L31" s="3462"/>
      <c r="M31" s="3462"/>
      <c r="N31" s="2932"/>
      <c r="O31" s="3463"/>
      <c r="P31" s="2932"/>
      <c r="Q31" s="2932"/>
      <c r="R31" s="2932"/>
      <c r="S31" s="2932"/>
      <c r="T31" s="2932"/>
      <c r="U31" s="2932"/>
      <c r="V31" s="2932"/>
    </row>
    <row r="32" spans="1:22">
      <c r="A32" s="2634"/>
      <c r="B32" s="3443"/>
      <c r="C32" s="2173" t="str">
        <f>IF(B32="现房","成新及维护状况是否正常",IF(B32="在建","工程状态是否正常",IF(B32="土地","是否闲置","-")))</f>
        <v>-</v>
      </c>
      <c r="D32" s="2389"/>
      <c r="E32" s="3444"/>
      <c r="F32" s="3054"/>
      <c r="G32" s="3054"/>
      <c r="H32" s="3054"/>
      <c r="I32" s="3054"/>
      <c r="J32" s="2932"/>
      <c r="K32" s="3464"/>
      <c r="L32" s="3462"/>
      <c r="M32" s="3462"/>
      <c r="N32" s="2932"/>
      <c r="O32" s="3463"/>
      <c r="P32" s="2932"/>
      <c r="Q32" s="2932"/>
      <c r="R32" s="2932"/>
      <c r="S32" s="2932"/>
      <c r="T32" s="2932"/>
      <c r="U32" s="2932"/>
      <c r="V32" s="2932"/>
    </row>
    <row r="33" spans="1:22">
      <c r="A33" s="2634"/>
      <c r="B33" s="3445"/>
      <c r="C33" s="2633" t="str">
        <f>IF(B33="现房","成新及维护状况是否正常",IF(B33="在建","工程状态是否正常",IF(B33="土地","是否闲置","-")))</f>
        <v>-</v>
      </c>
      <c r="D33" s="2028"/>
      <c r="E33" s="3446"/>
      <c r="F33" s="3054"/>
      <c r="G33" s="3054"/>
      <c r="H33" s="3054"/>
      <c r="I33" s="3054"/>
      <c r="J33" s="2932"/>
      <c r="K33" s="3464"/>
      <c r="L33" s="3462"/>
      <c r="M33" s="3462"/>
      <c r="N33" s="2932"/>
      <c r="O33" s="3463"/>
      <c r="P33" s="2932"/>
      <c r="Q33" s="2932"/>
      <c r="R33" s="2932"/>
      <c r="S33" s="2932"/>
      <c r="T33" s="2932"/>
      <c r="U33" s="2932"/>
      <c r="V33" s="2932"/>
    </row>
    <row r="34" spans="1:22">
      <c r="A34" s="2017" t="s">
        <v>535</v>
      </c>
      <c r="B34" s="625"/>
      <c r="C34" s="625"/>
      <c r="D34" s="625"/>
      <c r="E34" s="625"/>
      <c r="F34" s="625"/>
      <c r="G34" s="625"/>
      <c r="H34" s="625"/>
      <c r="I34" s="3054"/>
      <c r="J34" s="2932"/>
      <c r="K34" s="1068">
        <f>COUNTIF(B34:H34,"——")</f>
        <v>0</v>
      </c>
      <c r="L34" s="2060" t="s">
        <v>536</v>
      </c>
      <c r="M34" s="2060" t="s">
        <v>537</v>
      </c>
      <c r="N34" s="2060" t="s">
        <v>538</v>
      </c>
      <c r="O34" s="2060" t="s">
        <v>539</v>
      </c>
      <c r="P34" s="2060" t="s">
        <v>540</v>
      </c>
      <c r="Q34" s="2060" t="s">
        <v>541</v>
      </c>
      <c r="R34" s="2060" t="s">
        <v>542</v>
      </c>
      <c r="S34" s="1068" t="s">
        <v>543</v>
      </c>
      <c r="T34" s="2060" t="str">
        <f>NUMBERSTRING(7-K34,1)&amp;"通"</f>
        <v>七通</v>
      </c>
      <c r="U34" s="2932"/>
      <c r="V34" s="2932"/>
    </row>
    <row r="35" spans="1:22">
      <c r="A35" s="3447"/>
      <c r="B35" s="1126" t="s">
        <v>544</v>
      </c>
      <c r="C35" s="1126"/>
      <c r="D35" s="1126"/>
      <c r="E35" s="1126"/>
      <c r="F35" s="1126">
        <f>C10</f>
        <v>0</v>
      </c>
      <c r="G35" s="3054"/>
      <c r="H35" s="3054"/>
      <c r="I35" s="3054"/>
      <c r="J35" s="2932"/>
      <c r="K35" s="2060"/>
      <c r="L35" s="2060">
        <f>B34</f>
        <v>0</v>
      </c>
      <c r="M35" s="2062" t="str">
        <f>B34&amp;"、"&amp;C34</f>
        <v>、</v>
      </c>
      <c r="N35" s="2062" t="str">
        <f>B34&amp;"、"&amp;C34&amp;"、"&amp;D34</f>
        <v>、、</v>
      </c>
      <c r="O35" s="2062" t="str">
        <f>B34&amp;"、"&amp;C34&amp;"、"&amp;D34&amp;"、"&amp;E34</f>
        <v>、、、</v>
      </c>
      <c r="P35" s="2062" t="str">
        <f>B34&amp;"、"&amp;C34&amp;"、"&amp;D34&amp;"、"&amp;E34&amp;"、"&amp;F34</f>
        <v>、、、、</v>
      </c>
      <c r="Q35" s="2062" t="str">
        <f>B34&amp;"、"&amp;C34&amp;"、"&amp;D34&amp;"、"&amp;E34&amp;"、"&amp;F34&amp;"、"&amp;G34</f>
        <v>、、、、、</v>
      </c>
      <c r="R35" s="2062" t="str">
        <f>B34&amp;"、"&amp;C34&amp;"、"&amp;D34&amp;"、"&amp;E34&amp;"、"&amp;F34&amp;"、"&amp;G34&amp;"、"&amp;H34</f>
        <v>、、、、、、</v>
      </c>
      <c r="S35" s="1068"/>
      <c r="T35" s="2062" t="str">
        <f>IF(T34="一通",L35,IF(T34="二通",M35,IF(T34="三通",N35,IF(T34="四通",O35,IF(T34="五通",P35,IF(T34="六通",Q35,R35))))))</f>
        <v>、、、、、、</v>
      </c>
      <c r="U35" s="2932"/>
      <c r="V35" s="2932"/>
    </row>
    <row r="36" spans="1:22">
      <c r="A36" s="3448"/>
      <c r="B36" s="1126" t="s">
        <v>493</v>
      </c>
      <c r="C36" s="1126" t="s">
        <v>494</v>
      </c>
      <c r="D36" s="1126" t="s">
        <v>492</v>
      </c>
      <c r="E36" s="1126" t="s">
        <v>497</v>
      </c>
      <c r="F36" s="3449" t="s">
        <v>231</v>
      </c>
      <c r="G36" s="3054"/>
      <c r="H36" s="3054"/>
      <c r="I36" s="3054"/>
      <c r="J36" s="2932"/>
      <c r="K36" s="3464"/>
      <c r="L36" s="3462"/>
      <c r="M36" s="3462"/>
      <c r="N36" s="2932"/>
      <c r="O36" s="3463"/>
      <c r="P36" s="2932"/>
      <c r="Q36" s="2932"/>
      <c r="R36" s="2932"/>
      <c r="S36" s="2932"/>
      <c r="T36" s="2932"/>
      <c r="U36" s="2932"/>
      <c r="V36" s="2932"/>
    </row>
    <row r="37" spans="1:22">
      <c r="A37" s="3450" t="s">
        <v>545</v>
      </c>
      <c r="B37" s="3451"/>
      <c r="C37" s="3451"/>
      <c r="D37" s="3451"/>
      <c r="E37" s="3451"/>
      <c r="F37" s="3451"/>
      <c r="G37" s="3054"/>
      <c r="H37" s="3054"/>
      <c r="I37" s="3054"/>
      <c r="J37" s="2932"/>
      <c r="K37" s="3464"/>
      <c r="L37" s="3462"/>
      <c r="M37" s="3462"/>
      <c r="N37" s="2932"/>
      <c r="O37" s="3463"/>
      <c r="P37" s="2932"/>
      <c r="Q37" s="2932"/>
      <c r="R37" s="2932"/>
      <c r="S37" s="2932"/>
      <c r="T37" s="2932"/>
      <c r="U37" s="2932"/>
      <c r="V37" s="2932"/>
    </row>
    <row r="38" ht="13.5" spans="1:22">
      <c r="A38" s="3452" t="s">
        <v>546</v>
      </c>
      <c r="B38" s="3453"/>
      <c r="C38" s="3453"/>
      <c r="D38" s="3453"/>
      <c r="E38" s="3453"/>
      <c r="F38" s="3453"/>
      <c r="G38" s="3374"/>
      <c r="H38" s="3374"/>
      <c r="I38" s="3374"/>
      <c r="J38" s="2932"/>
      <c r="K38" s="3464"/>
      <c r="L38" s="3462"/>
      <c r="M38" s="3462"/>
      <c r="N38" s="2932"/>
      <c r="O38" s="3463"/>
      <c r="P38" s="2932"/>
      <c r="Q38" s="2932"/>
      <c r="R38" s="2932"/>
      <c r="S38" s="2932"/>
      <c r="T38" s="2932"/>
      <c r="U38" s="2932"/>
      <c r="V38" s="2932"/>
    </row>
    <row r="39" s="3337" customFormat="1" ht="14.25" spans="1:30">
      <c r="A39" s="3454" t="s">
        <v>547</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9"/>
      <c r="J40" s="2933"/>
      <c r="K40" s="3461"/>
      <c r="L40" s="3473"/>
      <c r="M40" s="3473"/>
      <c r="N40" s="2933"/>
      <c r="O40" s="3473"/>
      <c r="P40" s="2932"/>
      <c r="Q40" s="2932"/>
      <c r="R40" s="2932"/>
      <c r="S40" s="2932"/>
      <c r="T40" s="2932"/>
      <c r="U40" s="2932"/>
      <c r="V40" s="2932"/>
    </row>
    <row r="41" spans="1:22">
      <c r="A41" s="3456" t="s">
        <v>548</v>
      </c>
      <c r="B41" s="2524"/>
      <c r="C41" s="2389"/>
      <c r="D41" s="3386"/>
      <c r="E41" s="3386"/>
      <c r="F41" s="3386"/>
      <c r="G41" s="3386"/>
      <c r="H41" s="3386"/>
      <c r="I41" s="3249"/>
      <c r="J41" s="2932"/>
      <c r="K41" s="3464"/>
      <c r="L41" s="3462"/>
      <c r="M41" s="3462"/>
      <c r="N41" s="2932"/>
      <c r="O41" s="3463"/>
      <c r="P41" s="2932"/>
      <c r="Q41" s="2932"/>
      <c r="R41" s="2932"/>
      <c r="S41" s="2932"/>
      <c r="T41" s="2932"/>
      <c r="U41" s="2932"/>
      <c r="V41" s="2932"/>
    </row>
    <row r="42" ht="24.75" spans="1:22">
      <c r="A42" s="2060" t="s">
        <v>549</v>
      </c>
      <c r="B42" s="1068" t="s">
        <v>550</v>
      </c>
      <c r="C42" s="1068" t="s">
        <v>551</v>
      </c>
      <c r="D42" s="1068" t="s">
        <v>552</v>
      </c>
      <c r="E42" s="1068" t="s">
        <v>553</v>
      </c>
      <c r="F42" s="1068" t="s">
        <v>554</v>
      </c>
      <c r="G42" s="1068" t="s">
        <v>555</v>
      </c>
      <c r="H42" s="1068" t="s">
        <v>556</v>
      </c>
      <c r="I42" s="1068" t="s">
        <v>557</v>
      </c>
      <c r="J42" s="3485" t="s">
        <v>558</v>
      </c>
      <c r="K42" s="3486" t="s">
        <v>559</v>
      </c>
      <c r="L42" s="3486" t="s">
        <v>560</v>
      </c>
      <c r="M42" s="3486" t="s">
        <v>561</v>
      </c>
      <c r="N42" s="3487" t="s">
        <v>562</v>
      </c>
      <c r="O42" s="3487" t="s">
        <v>563</v>
      </c>
      <c r="P42" s="3487" t="s">
        <v>564</v>
      </c>
      <c r="Q42" s="3492" t="s">
        <v>565</v>
      </c>
      <c r="R42" s="3492" t="s">
        <v>566</v>
      </c>
      <c r="S42" s="2932"/>
      <c r="T42" s="2932"/>
      <c r="U42" s="2932"/>
      <c r="V42" s="293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2"/>
      <c r="T43" s="2932"/>
      <c r="U43" s="2932"/>
      <c r="V43" s="293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2"/>
      <c r="T44" s="2932"/>
      <c r="U44" s="2932"/>
      <c r="V44" s="293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2"/>
      <c r="T45" s="2932"/>
      <c r="U45" s="2932"/>
      <c r="V45" s="293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2"/>
      <c r="T46" s="2932"/>
      <c r="U46" s="2932"/>
      <c r="V46" s="293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2"/>
      <c r="T47" s="2932"/>
      <c r="U47" s="2932"/>
      <c r="V47" s="293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2"/>
      <c r="T48" s="2932"/>
      <c r="U48" s="2932"/>
      <c r="V48" s="293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2"/>
      <c r="T49" s="2932"/>
      <c r="U49" s="2932"/>
      <c r="V49" s="293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2"/>
      <c r="T50" s="2932"/>
      <c r="U50" s="2932"/>
      <c r="V50" s="293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4" sqref="L3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567</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568</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68" t="s">
        <v>509</v>
      </c>
      <c r="B2" s="1068" t="s">
        <v>505</v>
      </c>
      <c r="C2" s="1068" t="s">
        <v>569</v>
      </c>
      <c r="D2" s="3249"/>
      <c r="E2" s="2607"/>
      <c r="F2" s="265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570</v>
      </c>
      <c r="AZ2" s="3311" t="s">
        <v>571</v>
      </c>
      <c r="BA2" s="1068" t="s">
        <v>572</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373.87</v>
      </c>
      <c r="C3" s="3252" t="s">
        <v>573</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73" t="s">
        <v>574</v>
      </c>
      <c r="B5" s="2520"/>
      <c r="C5" s="2520"/>
      <c r="D5" s="2673"/>
      <c r="E5" s="3256" t="s">
        <v>124</v>
      </c>
      <c r="F5" s="3256">
        <f>SUM(F13:F587)</f>
        <v>0</v>
      </c>
      <c r="G5" s="3256">
        <f>SUM(G13:G587)</f>
        <v>373.87</v>
      </c>
      <c r="H5" s="3256">
        <f t="shared" ref="H5:AT5" si="0">SUM(H13:H656)</f>
        <v>373.87</v>
      </c>
      <c r="I5" s="3256">
        <f t="shared" si="0"/>
        <v>280.4</v>
      </c>
      <c r="J5" s="3256">
        <f t="shared" si="0"/>
        <v>0</v>
      </c>
      <c r="K5" s="3256">
        <f t="shared" si="0"/>
        <v>93.47</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173" t="s">
        <v>574</v>
      </c>
      <c r="AW5" s="2520"/>
      <c r="AX5" s="2520"/>
      <c r="AY5" s="3315" t="s">
        <v>124</v>
      </c>
      <c r="AZ5" s="3316">
        <f t="shared" ref="AZ5:BT5" si="1">SUM(AZ13:AZ656)</f>
        <v>373.87</v>
      </c>
      <c r="BA5" s="3316">
        <f t="shared" si="1"/>
        <v>373.87</v>
      </c>
      <c r="BB5" s="3316">
        <f t="shared" si="1"/>
        <v>280.4</v>
      </c>
      <c r="BC5" s="3316">
        <f t="shared" si="1"/>
        <v>93.47</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73" t="s">
        <v>575</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73" t="s">
        <v>575</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576</v>
      </c>
      <c r="B7" s="3260" t="s">
        <v>577</v>
      </c>
      <c r="C7" s="3260" t="s">
        <v>550</v>
      </c>
      <c r="D7" s="3260" t="s">
        <v>578</v>
      </c>
      <c r="E7" s="3260" t="s">
        <v>575</v>
      </c>
      <c r="F7" s="3260" t="s">
        <v>579</v>
      </c>
      <c r="G7" s="2633" t="s">
        <v>580</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3"/>
      <c r="AU7" s="3261" t="s">
        <v>581</v>
      </c>
      <c r="AV7" s="3302" t="s">
        <v>576</v>
      </c>
      <c r="AW7" s="2659" t="s">
        <v>577</v>
      </c>
      <c r="AX7" s="3302" t="s">
        <v>550</v>
      </c>
      <c r="AY7" s="2520" t="s">
        <v>582</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1" customFormat="1" ht="24" spans="1:72">
      <c r="A8" s="3262"/>
      <c r="B8" s="3262"/>
      <c r="C8" s="3262"/>
      <c r="D8" s="3262"/>
      <c r="E8" s="3262"/>
      <c r="F8" s="3262"/>
      <c r="G8" s="3263" t="s">
        <v>583</v>
      </c>
      <c r="H8" s="3264" t="s">
        <v>584</v>
      </c>
      <c r="I8" s="3282"/>
      <c r="J8" s="1067"/>
      <c r="K8" s="1067"/>
      <c r="L8" s="1067"/>
      <c r="M8" s="1067"/>
      <c r="N8" s="1067"/>
      <c r="O8" s="1067"/>
      <c r="P8" s="1067"/>
      <c r="Q8" s="1067"/>
      <c r="R8" s="1067"/>
      <c r="S8" s="1067"/>
      <c r="T8" s="1067"/>
      <c r="U8" s="1067"/>
      <c r="V8" s="3289"/>
      <c r="W8" s="1067"/>
      <c r="X8" s="1067"/>
      <c r="Y8" s="1067"/>
      <c r="Z8" s="1067"/>
      <c r="AA8" s="3289"/>
      <c r="AB8" s="3291"/>
      <c r="AC8" s="2438" t="s">
        <v>585</v>
      </c>
      <c r="AD8" s="3292"/>
      <c r="AE8" s="3293"/>
      <c r="AF8" s="1067"/>
      <c r="AG8" s="1067"/>
      <c r="AH8" s="1067"/>
      <c r="AI8" s="1067"/>
      <c r="AJ8" s="1067"/>
      <c r="AK8" s="1067"/>
      <c r="AL8" s="1067"/>
      <c r="AM8" s="1067"/>
      <c r="AN8" s="1067"/>
      <c r="AO8" s="1067"/>
      <c r="AP8" s="1067"/>
      <c r="AQ8" s="1067"/>
      <c r="AR8" s="1067"/>
      <c r="AS8" s="1067"/>
      <c r="AT8" s="2009" t="s">
        <v>586</v>
      </c>
      <c r="AU8" s="3262" t="s">
        <v>587</v>
      </c>
      <c r="AV8" s="2009"/>
      <c r="AW8" s="2607"/>
      <c r="AX8" s="2009"/>
      <c r="AY8" s="2659"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058"/>
    </row>
    <row r="9" s="2951" customFormat="1" ht="12.75" spans="1:72">
      <c r="A9" s="3262"/>
      <c r="B9" s="3262"/>
      <c r="C9" s="3262"/>
      <c r="D9" s="3262"/>
      <c r="E9" s="3262"/>
      <c r="F9" s="3262"/>
      <c r="G9" s="2009"/>
      <c r="H9" s="3265" t="s">
        <v>588</v>
      </c>
      <c r="I9" s="3283" t="s">
        <v>467</v>
      </c>
      <c r="J9" s="2438"/>
      <c r="K9" s="3283" t="s">
        <v>468</v>
      </c>
      <c r="L9" s="2438"/>
      <c r="M9" s="3283"/>
      <c r="N9" s="2438"/>
      <c r="O9" s="3283"/>
      <c r="P9" s="2438"/>
      <c r="Q9" s="3283"/>
      <c r="R9" s="2438"/>
      <c r="S9" s="3283"/>
      <c r="T9" s="2438"/>
      <c r="U9" s="3283"/>
      <c r="V9" s="2438"/>
      <c r="W9" s="3283"/>
      <c r="X9" s="3290"/>
      <c r="Y9" s="3283"/>
      <c r="Z9" s="2438"/>
      <c r="AA9" s="3283"/>
      <c r="AB9" s="2438"/>
      <c r="AC9" s="3263" t="s">
        <v>588</v>
      </c>
      <c r="AD9" s="2173" t="s">
        <v>589</v>
      </c>
      <c r="AE9" s="2023"/>
      <c r="AF9" s="2173" t="s">
        <v>590</v>
      </c>
      <c r="AG9" s="2023"/>
      <c r="AH9" s="2173" t="s">
        <v>589</v>
      </c>
      <c r="AI9" s="2023"/>
      <c r="AJ9" s="2173" t="s">
        <v>590</v>
      </c>
      <c r="AK9" s="2023"/>
      <c r="AL9" s="2173" t="s">
        <v>589</v>
      </c>
      <c r="AM9" s="2023"/>
      <c r="AN9" s="2173" t="s">
        <v>590</v>
      </c>
      <c r="AO9" s="2023"/>
      <c r="AP9" s="2173" t="s">
        <v>589</v>
      </c>
      <c r="AQ9" s="2023"/>
      <c r="AR9" s="2173" t="s">
        <v>590</v>
      </c>
      <c r="AS9" s="3303"/>
      <c r="AT9" s="3262"/>
      <c r="AU9" s="3262" t="s">
        <v>591</v>
      </c>
      <c r="AV9" s="2009"/>
      <c r="AW9" s="2607"/>
      <c r="AX9" s="2009"/>
      <c r="AY9" s="3266"/>
      <c r="AZ9" s="3266" t="s">
        <v>583</v>
      </c>
      <c r="BA9" s="3318" t="s">
        <v>592</v>
      </c>
      <c r="BB9" s="3319"/>
      <c r="BC9" s="2070"/>
      <c r="BD9" s="2070"/>
      <c r="BE9" s="2070"/>
      <c r="BF9" s="2070"/>
      <c r="BG9" s="2070"/>
      <c r="BH9" s="2070"/>
      <c r="BI9" s="2070"/>
      <c r="BJ9" s="2070"/>
      <c r="BK9" s="3324"/>
      <c r="BL9" s="2173" t="s">
        <v>593</v>
      </c>
      <c r="BM9" s="1067"/>
      <c r="BN9" s="3282"/>
      <c r="BO9" s="1067"/>
      <c r="BP9" s="1067"/>
      <c r="BQ9" s="1067"/>
      <c r="BR9" s="1067"/>
      <c r="BS9" s="1067"/>
      <c r="BT9" s="2058"/>
    </row>
    <row r="10" s="2951" customFormat="1" ht="12.75" spans="1:72">
      <c r="A10" s="3262"/>
      <c r="B10" s="3262"/>
      <c r="C10" s="3262"/>
      <c r="D10" s="3262"/>
      <c r="E10" s="3262"/>
      <c r="F10" s="3262"/>
      <c r="G10" s="2009"/>
      <c r="H10" s="3266"/>
      <c r="I10" s="3283" t="s">
        <v>229</v>
      </c>
      <c r="J10" s="2438"/>
      <c r="K10" s="3284" t="s">
        <v>229</v>
      </c>
      <c r="L10" s="2438"/>
      <c r="M10" s="3284"/>
      <c r="N10" s="2438"/>
      <c r="O10" s="3284"/>
      <c r="P10" s="2438"/>
      <c r="Q10" s="3284"/>
      <c r="R10" s="2438"/>
      <c r="S10" s="3284"/>
      <c r="T10" s="2438"/>
      <c r="U10" s="3284"/>
      <c r="V10" s="2438"/>
      <c r="W10" s="3284"/>
      <c r="X10" s="2438"/>
      <c r="Y10" s="3284"/>
      <c r="Z10" s="2438"/>
      <c r="AA10" s="3284"/>
      <c r="AB10" s="2438"/>
      <c r="AC10" s="2009"/>
      <c r="AD10" s="2173" t="s">
        <v>594</v>
      </c>
      <c r="AE10" s="3294"/>
      <c r="AF10" s="2173" t="s">
        <v>594</v>
      </c>
      <c r="AG10" s="3294"/>
      <c r="AH10" s="2173" t="s">
        <v>595</v>
      </c>
      <c r="AI10" s="3294"/>
      <c r="AJ10" s="2173" t="s">
        <v>595</v>
      </c>
      <c r="AK10" s="3294"/>
      <c r="AL10" s="2173" t="s">
        <v>596</v>
      </c>
      <c r="AM10" s="2023"/>
      <c r="AN10" s="2173" t="s">
        <v>596</v>
      </c>
      <c r="AO10" s="2023"/>
      <c r="AP10" s="2173" t="s">
        <v>597</v>
      </c>
      <c r="AQ10" s="2023"/>
      <c r="AR10" s="2173" t="s">
        <v>597</v>
      </c>
      <c r="AS10" s="2023"/>
      <c r="AT10" s="3262"/>
      <c r="AU10" s="3262"/>
      <c r="AV10" s="2009"/>
      <c r="AW10" s="2607"/>
      <c r="AX10" s="2009"/>
      <c r="AY10" s="3266"/>
      <c r="AZ10" s="3266"/>
      <c r="BA10" s="3267" t="s">
        <v>588</v>
      </c>
      <c r="BB10" s="3320" t="str">
        <f>I9</f>
        <v>地上</v>
      </c>
      <c r="BC10" s="2082" t="str">
        <f>K9</f>
        <v>地下</v>
      </c>
      <c r="BD10" s="2082">
        <f>M9</f>
        <v>0</v>
      </c>
      <c r="BE10" s="2082">
        <f>O9</f>
        <v>0</v>
      </c>
      <c r="BF10" s="2082">
        <f>Q9</f>
        <v>0</v>
      </c>
      <c r="BG10" s="2082">
        <f>S9</f>
        <v>0</v>
      </c>
      <c r="BH10" s="2082">
        <f>U9</f>
        <v>0</v>
      </c>
      <c r="BI10" s="2082">
        <f>W9</f>
        <v>0</v>
      </c>
      <c r="BJ10" s="2082">
        <f>Y9</f>
        <v>0</v>
      </c>
      <c r="BK10" s="2082">
        <f>AA9</f>
        <v>0</v>
      </c>
      <c r="BL10" s="2078" t="s">
        <v>588</v>
      </c>
      <c r="BM10" s="1066" t="str">
        <f>AD9</f>
        <v>地上</v>
      </c>
      <c r="BN10" s="2082" t="str">
        <f>AF9</f>
        <v>地下</v>
      </c>
      <c r="BO10" s="1066" t="str">
        <f>AH9</f>
        <v>地上</v>
      </c>
      <c r="BP10" s="2082" t="str">
        <f>AJ9</f>
        <v>地下</v>
      </c>
      <c r="BQ10" s="1066" t="str">
        <f>AL9</f>
        <v>地上</v>
      </c>
      <c r="BR10" s="2082" t="str">
        <f>AN9</f>
        <v>地下</v>
      </c>
      <c r="BS10" s="1066" t="str">
        <f>AP9</f>
        <v>地上</v>
      </c>
      <c r="BT10" s="3328" t="str">
        <f>AR9</f>
        <v>地下</v>
      </c>
    </row>
    <row r="11" s="2951" customFormat="1" ht="12.75" spans="1:72">
      <c r="A11" s="3262"/>
      <c r="B11" s="3262"/>
      <c r="C11" s="3262"/>
      <c r="D11" s="3262"/>
      <c r="E11" s="3262"/>
      <c r="F11" s="3262"/>
      <c r="G11" s="2009"/>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09"/>
      <c r="AD11" s="3295" t="s">
        <v>598</v>
      </c>
      <c r="AE11" s="1124"/>
      <c r="AF11" s="3295" t="s">
        <v>598</v>
      </c>
      <c r="AG11" s="1124"/>
      <c r="AH11" s="3295" t="s">
        <v>599</v>
      </c>
      <c r="AI11" s="3299"/>
      <c r="AJ11" s="3295" t="s">
        <v>599</v>
      </c>
      <c r="AK11" s="1124"/>
      <c r="AL11" s="1066"/>
      <c r="AM11" s="1124"/>
      <c r="AN11" s="1066"/>
      <c r="AO11" s="1124"/>
      <c r="AP11" s="1066"/>
      <c r="AQ11" s="1124"/>
      <c r="AR11" s="1066"/>
      <c r="AS11" s="1124"/>
      <c r="AT11" s="2607"/>
      <c r="AU11" s="3262"/>
      <c r="AV11" s="2009"/>
      <c r="AW11" s="2607"/>
      <c r="AX11" s="2009"/>
      <c r="AY11" s="3266"/>
      <c r="AZ11" s="3266"/>
      <c r="BA11" s="3266"/>
      <c r="BB11" s="3291" t="str">
        <f>I10</f>
        <v>商业</v>
      </c>
      <c r="BC11" s="3291" t="str">
        <f>K10</f>
        <v>商业</v>
      </c>
      <c r="BD11" s="3291">
        <f>M10</f>
        <v>0</v>
      </c>
      <c r="BE11" s="3291">
        <f>O10</f>
        <v>0</v>
      </c>
      <c r="BF11" s="3291">
        <f>Q10</f>
        <v>0</v>
      </c>
      <c r="BG11" s="3291">
        <f>S10</f>
        <v>0</v>
      </c>
      <c r="BH11" s="3291">
        <f>U10</f>
        <v>0</v>
      </c>
      <c r="BI11" s="3291">
        <f>W10</f>
        <v>0</v>
      </c>
      <c r="BJ11" s="3291">
        <f>Y10</f>
        <v>0</v>
      </c>
      <c r="BK11" s="3291">
        <f>AA10</f>
        <v>0</v>
      </c>
      <c r="BL11" s="2009"/>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078" t="str">
        <f>AP10</f>
        <v>未注明</v>
      </c>
      <c r="BT11" s="3329" t="str">
        <f>AR10</f>
        <v>未注明</v>
      </c>
    </row>
    <row r="12" s="3241" customFormat="1" ht="12.75" spans="1:72">
      <c r="A12" s="3268"/>
      <c r="B12" s="3268"/>
      <c r="C12" s="3268"/>
      <c r="D12" s="3268"/>
      <c r="E12" s="3268"/>
      <c r="F12" s="3268"/>
      <c r="G12" s="651"/>
      <c r="H12" s="3269"/>
      <c r="I12" s="2673"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9" t="s">
        <v>601</v>
      </c>
      <c r="W12" s="1068" t="s">
        <v>600</v>
      </c>
      <c r="X12" s="1068" t="s">
        <v>601</v>
      </c>
      <c r="Y12" s="1068" t="s">
        <v>600</v>
      </c>
      <c r="Z12" s="1068" t="s">
        <v>601</v>
      </c>
      <c r="AA12" s="1068" t="s">
        <v>600</v>
      </c>
      <c r="AB12" s="1068" t="s">
        <v>601</v>
      </c>
      <c r="AC12" s="3296"/>
      <c r="AD12" s="2673"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8" t="s">
        <v>601</v>
      </c>
      <c r="AT12" s="3304"/>
      <c r="AU12" s="3268"/>
      <c r="AV12" s="3305"/>
      <c r="AW12" s="2659"/>
      <c r="AX12" s="3305"/>
      <c r="AY12" s="3321"/>
      <c r="AZ12" s="3266"/>
      <c r="BA12" s="3267"/>
      <c r="BB12" s="1065">
        <f>I11</f>
        <v>0</v>
      </c>
      <c r="BC12" s="3322">
        <f>K11</f>
        <v>0</v>
      </c>
      <c r="BD12" s="3322">
        <f>M11</f>
        <v>0</v>
      </c>
      <c r="BE12" s="3291">
        <f>O11</f>
        <v>0</v>
      </c>
      <c r="BF12" s="3291">
        <f>Q11</f>
        <v>0</v>
      </c>
      <c r="BG12" s="3291">
        <f>S11</f>
        <v>0</v>
      </c>
      <c r="BH12" s="3291">
        <f>U11</f>
        <v>0</v>
      </c>
      <c r="BI12" s="3291">
        <f>W11</f>
        <v>0</v>
      </c>
      <c r="BJ12" s="3291">
        <f>Y11</f>
        <v>0</v>
      </c>
      <c r="BK12" s="3291">
        <f>AA11</f>
        <v>0</v>
      </c>
      <c r="BL12" s="2009"/>
      <c r="BM12" s="1066" t="str">
        <f>AD11</f>
        <v>（住宅）</v>
      </c>
      <c r="BN12" s="1066" t="str">
        <f>AF11</f>
        <v>（住宅）</v>
      </c>
      <c r="BO12" s="1065" t="str">
        <f>AH11</f>
        <v>（住宅、计出让金）</v>
      </c>
      <c r="BP12" s="1065" t="str">
        <f>AJ11</f>
        <v>（住宅、计出让金）</v>
      </c>
      <c r="BQ12" s="1065">
        <f>AL11</f>
        <v>0</v>
      </c>
      <c r="BR12" s="1065">
        <f>AN11</f>
        <v>0</v>
      </c>
      <c r="BS12" s="2078">
        <f>AP11</f>
        <v>0</v>
      </c>
      <c r="BT12" s="3329">
        <f>AR11</f>
        <v>0</v>
      </c>
    </row>
    <row r="13" s="3241" customFormat="1" ht="12.75" spans="1:72">
      <c r="A13" s="3270"/>
      <c r="B13" s="3270"/>
      <c r="C13" s="3270"/>
      <c r="D13" s="3271" t="s">
        <v>602</v>
      </c>
      <c r="E13" s="3256">
        <f>IF($C$3="是",ROUND($A$3*G13/$B$3,2),ROUND($A$3*(G13-AT13)/$B$3,2))</f>
        <v>0</v>
      </c>
      <c r="F13" s="3272"/>
      <c r="G13" s="3273">
        <f>H13+AC13+AT13</f>
        <v>373.87</v>
      </c>
      <c r="H13" s="3259">
        <f>SUMIF(I$12:AB$12,"总值",I13:AB13)</f>
        <v>373.87</v>
      </c>
      <c r="I13" s="3287">
        <f>售价!D6+售价!D7+售价!D8</f>
        <v>280.4</v>
      </c>
      <c r="J13" s="3287"/>
      <c r="K13" s="3287">
        <f>售价!D5</f>
        <v>93.47</v>
      </c>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68">
        <f t="shared" ref="AV13:AX17" si="6">A13</f>
        <v>0</v>
      </c>
      <c r="AW13" s="1068">
        <f t="shared" si="6"/>
        <v>0</v>
      </c>
      <c r="AX13" s="1068">
        <f t="shared" si="6"/>
        <v>0</v>
      </c>
      <c r="AY13" s="2673">
        <f>ROUND($AY$6*AZ13/$AZ$5,2)</f>
        <v>0</v>
      </c>
      <c r="AZ13" s="3256">
        <f>BA13+BL13</f>
        <v>373.87</v>
      </c>
      <c r="BA13" s="3256">
        <f>SUM(BB13:BK13)</f>
        <v>373.87</v>
      </c>
      <c r="BB13" s="3256">
        <f>IF($D13="是",I13-J13,0)</f>
        <v>280.4</v>
      </c>
      <c r="BC13" s="3256">
        <f>IF($D13="是",K13-L13,0)</f>
        <v>93.47</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68">
        <f t="shared" si="6"/>
        <v>0</v>
      </c>
      <c r="AW14" s="1068">
        <f t="shared" si="6"/>
        <v>0</v>
      </c>
      <c r="AX14" s="1068">
        <f t="shared" si="6"/>
        <v>0</v>
      </c>
      <c r="AY14" s="267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68">
        <f t="shared" si="6"/>
        <v>0</v>
      </c>
      <c r="AW15" s="1068">
        <f t="shared" si="6"/>
        <v>0</v>
      </c>
      <c r="AX15" s="1068">
        <f t="shared" si="6"/>
        <v>0</v>
      </c>
      <c r="AY15" s="267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68">
        <f t="shared" si="6"/>
        <v>0</v>
      </c>
      <c r="AW16" s="1068">
        <f t="shared" si="6"/>
        <v>0</v>
      </c>
      <c r="AX16" s="1068">
        <f t="shared" si="6"/>
        <v>0</v>
      </c>
      <c r="AY16" s="267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68">
        <f t="shared" si="6"/>
        <v>0</v>
      </c>
      <c r="AW17" s="1068">
        <f t="shared" si="6"/>
        <v>0</v>
      </c>
      <c r="AX17" s="1068">
        <f t="shared" si="6"/>
        <v>0</v>
      </c>
      <c r="AY17" s="267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78">
        <f t="shared" ref="AV18:AV112" si="11">A18</f>
        <v>0</v>
      </c>
      <c r="AW18" s="1378">
        <f t="shared" ref="AW18:AW112" si="12">B18</f>
        <v>0</v>
      </c>
      <c r="AX18" s="1378">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78">
        <f t="shared" si="11"/>
        <v>0</v>
      </c>
      <c r="AW19" s="1378">
        <f t="shared" si="12"/>
        <v>0</v>
      </c>
      <c r="AX19" s="1378">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78">
        <f t="shared" si="11"/>
        <v>0</v>
      </c>
      <c r="AW20" s="1378">
        <f t="shared" si="12"/>
        <v>0</v>
      </c>
      <c r="AX20" s="1378">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78">
        <f t="shared" si="11"/>
        <v>0</v>
      </c>
      <c r="AW21" s="1378">
        <f t="shared" si="12"/>
        <v>0</v>
      </c>
      <c r="AX21" s="1378">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78">
        <f t="shared" si="11"/>
        <v>0</v>
      </c>
      <c r="AW22" s="1378">
        <f t="shared" si="12"/>
        <v>0</v>
      </c>
      <c r="AX22" s="1378">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78">
        <f t="shared" si="11"/>
        <v>0</v>
      </c>
      <c r="AW23" s="1378">
        <f t="shared" si="12"/>
        <v>0</v>
      </c>
      <c r="AX23" s="1378">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78">
        <f t="shared" si="11"/>
        <v>0</v>
      </c>
      <c r="AW24" s="1378">
        <f t="shared" si="12"/>
        <v>0</v>
      </c>
      <c r="AX24" s="1378">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78">
        <f t="shared" si="11"/>
        <v>0</v>
      </c>
      <c r="AW25" s="1378">
        <f t="shared" si="12"/>
        <v>0</v>
      </c>
      <c r="AX25" s="1378">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78">
        <f t="shared" si="11"/>
        <v>0</v>
      </c>
      <c r="AW26" s="1378">
        <f t="shared" si="12"/>
        <v>0</v>
      </c>
      <c r="AX26" s="1378">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78">
        <f t="shared" si="11"/>
        <v>0</v>
      </c>
      <c r="AW27" s="1378">
        <f t="shared" si="12"/>
        <v>0</v>
      </c>
      <c r="AX27" s="1378">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78">
        <f t="shared" si="11"/>
        <v>0</v>
      </c>
      <c r="AW28" s="1378">
        <f t="shared" si="12"/>
        <v>0</v>
      </c>
      <c r="AX28" s="1378">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78">
        <f t="shared" si="11"/>
        <v>0</v>
      </c>
      <c r="AW29" s="1378">
        <f t="shared" si="12"/>
        <v>0</v>
      </c>
      <c r="AX29" s="1378">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78">
        <f t="shared" si="11"/>
        <v>0</v>
      </c>
      <c r="AW30" s="1378">
        <f t="shared" si="12"/>
        <v>0</v>
      </c>
      <c r="AX30" s="1378">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78">
        <f t="shared" si="11"/>
        <v>0</v>
      </c>
      <c r="AW31" s="1378">
        <f t="shared" si="12"/>
        <v>0</v>
      </c>
      <c r="AX31" s="1378">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78">
        <f t="shared" si="11"/>
        <v>0</v>
      </c>
      <c r="AW32" s="1378">
        <f t="shared" si="12"/>
        <v>0</v>
      </c>
      <c r="AX32" s="1378">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78">
        <f t="shared" si="11"/>
        <v>0</v>
      </c>
      <c r="AW33" s="1378">
        <f t="shared" si="12"/>
        <v>0</v>
      </c>
      <c r="AX33" s="1378">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78">
        <f t="shared" si="11"/>
        <v>0</v>
      </c>
      <c r="AW34" s="1378">
        <f t="shared" si="12"/>
        <v>0</v>
      </c>
      <c r="AX34" s="1378">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78">
        <f t="shared" si="11"/>
        <v>0</v>
      </c>
      <c r="AW35" s="1378">
        <f t="shared" si="12"/>
        <v>0</v>
      </c>
      <c r="AX35" s="1378">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78">
        <f t="shared" si="11"/>
        <v>0</v>
      </c>
      <c r="AW36" s="1378">
        <f t="shared" si="12"/>
        <v>0</v>
      </c>
      <c r="AX36" s="1378">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78">
        <f t="shared" si="11"/>
        <v>0</v>
      </c>
      <c r="AW37" s="1378">
        <f t="shared" si="12"/>
        <v>0</v>
      </c>
      <c r="AX37" s="1378">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78">
        <f t="shared" si="11"/>
        <v>0</v>
      </c>
      <c r="AW38" s="1378">
        <f t="shared" si="12"/>
        <v>0</v>
      </c>
      <c r="AX38" s="1378">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78">
        <f t="shared" si="11"/>
        <v>0</v>
      </c>
      <c r="AW39" s="1378">
        <f t="shared" si="12"/>
        <v>0</v>
      </c>
      <c r="AX39" s="1378">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78">
        <f t="shared" si="11"/>
        <v>0</v>
      </c>
      <c r="AW40" s="1378">
        <f t="shared" si="12"/>
        <v>0</v>
      </c>
      <c r="AX40" s="1378">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78">
        <f t="shared" si="11"/>
        <v>0</v>
      </c>
      <c r="AW41" s="1378">
        <f t="shared" si="12"/>
        <v>0</v>
      </c>
      <c r="AX41" s="1378">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78">
        <f t="shared" si="11"/>
        <v>0</v>
      </c>
      <c r="AW42" s="1378">
        <f t="shared" si="12"/>
        <v>0</v>
      </c>
      <c r="AX42" s="1378">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78">
        <f t="shared" si="11"/>
        <v>0</v>
      </c>
      <c r="AW43" s="1378">
        <f t="shared" si="12"/>
        <v>0</v>
      </c>
      <c r="AX43" s="1378">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78">
        <f t="shared" si="11"/>
        <v>0</v>
      </c>
      <c r="AW44" s="1378">
        <f t="shared" si="12"/>
        <v>0</v>
      </c>
      <c r="AX44" s="1378">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78">
        <f t="shared" si="11"/>
        <v>0</v>
      </c>
      <c r="AW45" s="1378">
        <f t="shared" si="12"/>
        <v>0</v>
      </c>
      <c r="AX45" s="1378">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78">
        <f t="shared" si="11"/>
        <v>0</v>
      </c>
      <c r="AW46" s="1378">
        <f t="shared" si="12"/>
        <v>0</v>
      </c>
      <c r="AX46" s="1378">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78">
        <f t="shared" si="11"/>
        <v>0</v>
      </c>
      <c r="AW47" s="1378">
        <f t="shared" si="12"/>
        <v>0</v>
      </c>
      <c r="AX47" s="1378">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78">
        <f t="shared" si="11"/>
        <v>0</v>
      </c>
      <c r="AW48" s="1378">
        <f t="shared" si="12"/>
        <v>0</v>
      </c>
      <c r="AX48" s="1378">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78">
        <f t="shared" si="11"/>
        <v>0</v>
      </c>
      <c r="AW49" s="1378">
        <f t="shared" si="12"/>
        <v>0</v>
      </c>
      <c r="AX49" s="1378">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78">
        <f t="shared" si="11"/>
        <v>0</v>
      </c>
      <c r="AW50" s="1378">
        <f t="shared" si="12"/>
        <v>0</v>
      </c>
      <c r="AX50" s="1378">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78">
        <f t="shared" si="11"/>
        <v>0</v>
      </c>
      <c r="AW51" s="1378">
        <f t="shared" si="12"/>
        <v>0</v>
      </c>
      <c r="AX51" s="1378">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78">
        <f t="shared" si="11"/>
        <v>0</v>
      </c>
      <c r="AW52" s="1378">
        <f t="shared" si="12"/>
        <v>0</v>
      </c>
      <c r="AX52" s="1378">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78">
        <f t="shared" si="11"/>
        <v>0</v>
      </c>
      <c r="AW53" s="1378">
        <f t="shared" si="12"/>
        <v>0</v>
      </c>
      <c r="AX53" s="1378">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78">
        <f t="shared" si="11"/>
        <v>0</v>
      </c>
      <c r="AW54" s="1378">
        <f t="shared" si="12"/>
        <v>0</v>
      </c>
      <c r="AX54" s="1378">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78">
        <f t="shared" si="11"/>
        <v>0</v>
      </c>
      <c r="AW55" s="1378">
        <f t="shared" si="12"/>
        <v>0</v>
      </c>
      <c r="AX55" s="1378">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78">
        <f t="shared" si="11"/>
        <v>0</v>
      </c>
      <c r="AW56" s="1378">
        <f t="shared" si="12"/>
        <v>0</v>
      </c>
      <c r="AX56" s="1378">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78">
        <f t="shared" si="11"/>
        <v>0</v>
      </c>
      <c r="AW57" s="1378">
        <f t="shared" si="12"/>
        <v>0</v>
      </c>
      <c r="AX57" s="1378">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78">
        <f t="shared" si="11"/>
        <v>0</v>
      </c>
      <c r="AW58" s="1378">
        <f t="shared" si="12"/>
        <v>0</v>
      </c>
      <c r="AX58" s="1378">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78">
        <f t="shared" si="11"/>
        <v>0</v>
      </c>
      <c r="AW59" s="1378">
        <f t="shared" si="12"/>
        <v>0</v>
      </c>
      <c r="AX59" s="1378">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78">
        <f t="shared" si="11"/>
        <v>0</v>
      </c>
      <c r="AW60" s="1378">
        <f t="shared" si="12"/>
        <v>0</v>
      </c>
      <c r="AX60" s="1378">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78">
        <f t="shared" si="11"/>
        <v>0</v>
      </c>
      <c r="AW61" s="1378">
        <f t="shared" si="12"/>
        <v>0</v>
      </c>
      <c r="AX61" s="1378">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78">
        <f t="shared" si="11"/>
        <v>0</v>
      </c>
      <c r="AW62" s="1378">
        <f t="shared" si="12"/>
        <v>0</v>
      </c>
      <c r="AX62" s="1378">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78">
        <f t="shared" si="11"/>
        <v>0</v>
      </c>
      <c r="AW63" s="1378">
        <f t="shared" si="12"/>
        <v>0</v>
      </c>
      <c r="AX63" s="1378">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78">
        <f t="shared" si="11"/>
        <v>0</v>
      </c>
      <c r="AW64" s="1378">
        <f t="shared" si="12"/>
        <v>0</v>
      </c>
      <c r="AX64" s="1378">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78">
        <f t="shared" si="11"/>
        <v>0</v>
      </c>
      <c r="AW65" s="1378">
        <f t="shared" si="12"/>
        <v>0</v>
      </c>
      <c r="AX65" s="1378">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78">
        <f t="shared" si="11"/>
        <v>0</v>
      </c>
      <c r="AW66" s="1378">
        <f t="shared" si="12"/>
        <v>0</v>
      </c>
      <c r="AX66" s="1378">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78">
        <f t="shared" si="11"/>
        <v>0</v>
      </c>
      <c r="AW67" s="1378">
        <f t="shared" si="12"/>
        <v>0</v>
      </c>
      <c r="AX67" s="1378">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78">
        <f t="shared" si="11"/>
        <v>0</v>
      </c>
      <c r="AW68" s="1378">
        <f t="shared" si="12"/>
        <v>0</v>
      </c>
      <c r="AX68" s="1378">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78">
        <f t="shared" si="11"/>
        <v>0</v>
      </c>
      <c r="AW69" s="1378">
        <f t="shared" si="12"/>
        <v>0</v>
      </c>
      <c r="AX69" s="1378">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78">
        <f t="shared" si="11"/>
        <v>0</v>
      </c>
      <c r="AW70" s="1378">
        <f t="shared" si="12"/>
        <v>0</v>
      </c>
      <c r="AX70" s="1378">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78">
        <f t="shared" si="11"/>
        <v>0</v>
      </c>
      <c r="AW71" s="1378">
        <f t="shared" si="12"/>
        <v>0</v>
      </c>
      <c r="AX71" s="1378">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78">
        <f t="shared" si="11"/>
        <v>0</v>
      </c>
      <c r="AW72" s="1378">
        <f t="shared" si="12"/>
        <v>0</v>
      </c>
      <c r="AX72" s="1378">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78">
        <f t="shared" si="11"/>
        <v>0</v>
      </c>
      <c r="AW73" s="1378">
        <f t="shared" si="12"/>
        <v>0</v>
      </c>
      <c r="AX73" s="1378">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78">
        <f t="shared" si="11"/>
        <v>0</v>
      </c>
      <c r="AW74" s="1378">
        <f t="shared" si="12"/>
        <v>0</v>
      </c>
      <c r="AX74" s="1378">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78">
        <f t="shared" si="11"/>
        <v>0</v>
      </c>
      <c r="AW75" s="1378">
        <f t="shared" si="12"/>
        <v>0</v>
      </c>
      <c r="AX75" s="1378">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78">
        <f t="shared" si="11"/>
        <v>0</v>
      </c>
      <c r="AW76" s="1378">
        <f t="shared" si="12"/>
        <v>0</v>
      </c>
      <c r="AX76" s="1378">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78">
        <f t="shared" si="11"/>
        <v>0</v>
      </c>
      <c r="AW77" s="1378">
        <f t="shared" si="12"/>
        <v>0</v>
      </c>
      <c r="AX77" s="1378">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78">
        <f t="shared" si="11"/>
        <v>0</v>
      </c>
      <c r="AW78" s="1378">
        <f t="shared" si="12"/>
        <v>0</v>
      </c>
      <c r="AX78" s="1378">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78">
        <f t="shared" si="11"/>
        <v>0</v>
      </c>
      <c r="AW79" s="1378">
        <f t="shared" si="12"/>
        <v>0</v>
      </c>
      <c r="AX79" s="1378">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78">
        <f t="shared" si="11"/>
        <v>0</v>
      </c>
      <c r="AW80" s="1378">
        <f t="shared" si="12"/>
        <v>0</v>
      </c>
      <c r="AX80" s="1378">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78">
        <f t="shared" si="11"/>
        <v>0</v>
      </c>
      <c r="AW81" s="1378">
        <f t="shared" si="12"/>
        <v>0</v>
      </c>
      <c r="AX81" s="1378">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78">
        <f t="shared" si="11"/>
        <v>0</v>
      </c>
      <c r="AW82" s="1378">
        <f t="shared" si="12"/>
        <v>0</v>
      </c>
      <c r="AX82" s="1378">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78">
        <f t="shared" si="11"/>
        <v>0</v>
      </c>
      <c r="AW83" s="1378">
        <f t="shared" si="12"/>
        <v>0</v>
      </c>
      <c r="AX83" s="1378">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78">
        <f t="shared" si="11"/>
        <v>0</v>
      </c>
      <c r="AW84" s="1378">
        <f t="shared" si="12"/>
        <v>0</v>
      </c>
      <c r="AX84" s="1378">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78">
        <f t="shared" si="11"/>
        <v>0</v>
      </c>
      <c r="AW85" s="1378">
        <f t="shared" si="12"/>
        <v>0</v>
      </c>
      <c r="AX85" s="1378">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78">
        <f t="shared" si="11"/>
        <v>0</v>
      </c>
      <c r="AW86" s="1378">
        <f t="shared" si="12"/>
        <v>0</v>
      </c>
      <c r="AX86" s="1378">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78">
        <f t="shared" si="11"/>
        <v>0</v>
      </c>
      <c r="AW87" s="1378">
        <f t="shared" si="12"/>
        <v>0</v>
      </c>
      <c r="AX87" s="1378">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78">
        <f t="shared" si="11"/>
        <v>0</v>
      </c>
      <c r="AW88" s="1378">
        <f t="shared" si="12"/>
        <v>0</v>
      </c>
      <c r="AX88" s="1378">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78">
        <f t="shared" si="11"/>
        <v>0</v>
      </c>
      <c r="AW89" s="1378">
        <f t="shared" si="12"/>
        <v>0</v>
      </c>
      <c r="AX89" s="1378">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78">
        <f t="shared" si="11"/>
        <v>0</v>
      </c>
      <c r="AW90" s="1378">
        <f t="shared" si="12"/>
        <v>0</v>
      </c>
      <c r="AX90" s="1378">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78">
        <f t="shared" si="11"/>
        <v>0</v>
      </c>
      <c r="AW91" s="1378">
        <f t="shared" si="12"/>
        <v>0</v>
      </c>
      <c r="AX91" s="1378">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78">
        <f t="shared" si="11"/>
        <v>0</v>
      </c>
      <c r="AW92" s="1378">
        <f t="shared" si="12"/>
        <v>0</v>
      </c>
      <c r="AX92" s="1378">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78">
        <f t="shared" si="11"/>
        <v>0</v>
      </c>
      <c r="AW93" s="1378">
        <f t="shared" si="12"/>
        <v>0</v>
      </c>
      <c r="AX93" s="1378">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78">
        <f t="shared" si="11"/>
        <v>0</v>
      </c>
      <c r="AW94" s="1378">
        <f t="shared" si="12"/>
        <v>0</v>
      </c>
      <c r="AX94" s="1378">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78">
        <f t="shared" si="11"/>
        <v>0</v>
      </c>
      <c r="AW95" s="1378">
        <f t="shared" si="12"/>
        <v>0</v>
      </c>
      <c r="AX95" s="1378">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78">
        <f t="shared" si="11"/>
        <v>0</v>
      </c>
      <c r="AW96" s="1378">
        <f t="shared" si="12"/>
        <v>0</v>
      </c>
      <c r="AX96" s="1378">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78">
        <f t="shared" si="11"/>
        <v>0</v>
      </c>
      <c r="AW97" s="1378">
        <f t="shared" si="12"/>
        <v>0</v>
      </c>
      <c r="AX97" s="1378">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78">
        <f t="shared" si="11"/>
        <v>0</v>
      </c>
      <c r="AW98" s="1378">
        <f t="shared" si="12"/>
        <v>0</v>
      </c>
      <c r="AX98" s="1378">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78">
        <f t="shared" si="11"/>
        <v>0</v>
      </c>
      <c r="AW99" s="1378">
        <f t="shared" si="12"/>
        <v>0</v>
      </c>
      <c r="AX99" s="1378">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78">
        <f t="shared" si="11"/>
        <v>0</v>
      </c>
      <c r="AW100" s="1378">
        <f t="shared" si="12"/>
        <v>0</v>
      </c>
      <c r="AX100" s="1378">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78">
        <f t="shared" si="11"/>
        <v>0</v>
      </c>
      <c r="AW101" s="1378">
        <f t="shared" si="12"/>
        <v>0</v>
      </c>
      <c r="AX101" s="1378">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78">
        <f t="shared" si="11"/>
        <v>0</v>
      </c>
      <c r="AW102" s="1378">
        <f t="shared" si="12"/>
        <v>0</v>
      </c>
      <c r="AX102" s="1378">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78">
        <f t="shared" si="11"/>
        <v>0</v>
      </c>
      <c r="AW103" s="1378">
        <f t="shared" si="12"/>
        <v>0</v>
      </c>
      <c r="AX103" s="1378">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78">
        <f t="shared" si="11"/>
        <v>0</v>
      </c>
      <c r="AW104" s="1378">
        <f t="shared" si="12"/>
        <v>0</v>
      </c>
      <c r="AX104" s="1378">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78">
        <f t="shared" si="11"/>
        <v>0</v>
      </c>
      <c r="AW105" s="1378">
        <f t="shared" si="12"/>
        <v>0</v>
      </c>
      <c r="AX105" s="1378">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78">
        <f t="shared" si="11"/>
        <v>0</v>
      </c>
      <c r="AW106" s="1378">
        <f t="shared" si="12"/>
        <v>0</v>
      </c>
      <c r="AX106" s="1378">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78">
        <f t="shared" si="11"/>
        <v>0</v>
      </c>
      <c r="AW107" s="1378">
        <f t="shared" si="12"/>
        <v>0</v>
      </c>
      <c r="AX107" s="1378">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78">
        <f t="shared" si="11"/>
        <v>0</v>
      </c>
      <c r="AW108" s="1378">
        <f t="shared" si="12"/>
        <v>0</v>
      </c>
      <c r="AX108" s="1378">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78">
        <f t="shared" si="11"/>
        <v>0</v>
      </c>
      <c r="AW109" s="1378">
        <f t="shared" si="12"/>
        <v>0</v>
      </c>
      <c r="AX109" s="1378">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78">
        <f t="shared" si="11"/>
        <v>0</v>
      </c>
      <c r="AW110" s="1378">
        <f t="shared" si="12"/>
        <v>0</v>
      </c>
      <c r="AX110" s="1378">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78">
        <f t="shared" si="11"/>
        <v>0</v>
      </c>
      <c r="AW111" s="1378">
        <f t="shared" si="12"/>
        <v>0</v>
      </c>
      <c r="AX111" s="1378">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78">
        <f t="shared" si="11"/>
        <v>0</v>
      </c>
      <c r="AW112" s="1378">
        <f t="shared" si="12"/>
        <v>0</v>
      </c>
      <c r="AX112" s="1378">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78">
        <f t="shared" ref="AV113:AV144" si="62">A113</f>
        <v>0</v>
      </c>
      <c r="AW113" s="1378">
        <f t="shared" ref="AW113:AW144" si="63">B113</f>
        <v>0</v>
      </c>
      <c r="AX113" s="1378">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78">
        <f t="shared" si="62"/>
        <v>0</v>
      </c>
      <c r="AW114" s="1378">
        <f t="shared" si="63"/>
        <v>0</v>
      </c>
      <c r="AX114" s="1378">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78">
        <f t="shared" si="62"/>
        <v>0</v>
      </c>
      <c r="AW115" s="1378">
        <f t="shared" si="63"/>
        <v>0</v>
      </c>
      <c r="AX115" s="1378">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78">
        <f t="shared" si="62"/>
        <v>0</v>
      </c>
      <c r="AW116" s="1378">
        <f t="shared" si="63"/>
        <v>0</v>
      </c>
      <c r="AX116" s="1378">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78">
        <f t="shared" si="62"/>
        <v>0</v>
      </c>
      <c r="AW117" s="1378">
        <f t="shared" si="63"/>
        <v>0</v>
      </c>
      <c r="AX117" s="1378">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78">
        <f t="shared" si="62"/>
        <v>0</v>
      </c>
      <c r="AW118" s="1378">
        <f t="shared" si="63"/>
        <v>0</v>
      </c>
      <c r="AX118" s="1378">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78">
        <f t="shared" si="62"/>
        <v>0</v>
      </c>
      <c r="AW119" s="1378">
        <f t="shared" si="63"/>
        <v>0</v>
      </c>
      <c r="AX119" s="1378">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78">
        <f t="shared" si="62"/>
        <v>0</v>
      </c>
      <c r="AW120" s="1378">
        <f t="shared" si="63"/>
        <v>0</v>
      </c>
      <c r="AX120" s="1378">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78">
        <f t="shared" si="62"/>
        <v>0</v>
      </c>
      <c r="AW121" s="1378">
        <f t="shared" si="63"/>
        <v>0</v>
      </c>
      <c r="AX121" s="1378">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78">
        <f t="shared" si="62"/>
        <v>0</v>
      </c>
      <c r="AW122" s="1378">
        <f t="shared" si="63"/>
        <v>0</v>
      </c>
      <c r="AX122" s="1378">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78">
        <f t="shared" si="62"/>
        <v>0</v>
      </c>
      <c r="AW123" s="1378">
        <f t="shared" si="63"/>
        <v>0</v>
      </c>
      <c r="AX123" s="1378">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78">
        <f t="shared" si="62"/>
        <v>0</v>
      </c>
      <c r="AW124" s="1378">
        <f t="shared" si="63"/>
        <v>0</v>
      </c>
      <c r="AX124" s="1378">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78">
        <f t="shared" si="62"/>
        <v>0</v>
      </c>
      <c r="AW125" s="1378">
        <f t="shared" si="63"/>
        <v>0</v>
      </c>
      <c r="AX125" s="1378">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78">
        <f t="shared" si="62"/>
        <v>0</v>
      </c>
      <c r="AW126" s="1378">
        <f t="shared" si="63"/>
        <v>0</v>
      </c>
      <c r="AX126" s="1378">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78">
        <f t="shared" si="62"/>
        <v>0</v>
      </c>
      <c r="AW127" s="1378">
        <f t="shared" si="63"/>
        <v>0</v>
      </c>
      <c r="AX127" s="1378">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78">
        <f t="shared" si="62"/>
        <v>0</v>
      </c>
      <c r="AW128" s="1378">
        <f t="shared" si="63"/>
        <v>0</v>
      </c>
      <c r="AX128" s="1378">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78">
        <f t="shared" si="62"/>
        <v>0</v>
      </c>
      <c r="AW129" s="1378">
        <f t="shared" si="63"/>
        <v>0</v>
      </c>
      <c r="AX129" s="1378">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78">
        <f t="shared" si="62"/>
        <v>0</v>
      </c>
      <c r="AW130" s="1378">
        <f t="shared" si="63"/>
        <v>0</v>
      </c>
      <c r="AX130" s="1378">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78">
        <f t="shared" si="62"/>
        <v>0</v>
      </c>
      <c r="AW131" s="1378">
        <f t="shared" si="63"/>
        <v>0</v>
      </c>
      <c r="AX131" s="1378">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78">
        <f t="shared" si="62"/>
        <v>0</v>
      </c>
      <c r="AW132" s="1378">
        <f t="shared" si="63"/>
        <v>0</v>
      </c>
      <c r="AX132" s="1378">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78">
        <f t="shared" si="62"/>
        <v>0</v>
      </c>
      <c r="AW133" s="1378">
        <f t="shared" si="63"/>
        <v>0</v>
      </c>
      <c r="AX133" s="1378">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78">
        <f t="shared" si="62"/>
        <v>0</v>
      </c>
      <c r="AW134" s="1378">
        <f t="shared" si="63"/>
        <v>0</v>
      </c>
      <c r="AX134" s="1378">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78">
        <f t="shared" si="62"/>
        <v>0</v>
      </c>
      <c r="AW135" s="1378">
        <f t="shared" si="63"/>
        <v>0</v>
      </c>
      <c r="AX135" s="1378">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78">
        <f t="shared" si="62"/>
        <v>0</v>
      </c>
      <c r="AW136" s="1378">
        <f t="shared" si="63"/>
        <v>0</v>
      </c>
      <c r="AX136" s="1378">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78">
        <f t="shared" si="62"/>
        <v>0</v>
      </c>
      <c r="AW137" s="1378">
        <f t="shared" si="63"/>
        <v>0</v>
      </c>
      <c r="AX137" s="1378">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78">
        <f t="shared" si="62"/>
        <v>0</v>
      </c>
      <c r="AW138" s="1378">
        <f t="shared" si="63"/>
        <v>0</v>
      </c>
      <c r="AX138" s="1378">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78">
        <f t="shared" si="62"/>
        <v>0</v>
      </c>
      <c r="AW139" s="1378">
        <f t="shared" si="63"/>
        <v>0</v>
      </c>
      <c r="AX139" s="1378">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78">
        <f t="shared" si="62"/>
        <v>0</v>
      </c>
      <c r="AW140" s="1378">
        <f t="shared" si="63"/>
        <v>0</v>
      </c>
      <c r="AX140" s="1378">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78">
        <f t="shared" si="62"/>
        <v>0</v>
      </c>
      <c r="AW141" s="1378">
        <f t="shared" si="63"/>
        <v>0</v>
      </c>
      <c r="AX141" s="1378">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78">
        <f t="shared" si="62"/>
        <v>0</v>
      </c>
      <c r="AW142" s="1378">
        <f t="shared" si="63"/>
        <v>0</v>
      </c>
      <c r="AX142" s="1378">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78">
        <f t="shared" si="62"/>
        <v>0</v>
      </c>
      <c r="AW143" s="1378">
        <f t="shared" si="63"/>
        <v>0</v>
      </c>
      <c r="AX143" s="1378">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78">
        <f t="shared" si="62"/>
        <v>0</v>
      </c>
      <c r="AW144" s="1378">
        <f t="shared" si="63"/>
        <v>0</v>
      </c>
      <c r="AX144" s="1378">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78">
        <f t="shared" ref="AV145:AV176" si="91">A145</f>
        <v>0</v>
      </c>
      <c r="AW145" s="1378">
        <f t="shared" ref="AW145:AW176" si="92">B145</f>
        <v>0</v>
      </c>
      <c r="AX145" s="1378">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78">
        <f t="shared" si="91"/>
        <v>0</v>
      </c>
      <c r="AW146" s="1378">
        <f t="shared" si="92"/>
        <v>0</v>
      </c>
      <c r="AX146" s="1378">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78">
        <f t="shared" si="91"/>
        <v>0</v>
      </c>
      <c r="AW147" s="1378">
        <f t="shared" si="92"/>
        <v>0</v>
      </c>
      <c r="AX147" s="1378">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78">
        <f t="shared" si="91"/>
        <v>0</v>
      </c>
      <c r="AW148" s="1378">
        <f t="shared" si="92"/>
        <v>0</v>
      </c>
      <c r="AX148" s="1378">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78">
        <f t="shared" si="91"/>
        <v>0</v>
      </c>
      <c r="AW149" s="1378">
        <f t="shared" si="92"/>
        <v>0</v>
      </c>
      <c r="AX149" s="1378">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78">
        <f t="shared" si="91"/>
        <v>0</v>
      </c>
      <c r="AW150" s="1378">
        <f t="shared" si="92"/>
        <v>0</v>
      </c>
      <c r="AX150" s="1378">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78">
        <f t="shared" si="91"/>
        <v>0</v>
      </c>
      <c r="AW151" s="1378">
        <f t="shared" si="92"/>
        <v>0</v>
      </c>
      <c r="AX151" s="1378">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78">
        <f t="shared" si="91"/>
        <v>0</v>
      </c>
      <c r="AW152" s="1378">
        <f t="shared" si="92"/>
        <v>0</v>
      </c>
      <c r="AX152" s="1378">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78">
        <f t="shared" si="91"/>
        <v>0</v>
      </c>
      <c r="AW153" s="1378">
        <f t="shared" si="92"/>
        <v>0</v>
      </c>
      <c r="AX153" s="1378">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78">
        <f t="shared" si="91"/>
        <v>0</v>
      </c>
      <c r="AW154" s="1378">
        <f t="shared" si="92"/>
        <v>0</v>
      </c>
      <c r="AX154" s="1378">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78">
        <f t="shared" si="91"/>
        <v>0</v>
      </c>
      <c r="AW155" s="1378">
        <f t="shared" si="92"/>
        <v>0</v>
      </c>
      <c r="AX155" s="1378">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78">
        <f t="shared" si="91"/>
        <v>0</v>
      </c>
      <c r="AW156" s="1378">
        <f t="shared" si="92"/>
        <v>0</v>
      </c>
      <c r="AX156" s="1378">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78">
        <f t="shared" si="91"/>
        <v>0</v>
      </c>
      <c r="AW157" s="1378">
        <f t="shared" si="92"/>
        <v>0</v>
      </c>
      <c r="AX157" s="1378">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78">
        <f t="shared" si="91"/>
        <v>0</v>
      </c>
      <c r="AW158" s="1378">
        <f t="shared" si="92"/>
        <v>0</v>
      </c>
      <c r="AX158" s="1378">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78">
        <f t="shared" si="91"/>
        <v>0</v>
      </c>
      <c r="AW159" s="1378">
        <f t="shared" si="92"/>
        <v>0</v>
      </c>
      <c r="AX159" s="1378">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78">
        <f t="shared" si="91"/>
        <v>0</v>
      </c>
      <c r="AW160" s="1378">
        <f t="shared" si="92"/>
        <v>0</v>
      </c>
      <c r="AX160" s="1378">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78">
        <f t="shared" si="91"/>
        <v>0</v>
      </c>
      <c r="AW161" s="1378">
        <f t="shared" si="92"/>
        <v>0</v>
      </c>
      <c r="AX161" s="1378">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78">
        <f t="shared" si="91"/>
        <v>0</v>
      </c>
      <c r="AW162" s="1378">
        <f t="shared" si="92"/>
        <v>0</v>
      </c>
      <c r="AX162" s="1378">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78">
        <f t="shared" si="91"/>
        <v>0</v>
      </c>
      <c r="AW163" s="1378">
        <f t="shared" si="92"/>
        <v>0</v>
      </c>
      <c r="AX163" s="1378">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78">
        <f t="shared" si="91"/>
        <v>0</v>
      </c>
      <c r="AW164" s="1378">
        <f t="shared" si="92"/>
        <v>0</v>
      </c>
      <c r="AX164" s="1378">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78">
        <f t="shared" si="91"/>
        <v>0</v>
      </c>
      <c r="AW165" s="1378">
        <f t="shared" si="92"/>
        <v>0</v>
      </c>
      <c r="AX165" s="1378">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78">
        <f t="shared" si="91"/>
        <v>0</v>
      </c>
      <c r="AW166" s="1378">
        <f t="shared" si="92"/>
        <v>0</v>
      </c>
      <c r="AX166" s="1378">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78">
        <f t="shared" si="91"/>
        <v>0</v>
      </c>
      <c r="AW167" s="1378">
        <f t="shared" si="92"/>
        <v>0</v>
      </c>
      <c r="AX167" s="1378">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78">
        <f t="shared" si="91"/>
        <v>0</v>
      </c>
      <c r="AW168" s="1378">
        <f t="shared" si="92"/>
        <v>0</v>
      </c>
      <c r="AX168" s="1378">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78">
        <f t="shared" si="91"/>
        <v>0</v>
      </c>
      <c r="AW169" s="1378">
        <f t="shared" si="92"/>
        <v>0</v>
      </c>
      <c r="AX169" s="1378">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78">
        <f t="shared" si="91"/>
        <v>0</v>
      </c>
      <c r="AW170" s="1378">
        <f t="shared" si="92"/>
        <v>0</v>
      </c>
      <c r="AX170" s="1378">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78">
        <f t="shared" si="91"/>
        <v>0</v>
      </c>
      <c r="AW171" s="1378">
        <f t="shared" si="92"/>
        <v>0</v>
      </c>
      <c r="AX171" s="1378">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78">
        <f t="shared" si="91"/>
        <v>0</v>
      </c>
      <c r="AW172" s="1378">
        <f t="shared" si="92"/>
        <v>0</v>
      </c>
      <c r="AX172" s="1378">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78">
        <f t="shared" si="91"/>
        <v>0</v>
      </c>
      <c r="AW173" s="1378">
        <f t="shared" si="92"/>
        <v>0</v>
      </c>
      <c r="AX173" s="1378">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78">
        <f t="shared" si="91"/>
        <v>0</v>
      </c>
      <c r="AW174" s="1378">
        <f t="shared" si="92"/>
        <v>0</v>
      </c>
      <c r="AX174" s="1378">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78">
        <f t="shared" si="91"/>
        <v>0</v>
      </c>
      <c r="AW175" s="1378">
        <f t="shared" si="92"/>
        <v>0</v>
      </c>
      <c r="AX175" s="1378">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78">
        <f t="shared" si="91"/>
        <v>0</v>
      </c>
      <c r="AW176" s="1378">
        <f t="shared" si="92"/>
        <v>0</v>
      </c>
      <c r="AX176" s="1378">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78">
        <f t="shared" ref="AV177:AV207" si="120">A177</f>
        <v>0</v>
      </c>
      <c r="AW177" s="1378">
        <f t="shared" ref="AW177:AW207" si="121">B177</f>
        <v>0</v>
      </c>
      <c r="AX177" s="1378">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78">
        <f t="shared" si="120"/>
        <v>0</v>
      </c>
      <c r="AW178" s="1378">
        <f t="shared" si="121"/>
        <v>0</v>
      </c>
      <c r="AX178" s="1378">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78">
        <f t="shared" si="120"/>
        <v>0</v>
      </c>
      <c r="AW179" s="1378">
        <f t="shared" si="121"/>
        <v>0</v>
      </c>
      <c r="AX179" s="1378">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78">
        <f t="shared" si="120"/>
        <v>0</v>
      </c>
      <c r="AW180" s="1378">
        <f t="shared" si="121"/>
        <v>0</v>
      </c>
      <c r="AX180" s="1378">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78">
        <f t="shared" si="120"/>
        <v>0</v>
      </c>
      <c r="AW181" s="1378">
        <f t="shared" si="121"/>
        <v>0</v>
      </c>
      <c r="AX181" s="1378">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78">
        <f t="shared" si="120"/>
        <v>0</v>
      </c>
      <c r="AW182" s="1378">
        <f t="shared" si="121"/>
        <v>0</v>
      </c>
      <c r="AX182" s="1378">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78">
        <f t="shared" si="120"/>
        <v>0</v>
      </c>
      <c r="AW183" s="1378">
        <f t="shared" si="121"/>
        <v>0</v>
      </c>
      <c r="AX183" s="1378">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78">
        <f t="shared" si="120"/>
        <v>0</v>
      </c>
      <c r="AW184" s="1378">
        <f t="shared" si="121"/>
        <v>0</v>
      </c>
      <c r="AX184" s="1378">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78">
        <f t="shared" si="120"/>
        <v>0</v>
      </c>
      <c r="AW185" s="1378">
        <f t="shared" si="121"/>
        <v>0</v>
      </c>
      <c r="AX185" s="1378">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78">
        <f t="shared" si="120"/>
        <v>0</v>
      </c>
      <c r="AW186" s="1378">
        <f t="shared" si="121"/>
        <v>0</v>
      </c>
      <c r="AX186" s="1378">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78">
        <f t="shared" si="120"/>
        <v>0</v>
      </c>
      <c r="AW187" s="1378">
        <f t="shared" si="121"/>
        <v>0</v>
      </c>
      <c r="AX187" s="1378">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78">
        <f t="shared" si="120"/>
        <v>0</v>
      </c>
      <c r="AW188" s="1378">
        <f t="shared" si="121"/>
        <v>0</v>
      </c>
      <c r="AX188" s="1378">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78">
        <f t="shared" si="120"/>
        <v>0</v>
      </c>
      <c r="AW189" s="1378">
        <f t="shared" si="121"/>
        <v>0</v>
      </c>
      <c r="AX189" s="1378">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78">
        <f t="shared" si="120"/>
        <v>0</v>
      </c>
      <c r="AW190" s="1378">
        <f t="shared" si="121"/>
        <v>0</v>
      </c>
      <c r="AX190" s="1378">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78">
        <f t="shared" si="120"/>
        <v>0</v>
      </c>
      <c r="AW191" s="1378">
        <f t="shared" si="121"/>
        <v>0</v>
      </c>
      <c r="AX191" s="1378">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78">
        <f t="shared" si="120"/>
        <v>0</v>
      </c>
      <c r="AW192" s="1378">
        <f t="shared" si="121"/>
        <v>0</v>
      </c>
      <c r="AX192" s="1378">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78">
        <f t="shared" si="120"/>
        <v>0</v>
      </c>
      <c r="AW193" s="1378">
        <f t="shared" si="121"/>
        <v>0</v>
      </c>
      <c r="AX193" s="1378">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78">
        <f t="shared" si="120"/>
        <v>0</v>
      </c>
      <c r="AW194" s="1378">
        <f t="shared" si="121"/>
        <v>0</v>
      </c>
      <c r="AX194" s="1378">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78">
        <f t="shared" si="120"/>
        <v>0</v>
      </c>
      <c r="AW195" s="1378">
        <f t="shared" si="121"/>
        <v>0</v>
      </c>
      <c r="AX195" s="1378">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78">
        <f t="shared" si="120"/>
        <v>0</v>
      </c>
      <c r="AW196" s="1378">
        <f t="shared" si="121"/>
        <v>0</v>
      </c>
      <c r="AX196" s="1378">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78">
        <f t="shared" si="120"/>
        <v>0</v>
      </c>
      <c r="AW197" s="1378">
        <f t="shared" si="121"/>
        <v>0</v>
      </c>
      <c r="AX197" s="1378">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78">
        <f t="shared" si="120"/>
        <v>0</v>
      </c>
      <c r="AW198" s="1378">
        <f t="shared" si="121"/>
        <v>0</v>
      </c>
      <c r="AX198" s="1378">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78">
        <f t="shared" si="120"/>
        <v>0</v>
      </c>
      <c r="AW199" s="1378">
        <f t="shared" si="121"/>
        <v>0</v>
      </c>
      <c r="AX199" s="1378">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78">
        <f t="shared" si="120"/>
        <v>0</v>
      </c>
      <c r="AW200" s="1378">
        <f t="shared" si="121"/>
        <v>0</v>
      </c>
      <c r="AX200" s="1378">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78">
        <f t="shared" si="120"/>
        <v>0</v>
      </c>
      <c r="AW201" s="1378">
        <f t="shared" si="121"/>
        <v>0</v>
      </c>
      <c r="AX201" s="1378">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78">
        <f t="shared" si="120"/>
        <v>0</v>
      </c>
      <c r="AW202" s="1378">
        <f t="shared" si="121"/>
        <v>0</v>
      </c>
      <c r="AX202" s="1378">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78">
        <f t="shared" si="120"/>
        <v>0</v>
      </c>
      <c r="AW203" s="1378">
        <f t="shared" si="121"/>
        <v>0</v>
      </c>
      <c r="AX203" s="1378">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78">
        <f t="shared" si="120"/>
        <v>0</v>
      </c>
      <c r="AW204" s="1378">
        <f t="shared" si="121"/>
        <v>0</v>
      </c>
      <c r="AX204" s="1378">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78">
        <f t="shared" si="120"/>
        <v>0</v>
      </c>
      <c r="AW205" s="1378">
        <f t="shared" si="121"/>
        <v>0</v>
      </c>
      <c r="AX205" s="1378">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78">
        <f t="shared" si="120"/>
        <v>0</v>
      </c>
      <c r="AW206" s="1378">
        <f t="shared" si="121"/>
        <v>0</v>
      </c>
      <c r="AX206" s="1378">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78">
        <f t="shared" si="120"/>
        <v>0</v>
      </c>
      <c r="AW207" s="1378">
        <f t="shared" si="121"/>
        <v>0</v>
      </c>
      <c r="AX207" s="1378">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78">
        <f t="shared" ref="AV208:AV302" si="127">A208</f>
        <v>0</v>
      </c>
      <c r="AW208" s="1378">
        <f t="shared" ref="AW208:AW302" si="128">B208</f>
        <v>0</v>
      </c>
      <c r="AX208" s="1378">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78">
        <f t="shared" si="127"/>
        <v>0</v>
      </c>
      <c r="AW209" s="1378">
        <f t="shared" si="128"/>
        <v>0</v>
      </c>
      <c r="AX209" s="1378">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78">
        <f t="shared" si="127"/>
        <v>0</v>
      </c>
      <c r="AW210" s="1378">
        <f t="shared" si="128"/>
        <v>0</v>
      </c>
      <c r="AX210" s="1378">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78">
        <f t="shared" si="127"/>
        <v>0</v>
      </c>
      <c r="AW211" s="1378">
        <f t="shared" si="128"/>
        <v>0</v>
      </c>
      <c r="AX211" s="1378">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78">
        <f t="shared" si="127"/>
        <v>0</v>
      </c>
      <c r="AW212" s="1378">
        <f t="shared" si="128"/>
        <v>0</v>
      </c>
      <c r="AX212" s="1378">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78">
        <f t="shared" si="127"/>
        <v>0</v>
      </c>
      <c r="AW213" s="1378">
        <f t="shared" si="128"/>
        <v>0</v>
      </c>
      <c r="AX213" s="1378">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78">
        <f t="shared" si="127"/>
        <v>0</v>
      </c>
      <c r="AW214" s="1378">
        <f t="shared" si="128"/>
        <v>0</v>
      </c>
      <c r="AX214" s="1378">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78">
        <f t="shared" si="127"/>
        <v>0</v>
      </c>
      <c r="AW215" s="1378">
        <f t="shared" si="128"/>
        <v>0</v>
      </c>
      <c r="AX215" s="1378">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78">
        <f t="shared" si="127"/>
        <v>0</v>
      </c>
      <c r="AW216" s="1378">
        <f t="shared" si="128"/>
        <v>0</v>
      </c>
      <c r="AX216" s="1378">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78">
        <f t="shared" si="127"/>
        <v>0</v>
      </c>
      <c r="AW217" s="1378">
        <f t="shared" si="128"/>
        <v>0</v>
      </c>
      <c r="AX217" s="1378">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78">
        <f t="shared" si="127"/>
        <v>0</v>
      </c>
      <c r="AW218" s="1378">
        <f t="shared" si="128"/>
        <v>0</v>
      </c>
      <c r="AX218" s="1378">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78">
        <f t="shared" si="127"/>
        <v>0</v>
      </c>
      <c r="AW219" s="1378">
        <f t="shared" si="128"/>
        <v>0</v>
      </c>
      <c r="AX219" s="1378">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78">
        <f t="shared" si="127"/>
        <v>0</v>
      </c>
      <c r="AW220" s="1378">
        <f t="shared" si="128"/>
        <v>0</v>
      </c>
      <c r="AX220" s="1378">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78">
        <f t="shared" si="127"/>
        <v>0</v>
      </c>
      <c r="AW221" s="1378">
        <f t="shared" si="128"/>
        <v>0</v>
      </c>
      <c r="AX221" s="1378">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78">
        <f t="shared" si="127"/>
        <v>0</v>
      </c>
      <c r="AW222" s="1378">
        <f t="shared" si="128"/>
        <v>0</v>
      </c>
      <c r="AX222" s="1378">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78">
        <f t="shared" si="127"/>
        <v>0</v>
      </c>
      <c r="AW223" s="1378">
        <f t="shared" si="128"/>
        <v>0</v>
      </c>
      <c r="AX223" s="1378">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78">
        <f t="shared" si="127"/>
        <v>0</v>
      </c>
      <c r="AW224" s="1378">
        <f t="shared" si="128"/>
        <v>0</v>
      </c>
      <c r="AX224" s="1378">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78">
        <f t="shared" si="127"/>
        <v>0</v>
      </c>
      <c r="AW225" s="1378">
        <f t="shared" si="128"/>
        <v>0</v>
      </c>
      <c r="AX225" s="1378">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78">
        <f t="shared" si="127"/>
        <v>0</v>
      </c>
      <c r="AW226" s="1378">
        <f t="shared" si="128"/>
        <v>0</v>
      </c>
      <c r="AX226" s="1378">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78">
        <f t="shared" si="127"/>
        <v>0</v>
      </c>
      <c r="AW227" s="1378">
        <f t="shared" si="128"/>
        <v>0</v>
      </c>
      <c r="AX227" s="1378">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78">
        <f t="shared" si="127"/>
        <v>0</v>
      </c>
      <c r="AW228" s="1378">
        <f t="shared" si="128"/>
        <v>0</v>
      </c>
      <c r="AX228" s="1378">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78">
        <f t="shared" si="127"/>
        <v>0</v>
      </c>
      <c r="AW229" s="1378">
        <f t="shared" si="128"/>
        <v>0</v>
      </c>
      <c r="AX229" s="1378">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78">
        <f t="shared" si="127"/>
        <v>0</v>
      </c>
      <c r="AW230" s="1378">
        <f t="shared" si="128"/>
        <v>0</v>
      </c>
      <c r="AX230" s="1378">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78">
        <f t="shared" si="127"/>
        <v>0</v>
      </c>
      <c r="AW231" s="1378">
        <f t="shared" si="128"/>
        <v>0</v>
      </c>
      <c r="AX231" s="1378">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78">
        <f t="shared" si="127"/>
        <v>0</v>
      </c>
      <c r="AW232" s="1378">
        <f t="shared" si="128"/>
        <v>0</v>
      </c>
      <c r="AX232" s="1378">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78">
        <f t="shared" si="127"/>
        <v>0</v>
      </c>
      <c r="AW233" s="1378">
        <f t="shared" si="128"/>
        <v>0</v>
      </c>
      <c r="AX233" s="1378">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78">
        <f t="shared" si="127"/>
        <v>0</v>
      </c>
      <c r="AW234" s="1378">
        <f t="shared" si="128"/>
        <v>0</v>
      </c>
      <c r="AX234" s="1378">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78">
        <f t="shared" si="127"/>
        <v>0</v>
      </c>
      <c r="AW235" s="1378">
        <f t="shared" si="128"/>
        <v>0</v>
      </c>
      <c r="AX235" s="1378">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78">
        <f t="shared" si="127"/>
        <v>0</v>
      </c>
      <c r="AW236" s="1378">
        <f t="shared" si="128"/>
        <v>0</v>
      </c>
      <c r="AX236" s="1378">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78">
        <f t="shared" si="127"/>
        <v>0</v>
      </c>
      <c r="AW237" s="1378">
        <f t="shared" si="128"/>
        <v>0</v>
      </c>
      <c r="AX237" s="1378">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78">
        <f t="shared" si="127"/>
        <v>0</v>
      </c>
      <c r="AW238" s="1378">
        <f t="shared" si="128"/>
        <v>0</v>
      </c>
      <c r="AX238" s="1378">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78">
        <f t="shared" si="127"/>
        <v>0</v>
      </c>
      <c r="AW239" s="1378">
        <f t="shared" si="128"/>
        <v>0</v>
      </c>
      <c r="AX239" s="1378">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78">
        <f t="shared" si="127"/>
        <v>0</v>
      </c>
      <c r="AW240" s="1378">
        <f t="shared" si="128"/>
        <v>0</v>
      </c>
      <c r="AX240" s="1378">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78">
        <f t="shared" si="127"/>
        <v>0</v>
      </c>
      <c r="AW241" s="1378">
        <f t="shared" si="128"/>
        <v>0</v>
      </c>
      <c r="AX241" s="1378">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78">
        <f t="shared" si="127"/>
        <v>0</v>
      </c>
      <c r="AW242" s="1378">
        <f t="shared" si="128"/>
        <v>0</v>
      </c>
      <c r="AX242" s="1378">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78">
        <f t="shared" si="127"/>
        <v>0</v>
      </c>
      <c r="AW243" s="1378">
        <f t="shared" si="128"/>
        <v>0</v>
      </c>
      <c r="AX243" s="1378">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78">
        <f t="shared" si="127"/>
        <v>0</v>
      </c>
      <c r="AW244" s="1378">
        <f t="shared" si="128"/>
        <v>0</v>
      </c>
      <c r="AX244" s="1378">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78">
        <f t="shared" si="127"/>
        <v>0</v>
      </c>
      <c r="AW245" s="1378">
        <f t="shared" si="128"/>
        <v>0</v>
      </c>
      <c r="AX245" s="1378">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78">
        <f t="shared" si="127"/>
        <v>0</v>
      </c>
      <c r="AW246" s="1378">
        <f t="shared" si="128"/>
        <v>0</v>
      </c>
      <c r="AX246" s="1378">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78">
        <f t="shared" si="127"/>
        <v>0</v>
      </c>
      <c r="AW247" s="1378">
        <f t="shared" si="128"/>
        <v>0</v>
      </c>
      <c r="AX247" s="1378">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78">
        <f t="shared" si="127"/>
        <v>0</v>
      </c>
      <c r="AW248" s="1378">
        <f t="shared" si="128"/>
        <v>0</v>
      </c>
      <c r="AX248" s="1378">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78">
        <f t="shared" si="127"/>
        <v>0</v>
      </c>
      <c r="AW249" s="1378">
        <f t="shared" si="128"/>
        <v>0</v>
      </c>
      <c r="AX249" s="1378">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78">
        <f t="shared" si="127"/>
        <v>0</v>
      </c>
      <c r="AW250" s="1378">
        <f t="shared" si="128"/>
        <v>0</v>
      </c>
      <c r="AX250" s="1378">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78">
        <f t="shared" si="127"/>
        <v>0</v>
      </c>
      <c r="AW251" s="1378">
        <f t="shared" si="128"/>
        <v>0</v>
      </c>
      <c r="AX251" s="1378">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78">
        <f t="shared" si="127"/>
        <v>0</v>
      </c>
      <c r="AW252" s="1378">
        <f t="shared" si="128"/>
        <v>0</v>
      </c>
      <c r="AX252" s="1378">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78">
        <f t="shared" si="127"/>
        <v>0</v>
      </c>
      <c r="AW253" s="1378">
        <f t="shared" si="128"/>
        <v>0</v>
      </c>
      <c r="AX253" s="1378">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78">
        <f t="shared" si="127"/>
        <v>0</v>
      </c>
      <c r="AW254" s="1378">
        <f t="shared" si="128"/>
        <v>0</v>
      </c>
      <c r="AX254" s="1378">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78">
        <f t="shared" si="127"/>
        <v>0</v>
      </c>
      <c r="AW255" s="1378">
        <f t="shared" si="128"/>
        <v>0</v>
      </c>
      <c r="AX255" s="1378">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78">
        <f t="shared" si="127"/>
        <v>0</v>
      </c>
      <c r="AW256" s="1378">
        <f t="shared" si="128"/>
        <v>0</v>
      </c>
      <c r="AX256" s="1378">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78">
        <f t="shared" si="127"/>
        <v>0</v>
      </c>
      <c r="AW257" s="1378">
        <f t="shared" si="128"/>
        <v>0</v>
      </c>
      <c r="AX257" s="1378">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78">
        <f t="shared" si="127"/>
        <v>0</v>
      </c>
      <c r="AW258" s="1378">
        <f t="shared" si="128"/>
        <v>0</v>
      </c>
      <c r="AX258" s="1378">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78">
        <f t="shared" si="127"/>
        <v>0</v>
      </c>
      <c r="AW259" s="1378">
        <f t="shared" si="128"/>
        <v>0</v>
      </c>
      <c r="AX259" s="1378">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78">
        <f t="shared" si="127"/>
        <v>0</v>
      </c>
      <c r="AW260" s="1378">
        <f t="shared" si="128"/>
        <v>0</v>
      </c>
      <c r="AX260" s="1378">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78">
        <f t="shared" si="127"/>
        <v>0</v>
      </c>
      <c r="AW261" s="1378">
        <f t="shared" si="128"/>
        <v>0</v>
      </c>
      <c r="AX261" s="1378">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78">
        <f t="shared" si="127"/>
        <v>0</v>
      </c>
      <c r="AW262" s="1378">
        <f t="shared" si="128"/>
        <v>0</v>
      </c>
      <c r="AX262" s="1378">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78">
        <f t="shared" si="127"/>
        <v>0</v>
      </c>
      <c r="AW263" s="1378">
        <f t="shared" si="128"/>
        <v>0</v>
      </c>
      <c r="AX263" s="1378">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78">
        <f t="shared" si="127"/>
        <v>0</v>
      </c>
      <c r="AW264" s="1378">
        <f t="shared" si="128"/>
        <v>0</v>
      </c>
      <c r="AX264" s="1378">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78">
        <f t="shared" si="127"/>
        <v>0</v>
      </c>
      <c r="AW265" s="1378">
        <f t="shared" si="128"/>
        <v>0</v>
      </c>
      <c r="AX265" s="1378">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78">
        <f t="shared" si="127"/>
        <v>0</v>
      </c>
      <c r="AW266" s="1378">
        <f t="shared" si="128"/>
        <v>0</v>
      </c>
      <c r="AX266" s="1378">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78">
        <f t="shared" si="127"/>
        <v>0</v>
      </c>
      <c r="AW267" s="1378">
        <f t="shared" si="128"/>
        <v>0</v>
      </c>
      <c r="AX267" s="1378">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78">
        <f t="shared" si="127"/>
        <v>0</v>
      </c>
      <c r="AW268" s="1378">
        <f t="shared" si="128"/>
        <v>0</v>
      </c>
      <c r="AX268" s="1378">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78">
        <f t="shared" si="127"/>
        <v>0</v>
      </c>
      <c r="AW269" s="1378">
        <f t="shared" si="128"/>
        <v>0</v>
      </c>
      <c r="AX269" s="1378">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78">
        <f t="shared" si="127"/>
        <v>0</v>
      </c>
      <c r="AW270" s="1378">
        <f t="shared" si="128"/>
        <v>0</v>
      </c>
      <c r="AX270" s="1378">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78">
        <f t="shared" si="127"/>
        <v>0</v>
      </c>
      <c r="AW271" s="1378">
        <f t="shared" si="128"/>
        <v>0</v>
      </c>
      <c r="AX271" s="1378">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78">
        <f t="shared" si="127"/>
        <v>0</v>
      </c>
      <c r="AW272" s="1378">
        <f t="shared" si="128"/>
        <v>0</v>
      </c>
      <c r="AX272" s="1378">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78">
        <f t="shared" si="127"/>
        <v>0</v>
      </c>
      <c r="AW273" s="1378">
        <f t="shared" si="128"/>
        <v>0</v>
      </c>
      <c r="AX273" s="1378">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78">
        <f t="shared" si="127"/>
        <v>0</v>
      </c>
      <c r="AW274" s="1378">
        <f t="shared" si="128"/>
        <v>0</v>
      </c>
      <c r="AX274" s="1378">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78">
        <f t="shared" si="127"/>
        <v>0</v>
      </c>
      <c r="AW275" s="1378">
        <f t="shared" si="128"/>
        <v>0</v>
      </c>
      <c r="AX275" s="1378">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78">
        <f t="shared" si="127"/>
        <v>0</v>
      </c>
      <c r="AW276" s="1378">
        <f t="shared" si="128"/>
        <v>0</v>
      </c>
      <c r="AX276" s="1378">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78">
        <f t="shared" si="127"/>
        <v>0</v>
      </c>
      <c r="AW277" s="1378">
        <f t="shared" si="128"/>
        <v>0</v>
      </c>
      <c r="AX277" s="1378">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78">
        <f t="shared" si="127"/>
        <v>0</v>
      </c>
      <c r="AW278" s="1378">
        <f t="shared" si="128"/>
        <v>0</v>
      </c>
      <c r="AX278" s="1378">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78">
        <f t="shared" si="127"/>
        <v>0</v>
      </c>
      <c r="AW279" s="1378">
        <f t="shared" si="128"/>
        <v>0</v>
      </c>
      <c r="AX279" s="1378">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78">
        <f t="shared" si="127"/>
        <v>0</v>
      </c>
      <c r="AW280" s="1378">
        <f t="shared" si="128"/>
        <v>0</v>
      </c>
      <c r="AX280" s="1378">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78">
        <f t="shared" si="127"/>
        <v>0</v>
      </c>
      <c r="AW281" s="1378">
        <f t="shared" si="128"/>
        <v>0</v>
      </c>
      <c r="AX281" s="1378">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78">
        <f t="shared" si="127"/>
        <v>0</v>
      </c>
      <c r="AW282" s="1378">
        <f t="shared" si="128"/>
        <v>0</v>
      </c>
      <c r="AX282" s="1378">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78">
        <f t="shared" si="127"/>
        <v>0</v>
      </c>
      <c r="AW283" s="1378">
        <f t="shared" si="128"/>
        <v>0</v>
      </c>
      <c r="AX283" s="1378">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78">
        <f t="shared" si="127"/>
        <v>0</v>
      </c>
      <c r="AW284" s="1378">
        <f t="shared" si="128"/>
        <v>0</v>
      </c>
      <c r="AX284" s="1378">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78">
        <f t="shared" si="127"/>
        <v>0</v>
      </c>
      <c r="AW285" s="1378">
        <f t="shared" si="128"/>
        <v>0</v>
      </c>
      <c r="AX285" s="1378">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78">
        <f t="shared" si="127"/>
        <v>0</v>
      </c>
      <c r="AW286" s="1378">
        <f t="shared" si="128"/>
        <v>0</v>
      </c>
      <c r="AX286" s="1378">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78">
        <f t="shared" si="127"/>
        <v>0</v>
      </c>
      <c r="AW287" s="1378">
        <f t="shared" si="128"/>
        <v>0</v>
      </c>
      <c r="AX287" s="1378">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78">
        <f t="shared" si="127"/>
        <v>0</v>
      </c>
      <c r="AW288" s="1378">
        <f t="shared" si="128"/>
        <v>0</v>
      </c>
      <c r="AX288" s="1378">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78">
        <f t="shared" si="127"/>
        <v>0</v>
      </c>
      <c r="AW289" s="1378">
        <f t="shared" si="128"/>
        <v>0</v>
      </c>
      <c r="AX289" s="1378">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78">
        <f t="shared" si="127"/>
        <v>0</v>
      </c>
      <c r="AW290" s="1378">
        <f t="shared" si="128"/>
        <v>0</v>
      </c>
      <c r="AX290" s="1378">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78">
        <f t="shared" si="127"/>
        <v>0</v>
      </c>
      <c r="AW291" s="1378">
        <f t="shared" si="128"/>
        <v>0</v>
      </c>
      <c r="AX291" s="1378">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78">
        <f t="shared" si="127"/>
        <v>0</v>
      </c>
      <c r="AW292" s="1378">
        <f t="shared" si="128"/>
        <v>0</v>
      </c>
      <c r="AX292" s="1378">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78">
        <f t="shared" si="127"/>
        <v>0</v>
      </c>
      <c r="AW293" s="1378">
        <f t="shared" si="128"/>
        <v>0</v>
      </c>
      <c r="AX293" s="1378">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78">
        <f t="shared" si="127"/>
        <v>0</v>
      </c>
      <c r="AW294" s="1378">
        <f t="shared" si="128"/>
        <v>0</v>
      </c>
      <c r="AX294" s="1378">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78">
        <f t="shared" si="127"/>
        <v>0</v>
      </c>
      <c r="AW295" s="1378">
        <f t="shared" si="128"/>
        <v>0</v>
      </c>
      <c r="AX295" s="1378">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78">
        <f t="shared" si="127"/>
        <v>0</v>
      </c>
      <c r="AW296" s="1378">
        <f t="shared" si="128"/>
        <v>0</v>
      </c>
      <c r="AX296" s="1378">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78">
        <f t="shared" si="127"/>
        <v>0</v>
      </c>
      <c r="AW297" s="1378">
        <f t="shared" si="128"/>
        <v>0</v>
      </c>
      <c r="AX297" s="1378">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78">
        <f t="shared" si="127"/>
        <v>0</v>
      </c>
      <c r="AW298" s="1378">
        <f t="shared" si="128"/>
        <v>0</v>
      </c>
      <c r="AX298" s="1378">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78">
        <f t="shared" si="127"/>
        <v>0</v>
      </c>
      <c r="AW299" s="1378">
        <f t="shared" si="128"/>
        <v>0</v>
      </c>
      <c r="AX299" s="1378">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78">
        <f t="shared" si="127"/>
        <v>0</v>
      </c>
      <c r="AW300" s="1378">
        <f t="shared" si="128"/>
        <v>0</v>
      </c>
      <c r="AX300" s="1378">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78">
        <f t="shared" si="127"/>
        <v>0</v>
      </c>
      <c r="AW301" s="1378">
        <f t="shared" si="128"/>
        <v>0</v>
      </c>
      <c r="AX301" s="1378">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78">
        <f t="shared" si="127"/>
        <v>0</v>
      </c>
      <c r="AW302" s="1378">
        <f t="shared" si="128"/>
        <v>0</v>
      </c>
      <c r="AX302" s="1378">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78">
        <f t="shared" ref="AV303:AV334" si="178">A303</f>
        <v>0</v>
      </c>
      <c r="AW303" s="1378">
        <f t="shared" ref="AW303:AW334" si="179">B303</f>
        <v>0</v>
      </c>
      <c r="AX303" s="1378">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78">
        <f t="shared" si="178"/>
        <v>0</v>
      </c>
      <c r="AW304" s="1378">
        <f t="shared" si="179"/>
        <v>0</v>
      </c>
      <c r="AX304" s="1378">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78">
        <f t="shared" si="178"/>
        <v>0</v>
      </c>
      <c r="AW305" s="1378">
        <f t="shared" si="179"/>
        <v>0</v>
      </c>
      <c r="AX305" s="1378">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78">
        <f t="shared" si="178"/>
        <v>0</v>
      </c>
      <c r="AW306" s="1378">
        <f t="shared" si="179"/>
        <v>0</v>
      </c>
      <c r="AX306" s="1378">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78">
        <f t="shared" si="178"/>
        <v>0</v>
      </c>
      <c r="AW307" s="1378">
        <f t="shared" si="179"/>
        <v>0</v>
      </c>
      <c r="AX307" s="1378">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78">
        <f t="shared" si="178"/>
        <v>0</v>
      </c>
      <c r="AW308" s="1378">
        <f t="shared" si="179"/>
        <v>0</v>
      </c>
      <c r="AX308" s="1378">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78">
        <f t="shared" si="178"/>
        <v>0</v>
      </c>
      <c r="AW309" s="1378">
        <f t="shared" si="179"/>
        <v>0</v>
      </c>
      <c r="AX309" s="1378">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78">
        <f t="shared" si="178"/>
        <v>0</v>
      </c>
      <c r="AW310" s="1378">
        <f t="shared" si="179"/>
        <v>0</v>
      </c>
      <c r="AX310" s="1378">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78">
        <f t="shared" si="178"/>
        <v>0</v>
      </c>
      <c r="AW311" s="1378">
        <f t="shared" si="179"/>
        <v>0</v>
      </c>
      <c r="AX311" s="1378">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78">
        <f t="shared" si="178"/>
        <v>0</v>
      </c>
      <c r="AW312" s="1378">
        <f t="shared" si="179"/>
        <v>0</v>
      </c>
      <c r="AX312" s="1378">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78">
        <f t="shared" si="178"/>
        <v>0</v>
      </c>
      <c r="AW313" s="1378">
        <f t="shared" si="179"/>
        <v>0</v>
      </c>
      <c r="AX313" s="1378">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78">
        <f t="shared" si="178"/>
        <v>0</v>
      </c>
      <c r="AW314" s="1378">
        <f t="shared" si="179"/>
        <v>0</v>
      </c>
      <c r="AX314" s="1378">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78">
        <f t="shared" si="178"/>
        <v>0</v>
      </c>
      <c r="AW315" s="1378">
        <f t="shared" si="179"/>
        <v>0</v>
      </c>
      <c r="AX315" s="1378">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78">
        <f t="shared" si="178"/>
        <v>0</v>
      </c>
      <c r="AW316" s="1378">
        <f t="shared" si="179"/>
        <v>0</v>
      </c>
      <c r="AX316" s="1378">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78">
        <f t="shared" si="178"/>
        <v>0</v>
      </c>
      <c r="AW317" s="1378">
        <f t="shared" si="179"/>
        <v>0</v>
      </c>
      <c r="AX317" s="1378">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78">
        <f t="shared" si="178"/>
        <v>0</v>
      </c>
      <c r="AW318" s="1378">
        <f t="shared" si="179"/>
        <v>0</v>
      </c>
      <c r="AX318" s="1378">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78">
        <f t="shared" si="178"/>
        <v>0</v>
      </c>
      <c r="AW319" s="1378">
        <f t="shared" si="179"/>
        <v>0</v>
      </c>
      <c r="AX319" s="1378">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78">
        <f t="shared" si="178"/>
        <v>0</v>
      </c>
      <c r="AW320" s="1378">
        <f t="shared" si="179"/>
        <v>0</v>
      </c>
      <c r="AX320" s="1378">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78">
        <f t="shared" si="178"/>
        <v>0</v>
      </c>
      <c r="AW321" s="1378">
        <f t="shared" si="179"/>
        <v>0</v>
      </c>
      <c r="AX321" s="1378">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78">
        <f t="shared" si="178"/>
        <v>0</v>
      </c>
      <c r="AW322" s="1378">
        <f t="shared" si="179"/>
        <v>0</v>
      </c>
      <c r="AX322" s="1378">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78">
        <f t="shared" si="178"/>
        <v>0</v>
      </c>
      <c r="AW323" s="1378">
        <f t="shared" si="179"/>
        <v>0</v>
      </c>
      <c r="AX323" s="1378">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78">
        <f t="shared" si="178"/>
        <v>0</v>
      </c>
      <c r="AW324" s="1378">
        <f t="shared" si="179"/>
        <v>0</v>
      </c>
      <c r="AX324" s="1378">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78">
        <f t="shared" si="178"/>
        <v>0</v>
      </c>
      <c r="AW325" s="1378">
        <f t="shared" si="179"/>
        <v>0</v>
      </c>
      <c r="AX325" s="1378">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78">
        <f t="shared" si="178"/>
        <v>0</v>
      </c>
      <c r="AW326" s="1378">
        <f t="shared" si="179"/>
        <v>0</v>
      </c>
      <c r="AX326" s="1378">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78">
        <f t="shared" si="178"/>
        <v>0</v>
      </c>
      <c r="AW327" s="1378">
        <f t="shared" si="179"/>
        <v>0</v>
      </c>
      <c r="AX327" s="1378">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78">
        <f t="shared" si="178"/>
        <v>0</v>
      </c>
      <c r="AW328" s="1378">
        <f t="shared" si="179"/>
        <v>0</v>
      </c>
      <c r="AX328" s="1378">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78">
        <f t="shared" si="178"/>
        <v>0</v>
      </c>
      <c r="AW329" s="1378">
        <f t="shared" si="179"/>
        <v>0</v>
      </c>
      <c r="AX329" s="1378">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78">
        <f t="shared" si="178"/>
        <v>0</v>
      </c>
      <c r="AW330" s="1378">
        <f t="shared" si="179"/>
        <v>0</v>
      </c>
      <c r="AX330" s="1378">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78">
        <f t="shared" si="178"/>
        <v>0</v>
      </c>
      <c r="AW331" s="1378">
        <f t="shared" si="179"/>
        <v>0</v>
      </c>
      <c r="AX331" s="1378">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78">
        <f t="shared" si="178"/>
        <v>0</v>
      </c>
      <c r="AW332" s="1378">
        <f t="shared" si="179"/>
        <v>0</v>
      </c>
      <c r="AX332" s="1378">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78">
        <f t="shared" si="178"/>
        <v>0</v>
      </c>
      <c r="AW333" s="1378">
        <f t="shared" si="179"/>
        <v>0</v>
      </c>
      <c r="AX333" s="1378">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78">
        <f t="shared" si="178"/>
        <v>0</v>
      </c>
      <c r="AW334" s="1378">
        <f t="shared" si="179"/>
        <v>0</v>
      </c>
      <c r="AX334" s="1378">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78">
        <f t="shared" ref="AV335:AV366" si="207">A335</f>
        <v>0</v>
      </c>
      <c r="AW335" s="1378">
        <f t="shared" ref="AW335:AW366" si="208">B335</f>
        <v>0</v>
      </c>
      <c r="AX335" s="1378">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78">
        <f t="shared" si="207"/>
        <v>0</v>
      </c>
      <c r="AW336" s="1378">
        <f t="shared" si="208"/>
        <v>0</v>
      </c>
      <c r="AX336" s="1378">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78">
        <f t="shared" si="207"/>
        <v>0</v>
      </c>
      <c r="AW337" s="1378">
        <f t="shared" si="208"/>
        <v>0</v>
      </c>
      <c r="AX337" s="1378">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78">
        <f t="shared" si="207"/>
        <v>0</v>
      </c>
      <c r="AW338" s="1378">
        <f t="shared" si="208"/>
        <v>0</v>
      </c>
      <c r="AX338" s="1378">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78">
        <f t="shared" si="207"/>
        <v>0</v>
      </c>
      <c r="AW339" s="1378">
        <f t="shared" si="208"/>
        <v>0</v>
      </c>
      <c r="AX339" s="1378">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78">
        <f t="shared" si="207"/>
        <v>0</v>
      </c>
      <c r="AW340" s="1378">
        <f t="shared" si="208"/>
        <v>0</v>
      </c>
      <c r="AX340" s="1378">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78">
        <f t="shared" si="207"/>
        <v>0</v>
      </c>
      <c r="AW341" s="1378">
        <f t="shared" si="208"/>
        <v>0</v>
      </c>
      <c r="AX341" s="1378">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78">
        <f t="shared" si="207"/>
        <v>0</v>
      </c>
      <c r="AW342" s="1378">
        <f t="shared" si="208"/>
        <v>0</v>
      </c>
      <c r="AX342" s="1378">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78">
        <f t="shared" si="207"/>
        <v>0</v>
      </c>
      <c r="AW343" s="1378">
        <f t="shared" si="208"/>
        <v>0</v>
      </c>
      <c r="AX343" s="1378">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78">
        <f t="shared" si="207"/>
        <v>0</v>
      </c>
      <c r="AW344" s="1378">
        <f t="shared" si="208"/>
        <v>0</v>
      </c>
      <c r="AX344" s="1378">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78">
        <f t="shared" si="207"/>
        <v>0</v>
      </c>
      <c r="AW345" s="1378">
        <f t="shared" si="208"/>
        <v>0</v>
      </c>
      <c r="AX345" s="1378">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78">
        <f t="shared" si="207"/>
        <v>0</v>
      </c>
      <c r="AW346" s="1378">
        <f t="shared" si="208"/>
        <v>0</v>
      </c>
      <c r="AX346" s="1378">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78">
        <f t="shared" si="207"/>
        <v>0</v>
      </c>
      <c r="AW347" s="1378">
        <f t="shared" si="208"/>
        <v>0</v>
      </c>
      <c r="AX347" s="1378">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78">
        <f t="shared" si="207"/>
        <v>0</v>
      </c>
      <c r="AW348" s="1378">
        <f t="shared" si="208"/>
        <v>0</v>
      </c>
      <c r="AX348" s="1378">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78">
        <f t="shared" si="207"/>
        <v>0</v>
      </c>
      <c r="AW349" s="1378">
        <f t="shared" si="208"/>
        <v>0</v>
      </c>
      <c r="AX349" s="1378">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78">
        <f t="shared" si="207"/>
        <v>0</v>
      </c>
      <c r="AW350" s="1378">
        <f t="shared" si="208"/>
        <v>0</v>
      </c>
      <c r="AX350" s="1378">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78">
        <f t="shared" si="207"/>
        <v>0</v>
      </c>
      <c r="AW351" s="1378">
        <f t="shared" si="208"/>
        <v>0</v>
      </c>
      <c r="AX351" s="1378">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78">
        <f t="shared" si="207"/>
        <v>0</v>
      </c>
      <c r="AW352" s="1378">
        <f t="shared" si="208"/>
        <v>0</v>
      </c>
      <c r="AX352" s="1378">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78">
        <f t="shared" si="207"/>
        <v>0</v>
      </c>
      <c r="AW353" s="1378">
        <f t="shared" si="208"/>
        <v>0</v>
      </c>
      <c r="AX353" s="1378">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78">
        <f t="shared" si="207"/>
        <v>0</v>
      </c>
      <c r="AW354" s="1378">
        <f t="shared" si="208"/>
        <v>0</v>
      </c>
      <c r="AX354" s="1378">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78">
        <f t="shared" si="207"/>
        <v>0</v>
      </c>
      <c r="AW355" s="1378">
        <f t="shared" si="208"/>
        <v>0</v>
      </c>
      <c r="AX355" s="1378">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78">
        <f t="shared" si="207"/>
        <v>0</v>
      </c>
      <c r="AW356" s="1378">
        <f t="shared" si="208"/>
        <v>0</v>
      </c>
      <c r="AX356" s="1378">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78">
        <f t="shared" si="207"/>
        <v>0</v>
      </c>
      <c r="AW357" s="1378">
        <f t="shared" si="208"/>
        <v>0</v>
      </c>
      <c r="AX357" s="1378">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78">
        <f t="shared" si="207"/>
        <v>0</v>
      </c>
      <c r="AW358" s="1378">
        <f t="shared" si="208"/>
        <v>0</v>
      </c>
      <c r="AX358" s="1378">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78">
        <f t="shared" si="207"/>
        <v>0</v>
      </c>
      <c r="AW359" s="1378">
        <f t="shared" si="208"/>
        <v>0</v>
      </c>
      <c r="AX359" s="1378">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78">
        <f t="shared" si="207"/>
        <v>0</v>
      </c>
      <c r="AW360" s="1378">
        <f t="shared" si="208"/>
        <v>0</v>
      </c>
      <c r="AX360" s="1378">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78">
        <f t="shared" si="207"/>
        <v>0</v>
      </c>
      <c r="AW361" s="1378">
        <f t="shared" si="208"/>
        <v>0</v>
      </c>
      <c r="AX361" s="1378">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78">
        <f t="shared" si="207"/>
        <v>0</v>
      </c>
      <c r="AW362" s="1378">
        <f t="shared" si="208"/>
        <v>0</v>
      </c>
      <c r="AX362" s="1378">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78">
        <f t="shared" si="207"/>
        <v>0</v>
      </c>
      <c r="AW363" s="1378">
        <f t="shared" si="208"/>
        <v>0</v>
      </c>
      <c r="AX363" s="1378">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78">
        <f t="shared" si="207"/>
        <v>0</v>
      </c>
      <c r="AW364" s="1378">
        <f t="shared" si="208"/>
        <v>0</v>
      </c>
      <c r="AX364" s="1378">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78">
        <f t="shared" si="207"/>
        <v>0</v>
      </c>
      <c r="AW365" s="1378">
        <f t="shared" si="208"/>
        <v>0</v>
      </c>
      <c r="AX365" s="1378">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78">
        <f t="shared" si="207"/>
        <v>0</v>
      </c>
      <c r="AW366" s="1378">
        <f t="shared" si="208"/>
        <v>0</v>
      </c>
      <c r="AX366" s="1378">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78">
        <f t="shared" ref="AV367:AV397" si="236">A367</f>
        <v>0</v>
      </c>
      <c r="AW367" s="1378">
        <f t="shared" ref="AW367:AW397" si="237">B367</f>
        <v>0</v>
      </c>
      <c r="AX367" s="1378">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78">
        <f t="shared" si="236"/>
        <v>0</v>
      </c>
      <c r="AW368" s="1378">
        <f t="shared" si="237"/>
        <v>0</v>
      </c>
      <c r="AX368" s="1378">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78">
        <f t="shared" si="236"/>
        <v>0</v>
      </c>
      <c r="AW369" s="1378">
        <f t="shared" si="237"/>
        <v>0</v>
      </c>
      <c r="AX369" s="1378">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78">
        <f t="shared" si="236"/>
        <v>0</v>
      </c>
      <c r="AW370" s="1378">
        <f t="shared" si="237"/>
        <v>0</v>
      </c>
      <c r="AX370" s="1378">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78">
        <f t="shared" si="236"/>
        <v>0</v>
      </c>
      <c r="AW371" s="1378">
        <f t="shared" si="237"/>
        <v>0</v>
      </c>
      <c r="AX371" s="1378">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78">
        <f t="shared" si="236"/>
        <v>0</v>
      </c>
      <c r="AW372" s="1378">
        <f t="shared" si="237"/>
        <v>0</v>
      </c>
      <c r="AX372" s="1378">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78">
        <f t="shared" si="236"/>
        <v>0</v>
      </c>
      <c r="AW373" s="1378">
        <f t="shared" si="237"/>
        <v>0</v>
      </c>
      <c r="AX373" s="1378">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78">
        <f t="shared" si="236"/>
        <v>0</v>
      </c>
      <c r="AW374" s="1378">
        <f t="shared" si="237"/>
        <v>0</v>
      </c>
      <c r="AX374" s="1378">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78">
        <f t="shared" si="236"/>
        <v>0</v>
      </c>
      <c r="AW375" s="1378">
        <f t="shared" si="237"/>
        <v>0</v>
      </c>
      <c r="AX375" s="1378">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78">
        <f t="shared" si="236"/>
        <v>0</v>
      </c>
      <c r="AW376" s="1378">
        <f t="shared" si="237"/>
        <v>0</v>
      </c>
      <c r="AX376" s="1378">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78">
        <f t="shared" si="236"/>
        <v>0</v>
      </c>
      <c r="AW377" s="1378">
        <f t="shared" si="237"/>
        <v>0</v>
      </c>
      <c r="AX377" s="1378">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78">
        <f t="shared" si="236"/>
        <v>0</v>
      </c>
      <c r="AW378" s="1378">
        <f t="shared" si="237"/>
        <v>0</v>
      </c>
      <c r="AX378" s="1378">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78">
        <f t="shared" si="236"/>
        <v>0</v>
      </c>
      <c r="AW379" s="1378">
        <f t="shared" si="237"/>
        <v>0</v>
      </c>
      <c r="AX379" s="1378">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78">
        <f t="shared" si="236"/>
        <v>0</v>
      </c>
      <c r="AW380" s="1378">
        <f t="shared" si="237"/>
        <v>0</v>
      </c>
      <c r="AX380" s="1378">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78">
        <f t="shared" si="236"/>
        <v>0</v>
      </c>
      <c r="AW381" s="1378">
        <f t="shared" si="237"/>
        <v>0</v>
      </c>
      <c r="AX381" s="1378">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78">
        <f t="shared" si="236"/>
        <v>0</v>
      </c>
      <c r="AW382" s="1378">
        <f t="shared" si="237"/>
        <v>0</v>
      </c>
      <c r="AX382" s="1378">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78">
        <f t="shared" si="236"/>
        <v>0</v>
      </c>
      <c r="AW383" s="1378">
        <f t="shared" si="237"/>
        <v>0</v>
      </c>
      <c r="AX383" s="1378">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78">
        <f t="shared" si="236"/>
        <v>0</v>
      </c>
      <c r="AW384" s="1378">
        <f t="shared" si="237"/>
        <v>0</v>
      </c>
      <c r="AX384" s="1378">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78">
        <f t="shared" si="236"/>
        <v>0</v>
      </c>
      <c r="AW385" s="1378">
        <f t="shared" si="237"/>
        <v>0</v>
      </c>
      <c r="AX385" s="1378">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78">
        <f t="shared" si="236"/>
        <v>0</v>
      </c>
      <c r="AW386" s="1378">
        <f t="shared" si="237"/>
        <v>0</v>
      </c>
      <c r="AX386" s="1378">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78">
        <f t="shared" si="236"/>
        <v>0</v>
      </c>
      <c r="AW387" s="1378">
        <f t="shared" si="237"/>
        <v>0</v>
      </c>
      <c r="AX387" s="1378">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78">
        <f t="shared" si="236"/>
        <v>0</v>
      </c>
      <c r="AW388" s="1378">
        <f t="shared" si="237"/>
        <v>0</v>
      </c>
      <c r="AX388" s="1378">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78">
        <f t="shared" si="236"/>
        <v>0</v>
      </c>
      <c r="AW389" s="1378">
        <f t="shared" si="237"/>
        <v>0</v>
      </c>
      <c r="AX389" s="1378">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78">
        <f t="shared" si="236"/>
        <v>0</v>
      </c>
      <c r="AW390" s="1378">
        <f t="shared" si="237"/>
        <v>0</v>
      </c>
      <c r="AX390" s="1378">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78">
        <f t="shared" si="236"/>
        <v>0</v>
      </c>
      <c r="AW391" s="1378">
        <f t="shared" si="237"/>
        <v>0</v>
      </c>
      <c r="AX391" s="1378">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78">
        <f t="shared" si="236"/>
        <v>0</v>
      </c>
      <c r="AW392" s="1378">
        <f t="shared" si="237"/>
        <v>0</v>
      </c>
      <c r="AX392" s="1378">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78">
        <f t="shared" si="236"/>
        <v>0</v>
      </c>
      <c r="AW393" s="1378">
        <f t="shared" si="237"/>
        <v>0</v>
      </c>
      <c r="AX393" s="1378">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78">
        <f t="shared" si="236"/>
        <v>0</v>
      </c>
      <c r="AW394" s="1378">
        <f t="shared" si="237"/>
        <v>0</v>
      </c>
      <c r="AX394" s="1378">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78">
        <f t="shared" si="236"/>
        <v>0</v>
      </c>
      <c r="AW395" s="1378">
        <f t="shared" si="237"/>
        <v>0</v>
      </c>
      <c r="AX395" s="1378">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78">
        <f t="shared" si="236"/>
        <v>0</v>
      </c>
      <c r="AW396" s="1378">
        <f t="shared" si="237"/>
        <v>0</v>
      </c>
      <c r="AX396" s="1378">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78">
        <f t="shared" si="236"/>
        <v>0</v>
      </c>
      <c r="AW397" s="1378">
        <f t="shared" si="237"/>
        <v>0</v>
      </c>
      <c r="AX397" s="1378">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78">
        <f t="shared" ref="AV398:AV492" si="243">A398</f>
        <v>0</v>
      </c>
      <c r="AW398" s="1378">
        <f t="shared" ref="AW398:AW492" si="244">B398</f>
        <v>0</v>
      </c>
      <c r="AX398" s="1378">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78">
        <f t="shared" si="243"/>
        <v>0</v>
      </c>
      <c r="AW399" s="1378">
        <f t="shared" si="244"/>
        <v>0</v>
      </c>
      <c r="AX399" s="1378">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78">
        <f t="shared" si="243"/>
        <v>0</v>
      </c>
      <c r="AW400" s="1378">
        <f t="shared" si="244"/>
        <v>0</v>
      </c>
      <c r="AX400" s="1378">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78">
        <f t="shared" si="243"/>
        <v>0</v>
      </c>
      <c r="AW401" s="1378">
        <f t="shared" si="244"/>
        <v>0</v>
      </c>
      <c r="AX401" s="1378">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78">
        <f t="shared" si="243"/>
        <v>0</v>
      </c>
      <c r="AW402" s="1378">
        <f t="shared" si="244"/>
        <v>0</v>
      </c>
      <c r="AX402" s="1378">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78">
        <f t="shared" si="243"/>
        <v>0</v>
      </c>
      <c r="AW403" s="1378">
        <f t="shared" si="244"/>
        <v>0</v>
      </c>
      <c r="AX403" s="1378">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78">
        <f t="shared" si="243"/>
        <v>0</v>
      </c>
      <c r="AW404" s="1378">
        <f t="shared" si="244"/>
        <v>0</v>
      </c>
      <c r="AX404" s="1378">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78">
        <f t="shared" si="243"/>
        <v>0</v>
      </c>
      <c r="AW405" s="1378">
        <f t="shared" si="244"/>
        <v>0</v>
      </c>
      <c r="AX405" s="1378">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78">
        <f t="shared" si="243"/>
        <v>0</v>
      </c>
      <c r="AW406" s="1378">
        <f t="shared" si="244"/>
        <v>0</v>
      </c>
      <c r="AX406" s="1378">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78">
        <f t="shared" si="243"/>
        <v>0</v>
      </c>
      <c r="AW407" s="1378">
        <f t="shared" si="244"/>
        <v>0</v>
      </c>
      <c r="AX407" s="1378">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78">
        <f t="shared" si="243"/>
        <v>0</v>
      </c>
      <c r="AW408" s="1378">
        <f t="shared" si="244"/>
        <v>0</v>
      </c>
      <c r="AX408" s="1378">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78">
        <f t="shared" si="243"/>
        <v>0</v>
      </c>
      <c r="AW409" s="1378">
        <f t="shared" si="244"/>
        <v>0</v>
      </c>
      <c r="AX409" s="1378">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78">
        <f t="shared" si="243"/>
        <v>0</v>
      </c>
      <c r="AW410" s="1378">
        <f t="shared" si="244"/>
        <v>0</v>
      </c>
      <c r="AX410" s="1378">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78">
        <f t="shared" si="243"/>
        <v>0</v>
      </c>
      <c r="AW411" s="1378">
        <f t="shared" si="244"/>
        <v>0</v>
      </c>
      <c r="AX411" s="1378">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78">
        <f t="shared" si="243"/>
        <v>0</v>
      </c>
      <c r="AW412" s="1378">
        <f t="shared" si="244"/>
        <v>0</v>
      </c>
      <c r="AX412" s="1378">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78">
        <f t="shared" si="243"/>
        <v>0</v>
      </c>
      <c r="AW413" s="1378">
        <f t="shared" si="244"/>
        <v>0</v>
      </c>
      <c r="AX413" s="1378">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78">
        <f t="shared" si="243"/>
        <v>0</v>
      </c>
      <c r="AW414" s="1378">
        <f t="shared" si="244"/>
        <v>0</v>
      </c>
      <c r="AX414" s="1378">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78">
        <f t="shared" si="243"/>
        <v>0</v>
      </c>
      <c r="AW415" s="1378">
        <f t="shared" si="244"/>
        <v>0</v>
      </c>
      <c r="AX415" s="1378">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78">
        <f t="shared" si="243"/>
        <v>0</v>
      </c>
      <c r="AW416" s="1378">
        <f t="shared" si="244"/>
        <v>0</v>
      </c>
      <c r="AX416" s="1378">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78">
        <f t="shared" si="243"/>
        <v>0</v>
      </c>
      <c r="AW417" s="1378">
        <f t="shared" si="244"/>
        <v>0</v>
      </c>
      <c r="AX417" s="1378">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78">
        <f t="shared" si="243"/>
        <v>0</v>
      </c>
      <c r="AW418" s="1378">
        <f t="shared" si="244"/>
        <v>0</v>
      </c>
      <c r="AX418" s="1378">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78">
        <f t="shared" si="243"/>
        <v>0</v>
      </c>
      <c r="AW419" s="1378">
        <f t="shared" si="244"/>
        <v>0</v>
      </c>
      <c r="AX419" s="1378">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78">
        <f t="shared" si="243"/>
        <v>0</v>
      </c>
      <c r="AW420" s="1378">
        <f t="shared" si="244"/>
        <v>0</v>
      </c>
      <c r="AX420" s="1378">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78">
        <f t="shared" si="243"/>
        <v>0</v>
      </c>
      <c r="AW421" s="1378">
        <f t="shared" si="244"/>
        <v>0</v>
      </c>
      <c r="AX421" s="1378">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78">
        <f t="shared" si="243"/>
        <v>0</v>
      </c>
      <c r="AW422" s="1378">
        <f t="shared" si="244"/>
        <v>0</v>
      </c>
      <c r="AX422" s="1378">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78">
        <f t="shared" si="243"/>
        <v>0</v>
      </c>
      <c r="AW423" s="1378">
        <f t="shared" si="244"/>
        <v>0</v>
      </c>
      <c r="AX423" s="1378">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78">
        <f t="shared" si="243"/>
        <v>0</v>
      </c>
      <c r="AW424" s="1378">
        <f t="shared" si="244"/>
        <v>0</v>
      </c>
      <c r="AX424" s="1378">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78">
        <f t="shared" si="243"/>
        <v>0</v>
      </c>
      <c r="AW425" s="1378">
        <f t="shared" si="244"/>
        <v>0</v>
      </c>
      <c r="AX425" s="1378">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78">
        <f t="shared" si="243"/>
        <v>0</v>
      </c>
      <c r="AW426" s="1378">
        <f t="shared" si="244"/>
        <v>0</v>
      </c>
      <c r="AX426" s="1378">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78">
        <f t="shared" si="243"/>
        <v>0</v>
      </c>
      <c r="AW427" s="1378">
        <f t="shared" si="244"/>
        <v>0</v>
      </c>
      <c r="AX427" s="1378">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78">
        <f t="shared" si="243"/>
        <v>0</v>
      </c>
      <c r="AW428" s="1378">
        <f t="shared" si="244"/>
        <v>0</v>
      </c>
      <c r="AX428" s="1378">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78">
        <f t="shared" si="243"/>
        <v>0</v>
      </c>
      <c r="AW429" s="1378">
        <f t="shared" si="244"/>
        <v>0</v>
      </c>
      <c r="AX429" s="1378">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78">
        <f t="shared" si="243"/>
        <v>0</v>
      </c>
      <c r="AW430" s="1378">
        <f t="shared" si="244"/>
        <v>0</v>
      </c>
      <c r="AX430" s="1378">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78">
        <f t="shared" si="243"/>
        <v>0</v>
      </c>
      <c r="AW431" s="1378">
        <f t="shared" si="244"/>
        <v>0</v>
      </c>
      <c r="AX431" s="1378">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78">
        <f t="shared" si="243"/>
        <v>0</v>
      </c>
      <c r="AW432" s="1378">
        <f t="shared" si="244"/>
        <v>0</v>
      </c>
      <c r="AX432" s="1378">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78">
        <f t="shared" si="243"/>
        <v>0</v>
      </c>
      <c r="AW433" s="1378">
        <f t="shared" si="244"/>
        <v>0</v>
      </c>
      <c r="AX433" s="1378">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78">
        <f t="shared" si="243"/>
        <v>0</v>
      </c>
      <c r="AW434" s="1378">
        <f t="shared" si="244"/>
        <v>0</v>
      </c>
      <c r="AX434" s="1378">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78">
        <f t="shared" si="243"/>
        <v>0</v>
      </c>
      <c r="AW435" s="1378">
        <f t="shared" si="244"/>
        <v>0</v>
      </c>
      <c r="AX435" s="1378">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78">
        <f t="shared" si="243"/>
        <v>0</v>
      </c>
      <c r="AW436" s="1378">
        <f t="shared" si="244"/>
        <v>0</v>
      </c>
      <c r="AX436" s="1378">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78">
        <f t="shared" si="243"/>
        <v>0</v>
      </c>
      <c r="AW437" s="1378">
        <f t="shared" si="244"/>
        <v>0</v>
      </c>
      <c r="AX437" s="1378">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78">
        <f t="shared" si="243"/>
        <v>0</v>
      </c>
      <c r="AW438" s="1378">
        <f t="shared" si="244"/>
        <v>0</v>
      </c>
      <c r="AX438" s="1378">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78">
        <f t="shared" si="243"/>
        <v>0</v>
      </c>
      <c r="AW439" s="1378">
        <f t="shared" si="244"/>
        <v>0</v>
      </c>
      <c r="AX439" s="1378">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78">
        <f t="shared" si="243"/>
        <v>0</v>
      </c>
      <c r="AW440" s="1378">
        <f t="shared" si="244"/>
        <v>0</v>
      </c>
      <c r="AX440" s="1378">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78">
        <f t="shared" si="243"/>
        <v>0</v>
      </c>
      <c r="AW441" s="1378">
        <f t="shared" si="244"/>
        <v>0</v>
      </c>
      <c r="AX441" s="1378">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78">
        <f t="shared" si="243"/>
        <v>0</v>
      </c>
      <c r="AW442" s="1378">
        <f t="shared" si="244"/>
        <v>0</v>
      </c>
      <c r="AX442" s="1378">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78">
        <f t="shared" si="243"/>
        <v>0</v>
      </c>
      <c r="AW443" s="1378">
        <f t="shared" si="244"/>
        <v>0</v>
      </c>
      <c r="AX443" s="1378">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78">
        <f t="shared" si="243"/>
        <v>0</v>
      </c>
      <c r="AW444" s="1378">
        <f t="shared" si="244"/>
        <v>0</v>
      </c>
      <c r="AX444" s="1378">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78">
        <f t="shared" si="243"/>
        <v>0</v>
      </c>
      <c r="AW445" s="1378">
        <f t="shared" si="244"/>
        <v>0</v>
      </c>
      <c r="AX445" s="1378">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78">
        <f t="shared" si="243"/>
        <v>0</v>
      </c>
      <c r="AW446" s="1378">
        <f t="shared" si="244"/>
        <v>0</v>
      </c>
      <c r="AX446" s="1378">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78">
        <f t="shared" si="243"/>
        <v>0</v>
      </c>
      <c r="AW447" s="1378">
        <f t="shared" si="244"/>
        <v>0</v>
      </c>
      <c r="AX447" s="1378">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78">
        <f t="shared" si="243"/>
        <v>0</v>
      </c>
      <c r="AW448" s="1378">
        <f t="shared" si="244"/>
        <v>0</v>
      </c>
      <c r="AX448" s="1378">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78">
        <f t="shared" si="243"/>
        <v>0</v>
      </c>
      <c r="AW449" s="1378">
        <f t="shared" si="244"/>
        <v>0</v>
      </c>
      <c r="AX449" s="1378">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78">
        <f t="shared" si="243"/>
        <v>0</v>
      </c>
      <c r="AW450" s="1378">
        <f t="shared" si="244"/>
        <v>0</v>
      </c>
      <c r="AX450" s="1378">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78">
        <f t="shared" si="243"/>
        <v>0</v>
      </c>
      <c r="AW451" s="1378">
        <f t="shared" si="244"/>
        <v>0</v>
      </c>
      <c r="AX451" s="1378">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78">
        <f t="shared" si="243"/>
        <v>0</v>
      </c>
      <c r="AW452" s="1378">
        <f t="shared" si="244"/>
        <v>0</v>
      </c>
      <c r="AX452" s="1378">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78">
        <f t="shared" si="243"/>
        <v>0</v>
      </c>
      <c r="AW453" s="1378">
        <f t="shared" si="244"/>
        <v>0</v>
      </c>
      <c r="AX453" s="1378">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78">
        <f t="shared" si="243"/>
        <v>0</v>
      </c>
      <c r="AW454" s="1378">
        <f t="shared" si="244"/>
        <v>0</v>
      </c>
      <c r="AX454" s="1378">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78">
        <f t="shared" si="243"/>
        <v>0</v>
      </c>
      <c r="AW455" s="1378">
        <f t="shared" si="244"/>
        <v>0</v>
      </c>
      <c r="AX455" s="1378">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78">
        <f t="shared" si="243"/>
        <v>0</v>
      </c>
      <c r="AW456" s="1378">
        <f t="shared" si="244"/>
        <v>0</v>
      </c>
      <c r="AX456" s="1378">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78">
        <f t="shared" si="243"/>
        <v>0</v>
      </c>
      <c r="AW457" s="1378">
        <f t="shared" si="244"/>
        <v>0</v>
      </c>
      <c r="AX457" s="1378">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78">
        <f t="shared" si="243"/>
        <v>0</v>
      </c>
      <c r="AW458" s="1378">
        <f t="shared" si="244"/>
        <v>0</v>
      </c>
      <c r="AX458" s="1378">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78">
        <f t="shared" si="243"/>
        <v>0</v>
      </c>
      <c r="AW459" s="1378">
        <f t="shared" si="244"/>
        <v>0</v>
      </c>
      <c r="AX459" s="1378">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78">
        <f t="shared" si="243"/>
        <v>0</v>
      </c>
      <c r="AW460" s="1378">
        <f t="shared" si="244"/>
        <v>0</v>
      </c>
      <c r="AX460" s="1378">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78">
        <f t="shared" si="243"/>
        <v>0</v>
      </c>
      <c r="AW461" s="1378">
        <f t="shared" si="244"/>
        <v>0</v>
      </c>
      <c r="AX461" s="1378">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78">
        <f t="shared" si="243"/>
        <v>0</v>
      </c>
      <c r="AW462" s="1378">
        <f t="shared" si="244"/>
        <v>0</v>
      </c>
      <c r="AX462" s="1378">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78">
        <f t="shared" si="243"/>
        <v>0</v>
      </c>
      <c r="AW463" s="1378">
        <f t="shared" si="244"/>
        <v>0</v>
      </c>
      <c r="AX463" s="1378">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78">
        <f t="shared" si="243"/>
        <v>0</v>
      </c>
      <c r="AW464" s="1378">
        <f t="shared" si="244"/>
        <v>0</v>
      </c>
      <c r="AX464" s="1378">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78">
        <f t="shared" si="243"/>
        <v>0</v>
      </c>
      <c r="AW465" s="1378">
        <f t="shared" si="244"/>
        <v>0</v>
      </c>
      <c r="AX465" s="1378">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78">
        <f t="shared" si="243"/>
        <v>0</v>
      </c>
      <c r="AW466" s="1378">
        <f t="shared" si="244"/>
        <v>0</v>
      </c>
      <c r="AX466" s="1378">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78">
        <f t="shared" si="243"/>
        <v>0</v>
      </c>
      <c r="AW467" s="1378">
        <f t="shared" si="244"/>
        <v>0</v>
      </c>
      <c r="AX467" s="1378">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78">
        <f t="shared" si="243"/>
        <v>0</v>
      </c>
      <c r="AW468" s="1378">
        <f t="shared" si="244"/>
        <v>0</v>
      </c>
      <c r="AX468" s="1378">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78">
        <f t="shared" si="243"/>
        <v>0</v>
      </c>
      <c r="AW469" s="1378">
        <f t="shared" si="244"/>
        <v>0</v>
      </c>
      <c r="AX469" s="1378">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78">
        <f t="shared" si="243"/>
        <v>0</v>
      </c>
      <c r="AW470" s="1378">
        <f t="shared" si="244"/>
        <v>0</v>
      </c>
      <c r="AX470" s="1378">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78">
        <f t="shared" si="243"/>
        <v>0</v>
      </c>
      <c r="AW471" s="1378">
        <f t="shared" si="244"/>
        <v>0</v>
      </c>
      <c r="AX471" s="1378">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78">
        <f t="shared" si="243"/>
        <v>0</v>
      </c>
      <c r="AW472" s="1378">
        <f t="shared" si="244"/>
        <v>0</v>
      </c>
      <c r="AX472" s="1378">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78">
        <f t="shared" si="243"/>
        <v>0</v>
      </c>
      <c r="AW473" s="1378">
        <f t="shared" si="244"/>
        <v>0</v>
      </c>
      <c r="AX473" s="1378">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78">
        <f t="shared" si="243"/>
        <v>0</v>
      </c>
      <c r="AW474" s="1378">
        <f t="shared" si="244"/>
        <v>0</v>
      </c>
      <c r="AX474" s="1378">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78">
        <f t="shared" si="243"/>
        <v>0</v>
      </c>
      <c r="AW475" s="1378">
        <f t="shared" si="244"/>
        <v>0</v>
      </c>
      <c r="AX475" s="1378">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78">
        <f t="shared" si="243"/>
        <v>0</v>
      </c>
      <c r="AW476" s="1378">
        <f t="shared" si="244"/>
        <v>0</v>
      </c>
      <c r="AX476" s="1378">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78">
        <f t="shared" si="243"/>
        <v>0</v>
      </c>
      <c r="AW477" s="1378">
        <f t="shared" si="244"/>
        <v>0</v>
      </c>
      <c r="AX477" s="1378">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78">
        <f t="shared" si="243"/>
        <v>0</v>
      </c>
      <c r="AW478" s="1378">
        <f t="shared" si="244"/>
        <v>0</v>
      </c>
      <c r="AX478" s="1378">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78">
        <f t="shared" si="243"/>
        <v>0</v>
      </c>
      <c r="AW479" s="1378">
        <f t="shared" si="244"/>
        <v>0</v>
      </c>
      <c r="AX479" s="1378">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78">
        <f t="shared" si="243"/>
        <v>0</v>
      </c>
      <c r="AW480" s="1378">
        <f t="shared" si="244"/>
        <v>0</v>
      </c>
      <c r="AX480" s="1378">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78">
        <f t="shared" si="243"/>
        <v>0</v>
      </c>
      <c r="AW481" s="1378">
        <f t="shared" si="244"/>
        <v>0</v>
      </c>
      <c r="AX481" s="1378">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78">
        <f t="shared" si="243"/>
        <v>0</v>
      </c>
      <c r="AW482" s="1378">
        <f t="shared" si="244"/>
        <v>0</v>
      </c>
      <c r="AX482" s="1378">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78">
        <f t="shared" si="243"/>
        <v>0</v>
      </c>
      <c r="AW483" s="1378">
        <f t="shared" si="244"/>
        <v>0</v>
      </c>
      <c r="AX483" s="1378">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78">
        <f t="shared" si="243"/>
        <v>0</v>
      </c>
      <c r="AW484" s="1378">
        <f t="shared" si="244"/>
        <v>0</v>
      </c>
      <c r="AX484" s="1378">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78">
        <f t="shared" si="243"/>
        <v>0</v>
      </c>
      <c r="AW485" s="1378">
        <f t="shared" si="244"/>
        <v>0</v>
      </c>
      <c r="AX485" s="1378">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78">
        <f t="shared" si="243"/>
        <v>0</v>
      </c>
      <c r="AW486" s="1378">
        <f t="shared" si="244"/>
        <v>0</v>
      </c>
      <c r="AX486" s="1378">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78">
        <f t="shared" si="243"/>
        <v>0</v>
      </c>
      <c r="AW487" s="1378">
        <f t="shared" si="244"/>
        <v>0</v>
      </c>
      <c r="AX487" s="1378">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78">
        <f t="shared" si="243"/>
        <v>0</v>
      </c>
      <c r="AW488" s="1378">
        <f t="shared" si="244"/>
        <v>0</v>
      </c>
      <c r="AX488" s="1378">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78">
        <f t="shared" si="243"/>
        <v>0</v>
      </c>
      <c r="AW489" s="1378">
        <f t="shared" si="244"/>
        <v>0</v>
      </c>
      <c r="AX489" s="1378">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78">
        <f t="shared" si="243"/>
        <v>0</v>
      </c>
      <c r="AW490" s="1378">
        <f t="shared" si="244"/>
        <v>0</v>
      </c>
      <c r="AX490" s="1378">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78">
        <f t="shared" si="243"/>
        <v>0</v>
      </c>
      <c r="AW491" s="1378">
        <f t="shared" si="244"/>
        <v>0</v>
      </c>
      <c r="AX491" s="1378">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78">
        <f t="shared" si="243"/>
        <v>0</v>
      </c>
      <c r="AW492" s="1378">
        <f t="shared" si="244"/>
        <v>0</v>
      </c>
      <c r="AX492" s="1378">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78">
        <f t="shared" ref="AV493:AV520" si="294">A493</f>
        <v>0</v>
      </c>
      <c r="AW493" s="1378">
        <f t="shared" ref="AW493:AW520" si="295">B493</f>
        <v>0</v>
      </c>
      <c r="AX493" s="1378">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78">
        <f t="shared" si="294"/>
        <v>0</v>
      </c>
      <c r="AW494" s="1378">
        <f t="shared" si="295"/>
        <v>0</v>
      </c>
      <c r="AX494" s="1378">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78">
        <f t="shared" si="294"/>
        <v>0</v>
      </c>
      <c r="AW495" s="1378">
        <f t="shared" si="295"/>
        <v>0</v>
      </c>
      <c r="AX495" s="1378">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78">
        <f t="shared" si="294"/>
        <v>0</v>
      </c>
      <c r="AW496" s="1378">
        <f t="shared" si="295"/>
        <v>0</v>
      </c>
      <c r="AX496" s="1378">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78">
        <f t="shared" si="294"/>
        <v>0</v>
      </c>
      <c r="AW497" s="1378">
        <f t="shared" si="295"/>
        <v>0</v>
      </c>
      <c r="AX497" s="1378">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78">
        <f t="shared" si="294"/>
        <v>0</v>
      </c>
      <c r="AW498" s="1378">
        <f t="shared" si="295"/>
        <v>0</v>
      </c>
      <c r="AX498" s="1378">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78">
        <f t="shared" si="294"/>
        <v>0</v>
      </c>
      <c r="AW499" s="1378">
        <f t="shared" si="295"/>
        <v>0</v>
      </c>
      <c r="AX499" s="1378">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78">
        <f t="shared" si="294"/>
        <v>0</v>
      </c>
      <c r="AW500" s="1378">
        <f t="shared" si="295"/>
        <v>0</v>
      </c>
      <c r="AX500" s="1378">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78">
        <f t="shared" si="294"/>
        <v>0</v>
      </c>
      <c r="AW501" s="1378">
        <f t="shared" si="295"/>
        <v>0</v>
      </c>
      <c r="AX501" s="1378">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78">
        <f t="shared" si="294"/>
        <v>0</v>
      </c>
      <c r="AW502" s="1378">
        <f t="shared" si="295"/>
        <v>0</v>
      </c>
      <c r="AX502" s="1378">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78">
        <f t="shared" si="294"/>
        <v>0</v>
      </c>
      <c r="AW503" s="1378">
        <f t="shared" si="295"/>
        <v>0</v>
      </c>
      <c r="AX503" s="1378">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78">
        <f t="shared" si="294"/>
        <v>0</v>
      </c>
      <c r="AW504" s="1378">
        <f t="shared" si="295"/>
        <v>0</v>
      </c>
      <c r="AX504" s="1378">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78">
        <f t="shared" si="294"/>
        <v>0</v>
      </c>
      <c r="AW505" s="1378">
        <f t="shared" si="295"/>
        <v>0</v>
      </c>
      <c r="AX505" s="1378">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78">
        <f t="shared" si="294"/>
        <v>0</v>
      </c>
      <c r="AW506" s="1378">
        <f t="shared" si="295"/>
        <v>0</v>
      </c>
      <c r="AX506" s="1378">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78">
        <f t="shared" si="294"/>
        <v>0</v>
      </c>
      <c r="AW507" s="1378">
        <f t="shared" si="295"/>
        <v>0</v>
      </c>
      <c r="AX507" s="1378">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78">
        <f t="shared" si="294"/>
        <v>0</v>
      </c>
      <c r="AW508" s="1378">
        <f t="shared" si="295"/>
        <v>0</v>
      </c>
      <c r="AX508" s="1378">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78">
        <f t="shared" si="294"/>
        <v>0</v>
      </c>
      <c r="AW509" s="1378">
        <f t="shared" si="295"/>
        <v>0</v>
      </c>
      <c r="AX509" s="1378">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78">
        <f t="shared" si="294"/>
        <v>0</v>
      </c>
      <c r="AW510" s="1378">
        <f t="shared" si="295"/>
        <v>0</v>
      </c>
      <c r="AX510" s="1378">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78">
        <f t="shared" si="294"/>
        <v>0</v>
      </c>
      <c r="AW511" s="1378">
        <f t="shared" si="295"/>
        <v>0</v>
      </c>
      <c r="AX511" s="1378">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78">
        <f t="shared" si="294"/>
        <v>0</v>
      </c>
      <c r="AW512" s="1378">
        <f t="shared" si="295"/>
        <v>0</v>
      </c>
      <c r="AX512" s="1378">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78">
        <f t="shared" si="294"/>
        <v>0</v>
      </c>
      <c r="AW513" s="1378">
        <f t="shared" si="295"/>
        <v>0</v>
      </c>
      <c r="AX513" s="1378">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78">
        <f t="shared" si="294"/>
        <v>0</v>
      </c>
      <c r="AW514" s="1378">
        <f t="shared" si="295"/>
        <v>0</v>
      </c>
      <c r="AX514" s="1378">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78">
        <f t="shared" si="294"/>
        <v>0</v>
      </c>
      <c r="AW515" s="1378">
        <f t="shared" si="295"/>
        <v>0</v>
      </c>
      <c r="AX515" s="1378">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78">
        <f t="shared" si="294"/>
        <v>0</v>
      </c>
      <c r="AW516" s="1378">
        <f t="shared" si="295"/>
        <v>0</v>
      </c>
      <c r="AX516" s="1378">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78">
        <f t="shared" si="294"/>
        <v>0</v>
      </c>
      <c r="AW517" s="1378">
        <f t="shared" si="295"/>
        <v>0</v>
      </c>
      <c r="AX517" s="1378">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78">
        <f t="shared" si="294"/>
        <v>0</v>
      </c>
      <c r="AW518" s="1378">
        <f t="shared" si="295"/>
        <v>0</v>
      </c>
      <c r="AX518" s="1378">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78">
        <f t="shared" si="294"/>
        <v>0</v>
      </c>
      <c r="AW519" s="1378">
        <f t="shared" si="295"/>
        <v>0</v>
      </c>
      <c r="AX519" s="1378">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78">
        <f t="shared" si="294"/>
        <v>0</v>
      </c>
      <c r="AW520" s="1378">
        <f t="shared" si="295"/>
        <v>0</v>
      </c>
      <c r="AX520" s="1378">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78">
        <f t="shared" ref="AV521:AV552" si="298">A521</f>
        <v>0</v>
      </c>
      <c r="AW521" s="1378">
        <f t="shared" ref="AW521:AW552" si="299">B521</f>
        <v>0</v>
      </c>
      <c r="AX521" s="1378">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78">
        <f t="shared" si="298"/>
        <v>0</v>
      </c>
      <c r="AW522" s="1378">
        <f t="shared" si="299"/>
        <v>0</v>
      </c>
      <c r="AX522" s="1378">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78">
        <f t="shared" si="298"/>
        <v>0</v>
      </c>
      <c r="AW523" s="1378">
        <f t="shared" si="299"/>
        <v>0</v>
      </c>
      <c r="AX523" s="1378">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78">
        <f t="shared" si="298"/>
        <v>0</v>
      </c>
      <c r="AW524" s="1378">
        <f t="shared" si="299"/>
        <v>0</v>
      </c>
      <c r="AX524" s="1378">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78">
        <f t="shared" si="298"/>
        <v>0</v>
      </c>
      <c r="AW525" s="1378">
        <f t="shared" si="299"/>
        <v>0</v>
      </c>
      <c r="AX525" s="1378">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78">
        <f t="shared" si="298"/>
        <v>0</v>
      </c>
      <c r="AW526" s="1378">
        <f t="shared" si="299"/>
        <v>0</v>
      </c>
      <c r="AX526" s="1378">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78">
        <f t="shared" si="298"/>
        <v>0</v>
      </c>
      <c r="AW527" s="1378">
        <f t="shared" si="299"/>
        <v>0</v>
      </c>
      <c r="AX527" s="1378">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78">
        <f t="shared" si="298"/>
        <v>0</v>
      </c>
      <c r="AW528" s="1378">
        <f t="shared" si="299"/>
        <v>0</v>
      </c>
      <c r="AX528" s="1378">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78">
        <f t="shared" si="298"/>
        <v>0</v>
      </c>
      <c r="AW529" s="1378">
        <f t="shared" si="299"/>
        <v>0</v>
      </c>
      <c r="AX529" s="1378">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78">
        <f t="shared" si="298"/>
        <v>0</v>
      </c>
      <c r="AW530" s="1378">
        <f t="shared" si="299"/>
        <v>0</v>
      </c>
      <c r="AX530" s="1378">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78">
        <f t="shared" si="298"/>
        <v>0</v>
      </c>
      <c r="AW531" s="1378">
        <f t="shared" si="299"/>
        <v>0</v>
      </c>
      <c r="AX531" s="1378">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78">
        <f t="shared" si="298"/>
        <v>0</v>
      </c>
      <c r="AW532" s="1378">
        <f t="shared" si="299"/>
        <v>0</v>
      </c>
      <c r="AX532" s="1378">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78">
        <f t="shared" si="298"/>
        <v>0</v>
      </c>
      <c r="AW533" s="1378">
        <f t="shared" si="299"/>
        <v>0</v>
      </c>
      <c r="AX533" s="1378">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78">
        <f t="shared" si="298"/>
        <v>0</v>
      </c>
      <c r="AW534" s="1378">
        <f t="shared" si="299"/>
        <v>0</v>
      </c>
      <c r="AX534" s="1378">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78">
        <f t="shared" si="298"/>
        <v>0</v>
      </c>
      <c r="AW535" s="1378">
        <f t="shared" si="299"/>
        <v>0</v>
      </c>
      <c r="AX535" s="1378">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78">
        <f t="shared" si="298"/>
        <v>0</v>
      </c>
      <c r="AW536" s="1378">
        <f t="shared" si="299"/>
        <v>0</v>
      </c>
      <c r="AX536" s="1378">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78">
        <f t="shared" si="298"/>
        <v>0</v>
      </c>
      <c r="AW537" s="1378">
        <f t="shared" si="299"/>
        <v>0</v>
      </c>
      <c r="AX537" s="1378">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78">
        <f t="shared" si="298"/>
        <v>0</v>
      </c>
      <c r="AW538" s="1378">
        <f t="shared" si="299"/>
        <v>0</v>
      </c>
      <c r="AX538" s="1378">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78">
        <f t="shared" si="298"/>
        <v>0</v>
      </c>
      <c r="AW539" s="1378">
        <f t="shared" si="299"/>
        <v>0</v>
      </c>
      <c r="AX539" s="1378">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78">
        <f t="shared" si="298"/>
        <v>0</v>
      </c>
      <c r="AW540" s="1378">
        <f t="shared" si="299"/>
        <v>0</v>
      </c>
      <c r="AX540" s="1378">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78">
        <f t="shared" si="298"/>
        <v>0</v>
      </c>
      <c r="AW541" s="1378">
        <f t="shared" si="299"/>
        <v>0</v>
      </c>
      <c r="AX541" s="1378">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78">
        <f t="shared" si="298"/>
        <v>0</v>
      </c>
      <c r="AW542" s="1378">
        <f t="shared" si="299"/>
        <v>0</v>
      </c>
      <c r="AX542" s="1378">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78">
        <f t="shared" si="298"/>
        <v>0</v>
      </c>
      <c r="AW543" s="1378">
        <f t="shared" si="299"/>
        <v>0</v>
      </c>
      <c r="AX543" s="1378">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78">
        <f t="shared" si="298"/>
        <v>0</v>
      </c>
      <c r="AW544" s="1378">
        <f t="shared" si="299"/>
        <v>0</v>
      </c>
      <c r="AX544" s="1378">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78">
        <f t="shared" si="298"/>
        <v>0</v>
      </c>
      <c r="AW545" s="1378">
        <f t="shared" si="299"/>
        <v>0</v>
      </c>
      <c r="AX545" s="1378">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78">
        <f t="shared" si="298"/>
        <v>0</v>
      </c>
      <c r="AW546" s="1378">
        <f t="shared" si="299"/>
        <v>0</v>
      </c>
      <c r="AX546" s="1378">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78">
        <f t="shared" si="298"/>
        <v>0</v>
      </c>
      <c r="AW547" s="1378">
        <f t="shared" si="299"/>
        <v>0</v>
      </c>
      <c r="AX547" s="1378">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78">
        <f t="shared" si="298"/>
        <v>0</v>
      </c>
      <c r="AW548" s="1378">
        <f t="shared" si="299"/>
        <v>0</v>
      </c>
      <c r="AX548" s="1378">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78">
        <f t="shared" si="298"/>
        <v>0</v>
      </c>
      <c r="AW549" s="1378">
        <f t="shared" si="299"/>
        <v>0</v>
      </c>
      <c r="AX549" s="1378">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78">
        <f t="shared" si="298"/>
        <v>0</v>
      </c>
      <c r="AW550" s="1378">
        <f t="shared" si="299"/>
        <v>0</v>
      </c>
      <c r="AX550" s="1378">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78">
        <f t="shared" si="298"/>
        <v>0</v>
      </c>
      <c r="AW551" s="1378">
        <f t="shared" si="299"/>
        <v>0</v>
      </c>
      <c r="AX551" s="1378">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78">
        <f t="shared" si="298"/>
        <v>0</v>
      </c>
      <c r="AW552" s="1378">
        <f t="shared" si="299"/>
        <v>0</v>
      </c>
      <c r="AX552" s="1378">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78">
        <f t="shared" ref="AV553:AV587" si="330">A553</f>
        <v>0</v>
      </c>
      <c r="AW553" s="1378">
        <f t="shared" ref="AW553:AW587" si="331">B553</f>
        <v>0</v>
      </c>
      <c r="AX553" s="1378">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78">
        <f t="shared" si="330"/>
        <v>0</v>
      </c>
      <c r="AW554" s="1378">
        <f t="shared" si="331"/>
        <v>0</v>
      </c>
      <c r="AX554" s="1378">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78">
        <f t="shared" si="330"/>
        <v>0</v>
      </c>
      <c r="AW555" s="1378">
        <f t="shared" si="331"/>
        <v>0</v>
      </c>
      <c r="AX555" s="1378">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78">
        <f t="shared" si="330"/>
        <v>0</v>
      </c>
      <c r="AW556" s="1378">
        <f t="shared" si="331"/>
        <v>0</v>
      </c>
      <c r="AX556" s="1378">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78">
        <f t="shared" si="330"/>
        <v>0</v>
      </c>
      <c r="AW557" s="1378">
        <f t="shared" si="331"/>
        <v>0</v>
      </c>
      <c r="AX557" s="1378">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78">
        <f t="shared" si="330"/>
        <v>0</v>
      </c>
      <c r="AW558" s="1378">
        <f t="shared" si="331"/>
        <v>0</v>
      </c>
      <c r="AX558" s="1378">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78">
        <f t="shared" si="330"/>
        <v>0</v>
      </c>
      <c r="AW559" s="1378">
        <f t="shared" si="331"/>
        <v>0</v>
      </c>
      <c r="AX559" s="1378">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78">
        <f t="shared" si="330"/>
        <v>0</v>
      </c>
      <c r="AW560" s="1378">
        <f t="shared" si="331"/>
        <v>0</v>
      </c>
      <c r="AX560" s="1378">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78">
        <f t="shared" si="330"/>
        <v>0</v>
      </c>
      <c r="AW561" s="1378">
        <f t="shared" si="331"/>
        <v>0</v>
      </c>
      <c r="AX561" s="1378">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78">
        <f t="shared" si="330"/>
        <v>0</v>
      </c>
      <c r="AW562" s="1378">
        <f t="shared" si="331"/>
        <v>0</v>
      </c>
      <c r="AX562" s="1378">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78">
        <f t="shared" si="330"/>
        <v>0</v>
      </c>
      <c r="AW563" s="1378">
        <f t="shared" si="331"/>
        <v>0</v>
      </c>
      <c r="AX563" s="1378">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78">
        <f t="shared" si="330"/>
        <v>0</v>
      </c>
      <c r="AW564" s="1378">
        <f t="shared" si="331"/>
        <v>0</v>
      </c>
      <c r="AX564" s="1378">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78">
        <f t="shared" si="330"/>
        <v>0</v>
      </c>
      <c r="AW565" s="1378">
        <f t="shared" si="331"/>
        <v>0</v>
      </c>
      <c r="AX565" s="1378">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78">
        <f t="shared" si="330"/>
        <v>0</v>
      </c>
      <c r="AW566" s="1378">
        <f t="shared" si="331"/>
        <v>0</v>
      </c>
      <c r="AX566" s="1378">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78">
        <f t="shared" si="330"/>
        <v>0</v>
      </c>
      <c r="AW567" s="1378">
        <f t="shared" si="331"/>
        <v>0</v>
      </c>
      <c r="AX567" s="1378">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78">
        <f t="shared" si="330"/>
        <v>0</v>
      </c>
      <c r="AW568" s="1378">
        <f t="shared" si="331"/>
        <v>0</v>
      </c>
      <c r="AX568" s="1378">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78">
        <f t="shared" si="330"/>
        <v>0</v>
      </c>
      <c r="AW569" s="1378">
        <f t="shared" si="331"/>
        <v>0</v>
      </c>
      <c r="AX569" s="1378">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78">
        <f t="shared" si="330"/>
        <v>0</v>
      </c>
      <c r="AW570" s="1378">
        <f t="shared" si="331"/>
        <v>0</v>
      </c>
      <c r="AX570" s="1378">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78">
        <f t="shared" si="330"/>
        <v>0</v>
      </c>
      <c r="AW571" s="1378">
        <f t="shared" si="331"/>
        <v>0</v>
      </c>
      <c r="AX571" s="1378">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78">
        <f t="shared" si="330"/>
        <v>0</v>
      </c>
      <c r="AW572" s="1378">
        <f t="shared" si="331"/>
        <v>0</v>
      </c>
      <c r="AX572" s="1378">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78">
        <f t="shared" si="330"/>
        <v>0</v>
      </c>
      <c r="AW573" s="1378">
        <f t="shared" si="331"/>
        <v>0</v>
      </c>
      <c r="AX573" s="1378">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78">
        <f t="shared" si="330"/>
        <v>0</v>
      </c>
      <c r="AW574" s="1378">
        <f t="shared" si="331"/>
        <v>0</v>
      </c>
      <c r="AX574" s="1378">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78">
        <f t="shared" si="330"/>
        <v>0</v>
      </c>
      <c r="AW575" s="1378">
        <f t="shared" si="331"/>
        <v>0</v>
      </c>
      <c r="AX575" s="1378">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78">
        <f t="shared" si="330"/>
        <v>0</v>
      </c>
      <c r="AW576" s="1378">
        <f t="shared" si="331"/>
        <v>0</v>
      </c>
      <c r="AX576" s="1378">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78">
        <f t="shared" si="330"/>
        <v>0</v>
      </c>
      <c r="AW577" s="1378">
        <f t="shared" si="331"/>
        <v>0</v>
      </c>
      <c r="AX577" s="1378">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78">
        <f t="shared" si="330"/>
        <v>0</v>
      </c>
      <c r="AW578" s="1378">
        <f t="shared" si="331"/>
        <v>0</v>
      </c>
      <c r="AX578" s="1378">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78">
        <f t="shared" si="330"/>
        <v>0</v>
      </c>
      <c r="AW579" s="1378">
        <f t="shared" si="331"/>
        <v>0</v>
      </c>
      <c r="AX579" s="1378">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78">
        <f t="shared" si="330"/>
        <v>0</v>
      </c>
      <c r="AW580" s="1378">
        <f t="shared" si="331"/>
        <v>0</v>
      </c>
      <c r="AX580" s="1378">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78">
        <f t="shared" si="330"/>
        <v>0</v>
      </c>
      <c r="AW581" s="1378">
        <f t="shared" si="331"/>
        <v>0</v>
      </c>
      <c r="AX581" s="1378">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78">
        <f t="shared" si="330"/>
        <v>0</v>
      </c>
      <c r="AW582" s="1378">
        <f t="shared" si="331"/>
        <v>0</v>
      </c>
      <c r="AX582" s="1378">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78">
        <f t="shared" si="330"/>
        <v>0</v>
      </c>
      <c r="AW583" s="1378">
        <f t="shared" si="331"/>
        <v>0</v>
      </c>
      <c r="AX583" s="1378">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78">
        <f t="shared" si="330"/>
        <v>0</v>
      </c>
      <c r="AW584" s="1378">
        <f t="shared" si="331"/>
        <v>0</v>
      </c>
      <c r="AX584" s="1378">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78">
        <f t="shared" si="330"/>
        <v>0</v>
      </c>
      <c r="AW585" s="1378">
        <f t="shared" si="331"/>
        <v>0</v>
      </c>
      <c r="AX585" s="1378">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78">
        <f t="shared" si="330"/>
        <v>0</v>
      </c>
      <c r="AW586" s="1378">
        <f t="shared" si="331"/>
        <v>0</v>
      </c>
      <c r="AX586" s="1378">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78">
        <f t="shared" si="330"/>
        <v>0</v>
      </c>
      <c r="AW587" s="1378">
        <f t="shared" si="331"/>
        <v>0</v>
      </c>
      <c r="AX587" s="1378">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7" t="s">
        <v>603</v>
      </c>
      <c r="B1" s="2593"/>
      <c r="C1" s="2593"/>
      <c r="D1" s="2593"/>
      <c r="E1" s="2593"/>
      <c r="F1" s="2593"/>
      <c r="G1" s="2593"/>
      <c r="H1" s="2593"/>
      <c r="I1" s="2593"/>
      <c r="J1" s="2593"/>
      <c r="K1" s="2593"/>
      <c r="L1" s="2593"/>
      <c r="M1" s="2593"/>
      <c r="N1" s="2593"/>
      <c r="O1" s="2593"/>
      <c r="P1" s="2593"/>
    </row>
    <row r="2" spans="1:16">
      <c r="A2" s="2423" t="s">
        <v>604</v>
      </c>
      <c r="B2" s="2423"/>
      <c r="C2" s="2423"/>
      <c r="D2" s="2423" t="s">
        <v>605</v>
      </c>
      <c r="E2" s="3148" t="s">
        <v>606</v>
      </c>
      <c r="F2" s="3149"/>
      <c r="G2" s="3150"/>
      <c r="H2" s="3151"/>
      <c r="I2" s="2771" t="s">
        <v>607</v>
      </c>
      <c r="J2" s="3149"/>
      <c r="K2" s="3149"/>
      <c r="L2" s="3149"/>
      <c r="M2" s="3149"/>
      <c r="N2" s="1509"/>
      <c r="O2" s="3149"/>
      <c r="P2" s="3149"/>
    </row>
    <row r="3" ht="15.75" spans="1:16">
      <c r="A3" s="3152" t="s">
        <v>608</v>
      </c>
      <c r="B3" s="3152"/>
      <c r="C3" s="3152"/>
      <c r="D3" s="3153">
        <f>'数据-基础表'!AY6</f>
        <v>0</v>
      </c>
      <c r="E3" s="3153">
        <f>'数据-基础表'!AZ5</f>
        <v>373.87</v>
      </c>
      <c r="F3" s="3149"/>
      <c r="G3" s="3154"/>
      <c r="H3" s="2541" t="s">
        <v>609</v>
      </c>
      <c r="I3" s="3217" t="e">
        <f>ROUND('数据-基础表'!B3/'数据-基础表'!A3,2)</f>
        <v>#DIV/0!</v>
      </c>
      <c r="J3" s="3149"/>
      <c r="K3" s="3149"/>
      <c r="L3" s="3149"/>
      <c r="M3" s="3149"/>
      <c r="N3" s="1509"/>
      <c r="O3" s="3149"/>
      <c r="P3" s="3149"/>
    </row>
    <row r="4" ht="15" spans="1:16">
      <c r="A4" s="2769"/>
      <c r="B4" s="2770"/>
      <c r="C4" s="3155"/>
      <c r="D4" s="3156" t="s">
        <v>605</v>
      </c>
      <c r="E4" s="3157" t="s">
        <v>606</v>
      </c>
      <c r="F4" s="3149"/>
      <c r="G4" s="3158" t="s">
        <v>610</v>
      </c>
      <c r="H4" s="2541" t="s">
        <v>611</v>
      </c>
      <c r="I4" s="3217" t="e">
        <f>ROUND(SUMIF('数据-基础表'!I9:AS9,"地上",'数据-基础表'!I5:AS5)/'数据-基础表'!A3,2)</f>
        <v>#DIV/0!</v>
      </c>
      <c r="J4" s="3149"/>
      <c r="K4" s="3149"/>
      <c r="L4" s="3149"/>
      <c r="M4" s="3149"/>
      <c r="N4" s="1509"/>
      <c r="O4" s="3149"/>
      <c r="P4" s="3149"/>
    </row>
    <row r="5" spans="1:16">
      <c r="A5" s="3159" t="s">
        <v>612</v>
      </c>
      <c r="B5" s="1394" t="s">
        <v>613</v>
      </c>
      <c r="C5" s="1394"/>
      <c r="D5" s="3160">
        <f>ROUND($D$3*E5/$E$3,2)</f>
        <v>0</v>
      </c>
      <c r="E5" s="3161">
        <f>SUMIF('数据-基础表'!$11:$11,"住宅",'数据-基础表'!$5:$5)</f>
        <v>0</v>
      </c>
      <c r="F5" s="3149"/>
      <c r="G5" s="3154"/>
      <c r="H5" s="2541" t="s">
        <v>609</v>
      </c>
      <c r="I5" s="3217" t="e">
        <f>ROUND(E31/D31,2)</f>
        <v>#DIV/0!</v>
      </c>
      <c r="J5" s="3149"/>
      <c r="K5" s="3149"/>
      <c r="L5" s="3149"/>
      <c r="M5" s="3149"/>
      <c r="N5" s="3149"/>
      <c r="O5" s="3149"/>
      <c r="P5" s="3149"/>
    </row>
    <row r="6" ht="15" spans="1:16">
      <c r="A6" s="3162"/>
      <c r="B6" s="1394" t="s">
        <v>614</v>
      </c>
      <c r="C6" s="1394"/>
      <c r="D6" s="3160">
        <f>ROUND($D$3*E6/$E$3,2)</f>
        <v>0</v>
      </c>
      <c r="E6" s="3161">
        <f>E3-E5</f>
        <v>373.87</v>
      </c>
      <c r="F6" s="3149"/>
      <c r="G6" s="3163" t="s">
        <v>615</v>
      </c>
      <c r="H6" s="3164" t="s">
        <v>611</v>
      </c>
      <c r="I6" s="3218" t="e">
        <f>ROUND(F31/D31,2)</f>
        <v>#DIV/0!</v>
      </c>
      <c r="J6" s="3149"/>
      <c r="K6" s="3149"/>
      <c r="L6" s="3149"/>
      <c r="M6" s="3149"/>
      <c r="N6" s="3149"/>
      <c r="O6" s="3149"/>
      <c r="P6" s="3149"/>
    </row>
    <row r="7" ht="15" spans="1:16">
      <c r="A7" s="3165"/>
      <c r="B7" s="3166"/>
      <c r="C7" s="3167"/>
      <c r="D7" s="3156" t="s">
        <v>605</v>
      </c>
      <c r="E7" s="3168" t="s">
        <v>616</v>
      </c>
      <c r="F7" s="3149"/>
      <c r="G7" s="3169" t="s">
        <v>617</v>
      </c>
      <c r="H7" s="3170"/>
      <c r="I7" s="3219"/>
      <c r="J7" s="3149"/>
      <c r="K7" s="3149"/>
      <c r="L7" s="3149"/>
      <c r="M7" s="3149"/>
      <c r="N7" s="3149"/>
      <c r="O7" s="3149"/>
      <c r="P7" s="3149"/>
    </row>
    <row r="8" spans="1:16">
      <c r="A8" s="3159" t="s">
        <v>618</v>
      </c>
      <c r="B8" s="3171" t="s">
        <v>619</v>
      </c>
      <c r="C8" s="3160" t="s">
        <v>620</v>
      </c>
      <c r="D8" s="3160">
        <f t="shared" ref="D8:D15" si="0">ROUND($D$3*E8/$E$3,2)</f>
        <v>0</v>
      </c>
      <c r="E8" s="3172">
        <f>SUMIF('数据-基础表'!BB10:BK10,"地上",'数据-基础表'!BB5:BK5)</f>
        <v>280.4</v>
      </c>
      <c r="F8" s="3149"/>
      <c r="G8" s="3173"/>
      <c r="H8" s="3173"/>
      <c r="I8" s="3149"/>
      <c r="J8" s="3149"/>
      <c r="K8" s="3149"/>
      <c r="L8" s="3149"/>
      <c r="M8" s="3149"/>
      <c r="N8" s="3149"/>
      <c r="O8" s="3149"/>
      <c r="P8" s="3149"/>
    </row>
    <row r="9" spans="1:16">
      <c r="A9" s="3174"/>
      <c r="B9" s="3175"/>
      <c r="C9" s="3160" t="s">
        <v>621</v>
      </c>
      <c r="D9" s="3160">
        <f t="shared" si="0"/>
        <v>0</v>
      </c>
      <c r="E9" s="3176">
        <v>0</v>
      </c>
      <c r="F9" s="3149"/>
      <c r="G9" s="3173"/>
      <c r="H9" s="3173"/>
      <c r="I9" s="3149"/>
      <c r="J9" s="3149"/>
      <c r="K9" s="3149"/>
      <c r="L9" s="3149"/>
      <c r="M9" s="3149"/>
      <c r="N9" s="3149"/>
      <c r="O9" s="3149"/>
      <c r="P9" s="3149"/>
    </row>
    <row r="10" spans="1:16">
      <c r="A10" s="3174"/>
      <c r="B10" s="3175"/>
      <c r="C10" s="3160" t="s">
        <v>622</v>
      </c>
      <c r="D10" s="3160">
        <f t="shared" si="0"/>
        <v>0</v>
      </c>
      <c r="E10" s="3172">
        <f>SUMPRODUCT(('数据-基础表'!BB10:BK10="地下")*('数据-基础表'!BB11:BK11="商业")*('数据-基础表'!BB5:BK5))</f>
        <v>93.47</v>
      </c>
      <c r="F10" s="3149"/>
      <c r="G10" s="3173"/>
      <c r="H10" s="3173"/>
      <c r="I10" s="3149"/>
      <c r="J10" s="3149"/>
      <c r="K10" s="3149"/>
      <c r="L10" s="3149"/>
      <c r="M10" s="3149"/>
      <c r="N10" s="3149"/>
      <c r="O10" s="3149"/>
      <c r="P10" s="3149"/>
    </row>
    <row r="11" spans="1:16">
      <c r="A11" s="3174"/>
      <c r="B11" s="3175"/>
      <c r="C11" s="3160" t="s">
        <v>623</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624</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625</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626</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627</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628</v>
      </c>
      <c r="D16" s="3171">
        <f>SUM(D8:D15)</f>
        <v>0</v>
      </c>
      <c r="E16" s="3177">
        <f>SUM(E8:E15)</f>
        <v>373.87</v>
      </c>
      <c r="F16" s="3149"/>
      <c r="G16" s="3173"/>
      <c r="H16" s="3178" t="s">
        <v>629</v>
      </c>
      <c r="I16" s="3220"/>
      <c r="J16" s="2593"/>
      <c r="K16" s="3221" t="s">
        <v>629</v>
      </c>
      <c r="L16" s="3180"/>
      <c r="M16" s="3180"/>
      <c r="N16" s="3180"/>
      <c r="O16" s="3180"/>
      <c r="P16" s="3222"/>
    </row>
    <row r="17" ht="15" spans="1:19">
      <c r="A17" s="3108" t="s">
        <v>630</v>
      </c>
      <c r="B17" s="3179" t="s">
        <v>631</v>
      </c>
      <c r="C17" s="3107" t="s">
        <v>632</v>
      </c>
      <c r="D17" s="3180" t="s">
        <v>605</v>
      </c>
      <c r="E17" s="3181" t="s">
        <v>606</v>
      </c>
      <c r="F17" s="3182"/>
      <c r="G17" s="3183"/>
      <c r="H17" s="3184" t="s">
        <v>633</v>
      </c>
      <c r="I17" s="3223" t="s">
        <v>634</v>
      </c>
      <c r="J17" s="2593"/>
      <c r="K17" s="3224" t="s">
        <v>635</v>
      </c>
      <c r="L17" s="3225"/>
      <c r="M17" s="3226"/>
      <c r="N17" s="3224" t="s">
        <v>636</v>
      </c>
      <c r="O17" s="3225"/>
      <c r="P17" s="3226"/>
      <c r="R17" s="3239" t="s">
        <v>637</v>
      </c>
      <c r="S17" s="2528"/>
    </row>
    <row r="18" ht="15" spans="1:19">
      <c r="A18" s="3174"/>
      <c r="B18" s="3185"/>
      <c r="C18" s="3186"/>
      <c r="D18" s="3187"/>
      <c r="E18" s="3188" t="s">
        <v>638</v>
      </c>
      <c r="F18" s="3189" t="s">
        <v>611</v>
      </c>
      <c r="G18" s="3190" t="s">
        <v>639</v>
      </c>
      <c r="H18" s="3113" t="s">
        <v>640</v>
      </c>
      <c r="I18" s="3227" t="s">
        <v>641</v>
      </c>
      <c r="J18" s="2593"/>
      <c r="K18" s="3113" t="s">
        <v>642</v>
      </c>
      <c r="L18" s="2790" t="s">
        <v>643</v>
      </c>
      <c r="M18" s="3217" t="s">
        <v>644</v>
      </c>
      <c r="N18" s="3113" t="s">
        <v>642</v>
      </c>
      <c r="O18" s="2790" t="s">
        <v>643</v>
      </c>
      <c r="P18" s="3217" t="s">
        <v>644</v>
      </c>
      <c r="R18" s="2541" t="s">
        <v>640</v>
      </c>
      <c r="S18" s="2541" t="s">
        <v>641</v>
      </c>
    </row>
    <row r="19" spans="1:19">
      <c r="A19" s="3191"/>
      <c r="B19" s="3171" t="s">
        <v>645</v>
      </c>
      <c r="C19" s="3192" t="s">
        <v>646</v>
      </c>
      <c r="D19" s="3160">
        <f>ROUND($D$3*E19/$E$3,2)</f>
        <v>0</v>
      </c>
      <c r="E19" s="3193">
        <f t="shared" ref="E19:E26" si="1">SUM(F19:G19)</f>
        <v>373.87</v>
      </c>
      <c r="F19" s="3194">
        <f>'数据-基础表'!I13</f>
        <v>280.4</v>
      </c>
      <c r="G19" s="3195">
        <f>'数据-基础表'!K13</f>
        <v>93.47</v>
      </c>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0</v>
      </c>
      <c r="S19" s="3240">
        <f t="shared" si="5"/>
        <v>373.87</v>
      </c>
    </row>
    <row r="20" spans="1:19">
      <c r="A20" s="3196"/>
      <c r="B20" s="3171" t="s">
        <v>645</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645</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645</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645</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645</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645</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645</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5.75" spans="1:19">
      <c r="A27" s="3196"/>
      <c r="B27" s="3160"/>
      <c r="C27" s="2776" t="s">
        <v>647</v>
      </c>
      <c r="D27" s="3201">
        <f>SUM(D19:D26)</f>
        <v>0</v>
      </c>
      <c r="E27" s="3202">
        <f>IF(SUM(E19:E26)='数据-基础表'!BA5,SUM(E19:E26),IF(F27="地上面积有误","面积有误","地下面积有误"))</f>
        <v>373.87</v>
      </c>
      <c r="F27" s="3201">
        <f>IF(SUM(F19:F26)=E8,SUM(F19:F26),"地上面积有误")</f>
        <v>280.4</v>
      </c>
      <c r="G27" s="3203">
        <f>SUM(G19:G26)</f>
        <v>93.47</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1">
        <f>IF(SUM(S19:S26)=$E$3,SUM(S19:S26),SUM(S19:S26)&amp;"误差"&amp;ROUND(SUM(S19:S26)-E3,2))</f>
        <v>373.87</v>
      </c>
    </row>
    <row r="28" spans="1:16">
      <c r="A28" s="3196"/>
      <c r="B28" s="3171" t="s">
        <v>648</v>
      </c>
      <c r="C28" s="3116" t="s">
        <v>649</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648</v>
      </c>
      <c r="C29" s="2591" t="s">
        <v>650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647</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5" t="s">
        <v>651</v>
      </c>
      <c r="D31" s="3211">
        <f>D27+D30</f>
        <v>0</v>
      </c>
      <c r="E31" s="3211">
        <f>E27+E30</f>
        <v>373.87</v>
      </c>
      <c r="F31" s="3212">
        <f>F27+F30</f>
        <v>280.4</v>
      </c>
      <c r="G31" s="3213">
        <f>G27+G30</f>
        <v>93.47</v>
      </c>
      <c r="H31" s="3149"/>
      <c r="I31" s="3149"/>
      <c r="J31" s="3149"/>
      <c r="K31" s="3149"/>
      <c r="L31" s="3149"/>
      <c r="M31" s="3149"/>
      <c r="N31" s="3149"/>
      <c r="O31" s="3149"/>
      <c r="P31" s="3149"/>
    </row>
    <row r="32" spans="1:16">
      <c r="A32" s="3214"/>
      <c r="B32" s="3214" t="s">
        <v>652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W7" sqref="W7"/>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44">
      <c r="A1" s="2952" t="s">
        <v>653</v>
      </c>
      <c r="B1" s="2953"/>
      <c r="C1" s="2096"/>
      <c r="D1" s="2954"/>
      <c r="E1" s="2096"/>
      <c r="F1" s="2096"/>
      <c r="G1" s="2096"/>
      <c r="H1" s="2096"/>
      <c r="I1" s="2096"/>
      <c r="J1" s="2096"/>
      <c r="K1" s="1055"/>
      <c r="L1" s="1055"/>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406"/>
      <c r="AO1" s="2406"/>
      <c r="AP1" s="2406"/>
      <c r="AQ1" s="2406"/>
      <c r="AR1" s="2406"/>
    </row>
    <row r="2" s="2944" customFormat="1" ht="15.75" spans="1:67">
      <c r="A2" s="2955" t="s">
        <v>654</v>
      </c>
      <c r="B2" s="2956">
        <f>项目基本情况!D3</f>
        <v>45960</v>
      </c>
      <c r="C2" s="2957"/>
      <c r="D2" s="2958"/>
      <c r="E2" s="2957"/>
      <c r="F2" s="2957"/>
      <c r="G2" s="2957"/>
      <c r="H2" s="2957"/>
      <c r="I2" s="2957"/>
      <c r="J2" s="2957"/>
      <c r="K2" s="3055"/>
      <c r="L2" s="3055"/>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5" spans="1:67">
      <c r="A3" s="2959"/>
      <c r="B3" s="2960"/>
      <c r="C3" s="2957"/>
      <c r="D3" s="2958"/>
      <c r="E3" s="2957"/>
      <c r="F3" s="2957"/>
      <c r="G3" s="2957"/>
      <c r="H3" s="2957"/>
      <c r="I3" s="2957"/>
      <c r="J3" s="2957"/>
      <c r="K3" s="3055"/>
      <c r="L3" s="3055"/>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5" spans="1:67">
      <c r="A4" s="1634" t="s">
        <v>655</v>
      </c>
      <c r="B4" s="2548"/>
      <c r="C4" s="2961"/>
      <c r="D4" s="2962"/>
      <c r="E4" s="2961" t="s">
        <v>656</v>
      </c>
      <c r="F4" s="2961"/>
      <c r="G4" s="2961"/>
      <c r="H4" s="2961"/>
      <c r="I4" s="2961"/>
      <c r="J4" s="3056"/>
      <c r="K4" s="3057"/>
      <c r="L4" s="3058"/>
      <c r="M4" s="2961"/>
      <c r="N4" s="2961" t="s">
        <v>657</v>
      </c>
      <c r="O4" s="2961"/>
      <c r="P4" s="2961"/>
      <c r="Q4" s="2961"/>
      <c r="R4" s="2961"/>
      <c r="S4" s="3056"/>
      <c r="T4" s="3080" t="str">
        <f>'数据-汇总表'!I17</f>
        <v>按面积比例</v>
      </c>
      <c r="U4" s="2548" t="s">
        <v>658</v>
      </c>
      <c r="V4" s="2961"/>
      <c r="W4" s="2961"/>
      <c r="X4" s="2961"/>
      <c r="Y4" s="3056"/>
      <c r="Z4" s="3107" t="s">
        <v>659</v>
      </c>
      <c r="AA4" s="3107"/>
      <c r="AB4" s="3107"/>
      <c r="AC4" s="3107"/>
      <c r="AD4" s="3107"/>
      <c r="AE4" s="3108" t="s">
        <v>660</v>
      </c>
      <c r="AF4" s="3107"/>
      <c r="AG4" s="3120"/>
      <c r="AH4" s="2548"/>
      <c r="AI4" s="2961"/>
      <c r="AJ4" s="2961"/>
      <c r="AK4" s="2961"/>
      <c r="AL4" s="2961"/>
      <c r="AM4" s="3056"/>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632</v>
      </c>
      <c r="B5" s="2964" t="s">
        <v>631</v>
      </c>
      <c r="C5" s="2965" t="s">
        <v>661</v>
      </c>
      <c r="D5" s="2966" t="s">
        <v>662</v>
      </c>
      <c r="E5" s="2967" t="s">
        <v>663</v>
      </c>
      <c r="F5" s="2968" t="s">
        <v>664</v>
      </c>
      <c r="G5" s="2967" t="s">
        <v>665</v>
      </c>
      <c r="H5" s="2967" t="s">
        <v>666</v>
      </c>
      <c r="I5" s="2967" t="s">
        <v>667</v>
      </c>
      <c r="J5" s="3059" t="s">
        <v>668</v>
      </c>
      <c r="K5" s="3060" t="s">
        <v>641</v>
      </c>
      <c r="L5" s="3061" t="s">
        <v>669</v>
      </c>
      <c r="M5" s="3062" t="s">
        <v>670</v>
      </c>
      <c r="N5" s="3063" t="s">
        <v>671</v>
      </c>
      <c r="O5" s="3061" t="s">
        <v>672</v>
      </c>
      <c r="P5" s="3064" t="s">
        <v>673</v>
      </c>
      <c r="Q5" s="1520" t="s">
        <v>674</v>
      </c>
      <c r="R5" s="3081" t="s">
        <v>675</v>
      </c>
      <c r="S5" s="3082" t="s">
        <v>676</v>
      </c>
      <c r="T5" s="3083" t="s">
        <v>677</v>
      </c>
      <c r="U5" s="3084" t="s">
        <v>678</v>
      </c>
      <c r="V5" s="2967" t="s">
        <v>679</v>
      </c>
      <c r="W5" s="2967" t="s">
        <v>680</v>
      </c>
      <c r="X5" s="1178"/>
      <c r="Y5" s="1651" t="s">
        <v>681</v>
      </c>
      <c r="Z5" s="3109" t="s">
        <v>678</v>
      </c>
      <c r="AA5" s="2967" t="s">
        <v>679</v>
      </c>
      <c r="AB5" s="2967" t="s">
        <v>680</v>
      </c>
      <c r="AC5" s="1178"/>
      <c r="AD5" s="1178" t="s">
        <v>681</v>
      </c>
      <c r="AE5" s="3084" t="s">
        <v>682</v>
      </c>
      <c r="AF5" s="2967" t="s">
        <v>683</v>
      </c>
      <c r="AG5" s="1651" t="s">
        <v>684</v>
      </c>
      <c r="AH5" s="3084" t="s">
        <v>685</v>
      </c>
      <c r="AI5" s="3109" t="s">
        <v>686</v>
      </c>
      <c r="AJ5" s="3109" t="s">
        <v>687</v>
      </c>
      <c r="AK5" s="2967" t="s">
        <v>688</v>
      </c>
      <c r="AL5" s="2967" t="s">
        <v>689</v>
      </c>
      <c r="AM5" s="1651" t="s">
        <v>690</v>
      </c>
      <c r="AN5" s="3121" t="s">
        <v>691</v>
      </c>
      <c r="AO5" s="3139" t="s">
        <v>692</v>
      </c>
      <c r="AP5" s="3140" t="s">
        <v>693</v>
      </c>
      <c r="AQ5" s="3141" t="s">
        <v>694</v>
      </c>
      <c r="AR5" s="3141" t="s">
        <v>695</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25" spans="1:67">
      <c r="A6" s="2969" t="str">
        <f>'数据-汇总表'!C19</f>
        <v>1-101</v>
      </c>
      <c r="B6" s="2970" t="str">
        <f>IF(A6=0,"","经营性")</f>
        <v>经营性</v>
      </c>
      <c r="C6" s="2971" t="s">
        <v>230</v>
      </c>
      <c r="D6" s="2972">
        <f>SUMIF(项目基本情况!C$12:I$12,C6,项目基本情况!C$14:I$14)</f>
        <v>50</v>
      </c>
      <c r="E6" s="2973">
        <f>IF(B6="","",SUMIF(项目基本情况!C$12:I$12,C6,项目基本情况!C$13:I$13))</f>
        <v>59661</v>
      </c>
      <c r="F6" s="2974">
        <f>SUMIF(项目基本情况!C$12:I$12,C6,项目基本情况!C$15:I$15)</f>
        <v>37.53</v>
      </c>
      <c r="G6" s="2975">
        <f>IF(ISERROR(ROUND(POWER(1+H6,D6-F6)*(POWER(1+H6,F6)-1)/(POWER(1+H6,D6)-1),3)),0,ROUND(POWER(1+H6,D6-F6)*(POWER(1+H6,F6)-1)/(POWER(1+H6,D6)-1),3))</f>
        <v>0.92</v>
      </c>
      <c r="H6" s="2976">
        <v>0.05</v>
      </c>
      <c r="I6" s="2976">
        <v>0.055</v>
      </c>
      <c r="J6" s="2977">
        <v>0.07</v>
      </c>
      <c r="K6" s="3065">
        <f>SUMIF('数据-汇总表'!C$19:C$33,A6,'数据-汇总表'!E$19:E$33)</f>
        <v>373.87</v>
      </c>
      <c r="L6" s="3066">
        <v>4500</v>
      </c>
      <c r="M6" s="3067">
        <f t="shared" ref="M6:M14" si="0">ROUND(K6*L6/10000,0)</f>
        <v>168</v>
      </c>
      <c r="N6" s="3068">
        <v>0.83</v>
      </c>
      <c r="O6" s="3067" t="str">
        <f>IF($N$5="成新度","——",ROUND(M6*N6,0))</f>
        <v>——</v>
      </c>
      <c r="P6" s="3069" t="str">
        <f>IF($N$5="成新度","——",M6-O6)</f>
        <v>——</v>
      </c>
      <c r="Q6" s="3085">
        <v>0.15</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v>3.5</v>
      </c>
      <c r="V6" s="3090">
        <v>0.015</v>
      </c>
      <c r="W6" s="3090">
        <v>0.15</v>
      </c>
      <c r="X6" s="3091"/>
      <c r="Y6" s="3110">
        <f>N6</f>
        <v>0.83</v>
      </c>
      <c r="Z6" s="3111"/>
      <c r="AA6" s="2977"/>
      <c r="AB6" s="2977"/>
      <c r="AC6" s="3091"/>
      <c r="AD6" s="3112"/>
      <c r="AE6" s="3113">
        <f ca="1">IF(AN6="",0,SUMIF(INDIRECT("'"&amp;AN6&amp;"'"&amp;"!E:E"),$AE$5,INDIRECT("'"&amp;AN6&amp;"'"&amp;"!F:F")))</f>
        <v>37.53</v>
      </c>
      <c r="AF6" s="2523"/>
      <c r="AG6" s="2354">
        <f ca="1">IF(AF6="",0,AE6-AF6)</f>
        <v>0</v>
      </c>
      <c r="AH6" s="3122"/>
      <c r="AI6" s="3123">
        <v>365</v>
      </c>
      <c r="AJ6" s="3124"/>
      <c r="AK6" s="3125">
        <v>0.002</v>
      </c>
      <c r="AL6" s="3126">
        <v>0.001</v>
      </c>
      <c r="AM6" s="3127">
        <v>0.005</v>
      </c>
      <c r="AN6" s="3128" t="s">
        <v>285</v>
      </c>
      <c r="AO6" s="1394">
        <f ca="1">SUMIF(INDIRECT("'"&amp;AN6&amp;"'"&amp;"!A:A"),"总价",INDIRECT("'"&amp;AN6&amp;"'"&amp;"!B:B"))</f>
        <v>715.5299</v>
      </c>
      <c r="AP6" s="3142">
        <f>IF(C6="住宅",K6*L6,0)</f>
        <v>0</v>
      </c>
      <c r="AQ6" s="1394">
        <f>ROUND($L$14*$N$14*S6/10000,0)</f>
        <v>0</v>
      </c>
      <c r="AR6" s="1394">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25"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7"/>
      <c r="AB7" s="2977"/>
      <c r="AC7" s="3091"/>
      <c r="AD7" s="3112"/>
      <c r="AE7" s="3113">
        <f ca="1" t="shared" ref="AE7:AE13" si="6">IF(AN7="",0,SUMIF(INDIRECT("'"&amp;AN7&amp;"'"&amp;"!E:E"),$AE$5,INDIRECT("'"&amp;AN7&amp;"'"&amp;"!F:F")))</f>
        <v>0</v>
      </c>
      <c r="AF7" s="2523"/>
      <c r="AG7" s="2354">
        <f ca="1" t="shared" ref="AG7:AG13" si="7">IF(AF7="",0,AE7-AF7)</f>
        <v>0</v>
      </c>
      <c r="AH7" s="3122"/>
      <c r="AI7" s="3123"/>
      <c r="AJ7" s="3124"/>
      <c r="AK7" s="3125"/>
      <c r="AL7" s="3126"/>
      <c r="AM7" s="3127"/>
      <c r="AN7" s="3128"/>
      <c r="AO7" s="1394" t="e">
        <f ca="1" t="shared" ref="AO7:AO13" si="8">SUMIF(INDIRECT("'"&amp;AN7&amp;"'"&amp;"!A:A"),"总价",INDIRECT("'"&amp;AN7&amp;"'"&amp;"!B:B"))</f>
        <v>#REF!</v>
      </c>
      <c r="AP7" s="3142">
        <f t="shared" ref="AP7:AP13" si="9">IF(C7="住宅",K7*L7,0)</f>
        <v>0</v>
      </c>
      <c r="AQ7" s="1394">
        <f t="shared" ref="AQ7:AQ13" si="10">ROUND($L$14*$N$14*S7/10000,0)</f>
        <v>0</v>
      </c>
      <c r="AR7" s="1394">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25"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7"/>
      <c r="AB8" s="2977"/>
      <c r="AC8" s="3091"/>
      <c r="AD8" s="3112"/>
      <c r="AE8" s="3113">
        <f ca="1" t="shared" si="6"/>
        <v>0</v>
      </c>
      <c r="AF8" s="2523"/>
      <c r="AG8" s="2354">
        <f ca="1" t="shared" si="7"/>
        <v>0</v>
      </c>
      <c r="AH8" s="3129"/>
      <c r="AI8" s="3123"/>
      <c r="AJ8" s="3124"/>
      <c r="AK8" s="3130"/>
      <c r="AL8" s="3131"/>
      <c r="AM8" s="3132"/>
      <c r="AN8" s="3128"/>
      <c r="AO8" s="1394" t="e">
        <f ca="1" t="shared" si="8"/>
        <v>#REF!</v>
      </c>
      <c r="AP8" s="3142">
        <f t="shared" si="9"/>
        <v>0</v>
      </c>
      <c r="AQ8" s="1394">
        <f t="shared" si="10"/>
        <v>0</v>
      </c>
      <c r="AR8" s="1394">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25"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7"/>
      <c r="AB9" s="2977"/>
      <c r="AC9" s="3091"/>
      <c r="AD9" s="3112"/>
      <c r="AE9" s="3113">
        <f ca="1" t="shared" si="6"/>
        <v>0</v>
      </c>
      <c r="AF9" s="2523"/>
      <c r="AG9" s="2354">
        <f ca="1" t="shared" si="7"/>
        <v>0</v>
      </c>
      <c r="AH9" s="3122"/>
      <c r="AI9" s="3123"/>
      <c r="AJ9" s="3124"/>
      <c r="AK9" s="3125"/>
      <c r="AL9" s="3126"/>
      <c r="AM9" s="3127"/>
      <c r="AN9" s="3128"/>
      <c r="AO9" s="1394" t="e">
        <f ca="1" t="shared" si="8"/>
        <v>#REF!</v>
      </c>
      <c r="AP9" s="3142">
        <f t="shared" si="9"/>
        <v>0</v>
      </c>
      <c r="AQ9" s="1394">
        <f t="shared" si="10"/>
        <v>0</v>
      </c>
      <c r="AR9" s="1394">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25"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7"/>
      <c r="AB10" s="2977"/>
      <c r="AC10" s="3091"/>
      <c r="AD10" s="3112"/>
      <c r="AE10" s="3113">
        <f ca="1" t="shared" si="6"/>
        <v>0</v>
      </c>
      <c r="AF10" s="2523"/>
      <c r="AG10" s="2354">
        <f ca="1" t="shared" si="7"/>
        <v>0</v>
      </c>
      <c r="AH10" s="3122"/>
      <c r="AI10" s="3123"/>
      <c r="AJ10" s="3124"/>
      <c r="AK10" s="3125"/>
      <c r="AL10" s="3126"/>
      <c r="AM10" s="3127"/>
      <c r="AN10" s="3128"/>
      <c r="AO10" s="1394" t="e">
        <f ca="1" t="shared" si="8"/>
        <v>#REF!</v>
      </c>
      <c r="AP10" s="3142">
        <f t="shared" si="9"/>
        <v>0</v>
      </c>
      <c r="AQ10" s="1394">
        <f t="shared" si="10"/>
        <v>0</v>
      </c>
      <c r="AR10" s="1394">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25"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7"/>
      <c r="W11" s="2977"/>
      <c r="X11" s="3091"/>
      <c r="Y11" s="3110"/>
      <c r="Z11" s="3114"/>
      <c r="AA11" s="2977"/>
      <c r="AB11" s="2977"/>
      <c r="AC11" s="3091"/>
      <c r="AD11" s="3112"/>
      <c r="AE11" s="3113">
        <f ca="1" t="shared" si="6"/>
        <v>0</v>
      </c>
      <c r="AF11" s="2523"/>
      <c r="AG11" s="2354">
        <f ca="1" t="shared" si="7"/>
        <v>0</v>
      </c>
      <c r="AH11" s="3122"/>
      <c r="AI11" s="3123"/>
      <c r="AJ11" s="3124"/>
      <c r="AK11" s="3133"/>
      <c r="AL11" s="3134"/>
      <c r="AM11" s="3135"/>
      <c r="AN11" s="3128"/>
      <c r="AO11" s="1394" t="e">
        <f ca="1" t="shared" si="8"/>
        <v>#REF!</v>
      </c>
      <c r="AP11" s="3142">
        <f t="shared" si="9"/>
        <v>0</v>
      </c>
      <c r="AQ11" s="1394">
        <f t="shared" si="10"/>
        <v>0</v>
      </c>
      <c r="AR11" s="1394">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25"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7"/>
      <c r="W12" s="2977"/>
      <c r="X12" s="3091"/>
      <c r="Y12" s="3110"/>
      <c r="Z12" s="3114"/>
      <c r="AA12" s="2977"/>
      <c r="AB12" s="2977"/>
      <c r="AC12" s="3091"/>
      <c r="AD12" s="3112"/>
      <c r="AE12" s="3113">
        <f ca="1" t="shared" si="6"/>
        <v>0</v>
      </c>
      <c r="AF12" s="2523"/>
      <c r="AG12" s="2354">
        <f ca="1" t="shared" si="7"/>
        <v>0</v>
      </c>
      <c r="AH12" s="3122"/>
      <c r="AI12" s="3123"/>
      <c r="AJ12" s="3124"/>
      <c r="AK12" s="3133"/>
      <c r="AL12" s="3134"/>
      <c r="AM12" s="3135"/>
      <c r="AN12" s="3128"/>
      <c r="AO12" s="1394" t="e">
        <f ca="1" t="shared" si="8"/>
        <v>#REF!</v>
      </c>
      <c r="AP12" s="3142">
        <f t="shared" si="9"/>
        <v>0</v>
      </c>
      <c r="AQ12" s="1394">
        <f t="shared" si="10"/>
        <v>0</v>
      </c>
      <c r="AR12" s="1394">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25"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7"/>
      <c r="AB13" s="2977"/>
      <c r="AC13" s="3091"/>
      <c r="AD13" s="3112"/>
      <c r="AE13" s="3113">
        <f ca="1" t="shared" si="6"/>
        <v>0</v>
      </c>
      <c r="AF13" s="2523"/>
      <c r="AG13" s="2354">
        <f ca="1" t="shared" si="7"/>
        <v>0</v>
      </c>
      <c r="AH13" s="3122"/>
      <c r="AI13" s="3123"/>
      <c r="AJ13" s="3124"/>
      <c r="AK13" s="3125"/>
      <c r="AL13" s="3126"/>
      <c r="AM13" s="3127"/>
      <c r="AN13" s="3128"/>
      <c r="AO13" s="1394" t="e">
        <f ca="1" t="shared" si="8"/>
        <v>#REF!</v>
      </c>
      <c r="AP13" s="3142">
        <f t="shared" si="9"/>
        <v>0</v>
      </c>
      <c r="AQ13" s="1394">
        <f t="shared" si="10"/>
        <v>0</v>
      </c>
      <c r="AR13" s="1394">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25" spans="1:67">
      <c r="A14" s="2978" t="s">
        <v>649</v>
      </c>
      <c r="B14" s="2970" t="s">
        <v>648</v>
      </c>
      <c r="C14" s="2979" t="s">
        <v>649</v>
      </c>
      <c r="D14" s="2972"/>
      <c r="E14" s="2973"/>
      <c r="F14" s="2974"/>
      <c r="G14" s="2975"/>
      <c r="H14" s="2980"/>
      <c r="I14" s="2980"/>
      <c r="J14" s="2980"/>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394"/>
      <c r="AG14" s="2354"/>
      <c r="AH14" s="3113"/>
      <c r="AI14" s="1377"/>
      <c r="AJ14" s="1393"/>
      <c r="AK14" s="3136"/>
      <c r="AL14" s="3137"/>
      <c r="AM14" s="3138"/>
      <c r="AN14" s="2406"/>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7" spans="1:67">
      <c r="A15" s="2978" t="s">
        <v>650</v>
      </c>
      <c r="B15" s="2970" t="s">
        <v>648</v>
      </c>
      <c r="C15" s="2979" t="s">
        <v>696</v>
      </c>
      <c r="D15" s="2972"/>
      <c r="E15" s="2973"/>
      <c r="F15" s="2974"/>
      <c r="G15" s="2975"/>
      <c r="H15" s="2980"/>
      <c r="I15" s="2980"/>
      <c r="J15" s="2980"/>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94"/>
      <c r="AG15" s="2354"/>
      <c r="AH15" s="3113"/>
      <c r="AI15" s="1377"/>
      <c r="AJ15" s="1393"/>
      <c r="AK15" s="3136"/>
      <c r="AL15" s="3137"/>
      <c r="AM15" s="3138"/>
      <c r="AN15" s="2406"/>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5.75" spans="1:67">
      <c r="A16" s="2981" t="s">
        <v>651</v>
      </c>
      <c r="B16" s="2982"/>
      <c r="C16" s="2463"/>
      <c r="D16" s="2983"/>
      <c r="E16" s="2982"/>
      <c r="F16" s="2982"/>
      <c r="G16" s="2984">
        <f>ROUND(SUMPRODUCT(G6:G13,K6:K13)/SUMPRODUCT((G6:G13&gt;0)*(K6:K13)),3)</f>
        <v>0.92</v>
      </c>
      <c r="H16" s="2985">
        <f>ROUND(SUMPRODUCT(H6:H13,K6:K13)/SUMPRODUCT((H6:H13&gt;0)*(K6:K13)),3)</f>
        <v>0.05</v>
      </c>
      <c r="I16" s="3074"/>
      <c r="J16" s="3074"/>
      <c r="K16" s="3075">
        <f>SUM(K6:K15)</f>
        <v>373.87</v>
      </c>
      <c r="L16" s="3076">
        <f>ROUND(M16*10000/SUM(K6:K14),0)</f>
        <v>4494</v>
      </c>
      <c r="M16" s="3076">
        <f>SUM(M6:M14)</f>
        <v>168</v>
      </c>
      <c r="N16" s="3077">
        <f>ROUND(SUMPRODUCT(M6:M14,N6:N14)/M16,3)</f>
        <v>0.83</v>
      </c>
      <c r="O16" s="3076">
        <f>SUM(O6:O14)</f>
        <v>0</v>
      </c>
      <c r="P16" s="3076">
        <f>SUM(P6:P14)</f>
        <v>0</v>
      </c>
      <c r="Q16" s="3100">
        <f>ROUND(SUMPRODUCT(Q6:Q13,K6:K13)/SUMPRODUCT((Q6:Q13&gt;0)*(K6:K13)),2)</f>
        <v>0.15</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6"/>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5" spans="1:44">
      <c r="A17" s="2986"/>
      <c r="B17" s="2987"/>
      <c r="C17" s="2406"/>
      <c r="D17" s="2988"/>
      <c r="E17" s="2988"/>
      <c r="F17" s="2406"/>
      <c r="G17" s="2406"/>
      <c r="H17" s="2406"/>
      <c r="I17" s="2406"/>
      <c r="J17" s="2406"/>
      <c r="K17" s="3078"/>
      <c r="L17" s="3078"/>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5" spans="1:44">
      <c r="A18" s="1634" t="s">
        <v>697</v>
      </c>
      <c r="B18" s="2989"/>
      <c r="C18" s="2990"/>
      <c r="D18" s="2991"/>
      <c r="E18" s="2990"/>
      <c r="F18" s="2990"/>
      <c r="G18" s="2990"/>
      <c r="H18" s="2990"/>
      <c r="I18" s="2990"/>
      <c r="J18" s="2990"/>
      <c r="K18" s="3078"/>
      <c r="L18" s="3078"/>
      <c r="M18" s="2406"/>
      <c r="N18" s="2406">
        <v>2015</v>
      </c>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25" spans="1:44">
      <c r="A19" s="2992" t="s">
        <v>698</v>
      </c>
      <c r="B19" s="2993">
        <v>0</v>
      </c>
      <c r="C19" s="2994" t="s">
        <v>699</v>
      </c>
      <c r="D19" s="2991"/>
      <c r="E19" s="2990"/>
      <c r="F19" s="2990"/>
      <c r="G19" s="2990"/>
      <c r="H19" s="2990"/>
      <c r="I19" s="2990"/>
      <c r="J19" s="2990"/>
      <c r="K19" s="3078"/>
      <c r="L19" s="3078"/>
      <c r="M19" s="2406"/>
      <c r="N19" s="2406">
        <f>ROUND(1-(2025-N18)/60,2)</f>
        <v>0.83</v>
      </c>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25" spans="1:44">
      <c r="A20" s="2995" t="s">
        <v>700</v>
      </c>
      <c r="B20" s="2996">
        <v>2</v>
      </c>
      <c r="C20" s="2997" t="s">
        <v>701</v>
      </c>
      <c r="D20" s="2991"/>
      <c r="E20" s="2990"/>
      <c r="F20" s="2990"/>
      <c r="G20" s="2990"/>
      <c r="H20" s="2990"/>
      <c r="I20" s="2990"/>
      <c r="J20" s="2990"/>
      <c r="K20" s="3078"/>
      <c r="L20" s="3078"/>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25" spans="1:44">
      <c r="A21" s="2998" t="s">
        <v>702</v>
      </c>
      <c r="B21" s="2996">
        <v>2</v>
      </c>
      <c r="C21" s="2990"/>
      <c r="D21" s="2991"/>
      <c r="E21" s="2990"/>
      <c r="F21" s="2990"/>
      <c r="G21" s="2990"/>
      <c r="H21" s="2990"/>
      <c r="I21" s="2990"/>
      <c r="J21" s="2990"/>
      <c r="K21" s="3078"/>
      <c r="L21" s="3078"/>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25" spans="1:44">
      <c r="A22" s="2995" t="s">
        <v>703</v>
      </c>
      <c r="B22" s="2999">
        <f>B19+B20</f>
        <v>2</v>
      </c>
      <c r="C22" s="2990"/>
      <c r="D22" s="2991"/>
      <c r="E22" s="2990"/>
      <c r="F22" s="2990"/>
      <c r="G22" s="2990"/>
      <c r="H22" s="2990"/>
      <c r="I22" s="2990"/>
      <c r="J22" s="2990"/>
      <c r="K22" s="3078"/>
      <c r="L22" s="3078"/>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25" spans="1:44">
      <c r="A23" s="2998" t="s">
        <v>704</v>
      </c>
      <c r="B23" s="2999">
        <f>B19+B21</f>
        <v>2</v>
      </c>
      <c r="C23" s="2990"/>
      <c r="D23" s="2991"/>
      <c r="E23" s="2990"/>
      <c r="F23" s="2990"/>
      <c r="G23" s="2990"/>
      <c r="H23" s="2990"/>
      <c r="I23" s="2990"/>
      <c r="J23" s="2990"/>
      <c r="K23" s="3078"/>
      <c r="L23" s="3078"/>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5" spans="1:44">
      <c r="A24" s="3000" t="s">
        <v>705</v>
      </c>
      <c r="B24" s="3001">
        <f>B20-B21</f>
        <v>0</v>
      </c>
      <c r="C24" s="2990"/>
      <c r="D24" s="2991"/>
      <c r="E24" s="2990"/>
      <c r="F24" s="2990"/>
      <c r="G24" s="2990"/>
      <c r="H24" s="2990"/>
      <c r="I24" s="2990"/>
      <c r="J24" s="2990"/>
      <c r="K24" s="3078"/>
      <c r="L24" s="3078"/>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5" spans="1:44">
      <c r="A25" s="2959"/>
      <c r="B25" s="2960"/>
      <c r="C25" s="2990"/>
      <c r="D25" s="2991"/>
      <c r="E25" s="2990"/>
      <c r="F25" s="2990"/>
      <c r="G25" s="2990"/>
      <c r="H25" s="2990"/>
      <c r="I25" s="2990"/>
      <c r="J25" s="2990"/>
      <c r="K25" s="3078"/>
      <c r="L25" s="3078"/>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5" spans="1:44">
      <c r="A26" s="2955" t="s">
        <v>706</v>
      </c>
      <c r="B26" s="3002" t="s">
        <v>707</v>
      </c>
      <c r="C26" s="3003" t="s">
        <v>708</v>
      </c>
      <c r="D26" s="2991"/>
      <c r="E26" s="2990"/>
      <c r="F26" s="2990"/>
      <c r="G26" s="2990"/>
      <c r="H26" s="2990"/>
      <c r="I26" s="2990"/>
      <c r="J26" s="2990"/>
      <c r="K26" s="3078"/>
      <c r="L26" s="3078"/>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7.75" spans="1:67">
      <c r="A27" s="3004" t="s">
        <v>709</v>
      </c>
      <c r="B27" s="3005"/>
      <c r="C27" s="3006" t="s">
        <v>710</v>
      </c>
      <c r="D27" s="3007"/>
      <c r="E27" s="1509"/>
      <c r="F27" s="1509"/>
      <c r="G27" s="2990"/>
      <c r="H27" s="2990"/>
      <c r="I27" s="2990"/>
      <c r="J27" s="2990"/>
      <c r="K27" s="3078"/>
      <c r="L27" s="3078"/>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7.75" spans="1:67">
      <c r="A28" s="3008" t="s">
        <v>711</v>
      </c>
      <c r="B28" s="3009">
        <v>200</v>
      </c>
      <c r="C28" s="3010"/>
      <c r="D28" s="3007"/>
      <c r="E28" s="1509"/>
      <c r="F28" s="1509"/>
      <c r="G28" s="2990"/>
      <c r="H28" s="2990"/>
      <c r="I28" s="2990"/>
      <c r="J28" s="2990"/>
      <c r="K28" s="3078"/>
      <c r="L28" s="3078"/>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5" spans="1:67">
      <c r="A29" s="3011" t="s">
        <v>712</v>
      </c>
      <c r="B29" s="3012"/>
      <c r="C29" s="3013" t="s">
        <v>713</v>
      </c>
      <c r="D29" s="3007"/>
      <c r="E29" s="1509"/>
      <c r="F29" s="1509"/>
      <c r="G29" s="2990"/>
      <c r="H29" s="2990"/>
      <c r="I29" s="2990"/>
      <c r="J29" s="2990"/>
      <c r="K29" s="3078"/>
      <c r="L29" s="3078"/>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7" spans="1:67">
      <c r="A30" s="3014" t="s">
        <v>714</v>
      </c>
      <c r="B30" s="3015">
        <v>200</v>
      </c>
      <c r="C30" s="3010"/>
      <c r="D30" s="3007"/>
      <c r="E30" s="1509"/>
      <c r="F30" s="1509"/>
      <c r="G30" s="2990"/>
      <c r="H30" s="2990"/>
      <c r="I30" s="2990"/>
      <c r="J30" s="2990"/>
      <c r="K30" s="3078"/>
      <c r="L30" s="3078"/>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7" spans="1:67">
      <c r="A31" s="3008" t="s">
        <v>715</v>
      </c>
      <c r="B31" s="3016">
        <f>B30-B32</f>
        <v>200</v>
      </c>
      <c r="C31" s="3017"/>
      <c r="D31" s="3007"/>
      <c r="E31" s="1509"/>
      <c r="F31" s="1509"/>
      <c r="G31" s="2990"/>
      <c r="H31" s="2990"/>
      <c r="I31" s="2990"/>
      <c r="J31" s="2990"/>
      <c r="K31" s="3078"/>
      <c r="L31" s="3078"/>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7.75" spans="1:67">
      <c r="A32" s="3018" t="s">
        <v>716</v>
      </c>
      <c r="B32" s="3019">
        <v>0</v>
      </c>
      <c r="C32" s="3010"/>
      <c r="D32" s="2991"/>
      <c r="E32" s="2990"/>
      <c r="F32" s="2990"/>
      <c r="G32" s="2990"/>
      <c r="H32" s="2990"/>
      <c r="I32" s="2990"/>
      <c r="J32" s="2990"/>
      <c r="K32" s="3078"/>
      <c r="L32" s="3078"/>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25" spans="1:67">
      <c r="A33" s="3004" t="s">
        <v>717</v>
      </c>
      <c r="B33" s="3020">
        <v>0.05</v>
      </c>
      <c r="C33" s="3021" t="s">
        <v>718</v>
      </c>
      <c r="D33" s="2991"/>
      <c r="E33" s="2990"/>
      <c r="F33" s="2990"/>
      <c r="G33" s="2990"/>
      <c r="H33" s="2990"/>
      <c r="I33" s="2990"/>
      <c r="J33" s="2990"/>
      <c r="K33" s="3078"/>
      <c r="L33" s="3078"/>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25" spans="1:67">
      <c r="A34" s="3008" t="s">
        <v>719</v>
      </c>
      <c r="B34" s="3022">
        <v>0</v>
      </c>
      <c r="C34" s="3021" t="s">
        <v>720</v>
      </c>
      <c r="D34" s="3023" t="s">
        <v>721</v>
      </c>
      <c r="E34" s="2987"/>
      <c r="F34" s="2990"/>
      <c r="G34" s="2990"/>
      <c r="H34" s="2990"/>
      <c r="I34" s="2990"/>
      <c r="J34" s="2990"/>
      <c r="K34" s="3078"/>
      <c r="L34" s="3078"/>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25" spans="1:67">
      <c r="A35" s="3008" t="s">
        <v>722</v>
      </c>
      <c r="B35" s="3009">
        <v>200</v>
      </c>
      <c r="C35" s="3021" t="s">
        <v>723</v>
      </c>
      <c r="D35" s="3007"/>
      <c r="E35" s="1509"/>
      <c r="F35" s="1509"/>
      <c r="G35" s="2990"/>
      <c r="H35" s="2990"/>
      <c r="I35" s="2990"/>
      <c r="J35" s="2990"/>
      <c r="K35" s="3078"/>
      <c r="L35" s="3078"/>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5" spans="1:44">
      <c r="A36" s="3011" t="s">
        <v>724</v>
      </c>
      <c r="B36" s="3024">
        <v>0.02</v>
      </c>
      <c r="C36" s="3021" t="s">
        <v>725</v>
      </c>
      <c r="D36" s="2991"/>
      <c r="E36" s="2990"/>
      <c r="F36" s="2990"/>
      <c r="G36" s="2990"/>
      <c r="H36" s="2990"/>
      <c r="I36" s="2990"/>
      <c r="J36" s="2990"/>
      <c r="K36" s="3078"/>
      <c r="L36" s="3078"/>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25" spans="1:44">
      <c r="A37" s="3014" t="s">
        <v>726</v>
      </c>
      <c r="B37" s="3025">
        <v>0.02</v>
      </c>
      <c r="C37" s="3021" t="s">
        <v>727</v>
      </c>
      <c r="D37" s="2991"/>
      <c r="E37" s="2990"/>
      <c r="F37" s="2990"/>
      <c r="G37" s="2990"/>
      <c r="H37" s="2990"/>
      <c r="I37" s="2990"/>
      <c r="J37" s="2990"/>
      <c r="K37" s="3078"/>
      <c r="L37" s="3078"/>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25" spans="1:44">
      <c r="A38" s="3008" t="s">
        <v>728</v>
      </c>
      <c r="B38" s="3022">
        <v>0.02</v>
      </c>
      <c r="C38" s="3021" t="s">
        <v>729</v>
      </c>
      <c r="D38" s="2991"/>
      <c r="E38" s="2990"/>
      <c r="F38" s="2990"/>
      <c r="G38" s="2990"/>
      <c r="H38" s="2990"/>
      <c r="I38" s="2990"/>
      <c r="J38" s="2990"/>
      <c r="K38" s="3078"/>
      <c r="L38" s="3078"/>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25" spans="1:44">
      <c r="A39" s="3018" t="s">
        <v>730</v>
      </c>
      <c r="B39" s="3026">
        <f ca="1">存贷款利率!I1</f>
        <v>0.015</v>
      </c>
      <c r="C39" s="3027"/>
      <c r="D39" s="2991"/>
      <c r="E39" s="2990"/>
      <c r="F39" s="2990"/>
      <c r="G39" s="2990"/>
      <c r="H39" s="2990"/>
      <c r="I39" s="2990"/>
      <c r="J39" s="2990"/>
      <c r="K39" s="3078"/>
      <c r="L39" s="3078"/>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5" spans="1:44">
      <c r="A40" s="3028" t="s">
        <v>731</v>
      </c>
      <c r="B40" s="3029">
        <f ca="1">IF(A40="利息：取LPR",存贷款利率!G1,存贷款利率!G1+C40)</f>
        <v>0.0313</v>
      </c>
      <c r="C40" s="3030"/>
      <c r="D40" s="2406"/>
      <c r="E40" s="2991"/>
      <c r="F40" s="2990"/>
      <c r="G40" s="2990"/>
      <c r="H40" s="2990"/>
      <c r="I40" s="2990"/>
      <c r="J40" s="2990"/>
      <c r="K40" s="3078"/>
      <c r="L40" s="3078"/>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25" spans="1:44">
      <c r="A41" s="3004" t="s">
        <v>732</v>
      </c>
      <c r="B41" s="3031">
        <f>B42+B43</f>
        <v>0.055</v>
      </c>
      <c r="C41" s="3017"/>
      <c r="D41" s="2406"/>
      <c r="E41" s="2991"/>
      <c r="F41" s="2990"/>
      <c r="G41" s="2990"/>
      <c r="H41" s="2990"/>
      <c r="I41" s="2990"/>
      <c r="J41" s="2990"/>
      <c r="K41" s="3078"/>
      <c r="L41" s="3078"/>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25" spans="1:44">
      <c r="A42" s="3032" t="s">
        <v>733</v>
      </c>
      <c r="B42" s="3033">
        <v>0.05</v>
      </c>
      <c r="C42" s="3034">
        <f>IF(B2&lt;DATE(2016,5,1),0,B42)</f>
        <v>0.05</v>
      </c>
      <c r="D42" s="2991"/>
      <c r="E42" s="2990"/>
      <c r="F42" s="2990"/>
      <c r="G42" s="2990"/>
      <c r="H42" s="2990"/>
      <c r="I42" s="2990"/>
      <c r="J42" s="2990"/>
      <c r="K42" s="3078"/>
      <c r="L42" s="3078"/>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25" spans="1:44">
      <c r="A43" s="3032" t="s">
        <v>734</v>
      </c>
      <c r="B43" s="3035">
        <f>B42*(B44+B45+B46)+B47</f>
        <v>0.005</v>
      </c>
      <c r="C43" s="3017"/>
      <c r="D43" s="3036" t="s">
        <v>735</v>
      </c>
      <c r="E43" s="2990"/>
      <c r="F43" s="2990"/>
      <c r="G43" s="2990"/>
      <c r="H43" s="2990"/>
      <c r="I43" s="2990"/>
      <c r="J43" s="2990"/>
      <c r="K43" s="3078"/>
      <c r="L43" s="3078"/>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25" spans="1:44">
      <c r="A44" s="3037" t="s">
        <v>736</v>
      </c>
      <c r="B44" s="3038">
        <v>0.05</v>
      </c>
      <c r="C44" s="3021" t="s">
        <v>737</v>
      </c>
      <c r="D44" s="2991"/>
      <c r="E44" s="2990"/>
      <c r="F44" s="2990"/>
      <c r="G44" s="2990"/>
      <c r="H44" s="2990"/>
      <c r="I44" s="2990"/>
      <c r="J44" s="2990"/>
      <c r="K44" s="3078"/>
      <c r="L44" s="3078"/>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25" spans="1:44">
      <c r="A45" s="3037" t="s">
        <v>738</v>
      </c>
      <c r="B45" s="3033">
        <v>0.03</v>
      </c>
      <c r="C45" s="3013" t="s">
        <v>739</v>
      </c>
      <c r="D45" s="2991"/>
      <c r="E45" s="2990"/>
      <c r="F45" s="2990"/>
      <c r="G45" s="2990"/>
      <c r="H45" s="2990"/>
      <c r="I45" s="2990"/>
      <c r="J45" s="2990"/>
      <c r="K45" s="3078"/>
      <c r="L45" s="3078"/>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25" spans="1:44">
      <c r="A46" s="3037" t="s">
        <v>740</v>
      </c>
      <c r="B46" s="3033">
        <v>0.02</v>
      </c>
      <c r="C46" s="3013" t="s">
        <v>741</v>
      </c>
      <c r="D46" s="2991"/>
      <c r="E46" s="2990"/>
      <c r="F46" s="2990"/>
      <c r="G46" s="2990"/>
      <c r="H46" s="2990"/>
      <c r="I46" s="2990"/>
      <c r="J46" s="2990"/>
      <c r="K46" s="3078"/>
      <c r="L46" s="3078"/>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5" spans="1:44">
      <c r="A47" s="3039" t="s">
        <v>742</v>
      </c>
      <c r="B47" s="3040"/>
      <c r="C47" s="3041" t="s">
        <v>743</v>
      </c>
      <c r="D47" s="2991"/>
      <c r="E47" s="2990"/>
      <c r="F47" s="2990"/>
      <c r="G47" s="2990"/>
      <c r="H47" s="2990"/>
      <c r="I47" s="2990"/>
      <c r="J47" s="2990"/>
      <c r="K47" s="3078"/>
      <c r="L47" s="3078"/>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25" spans="1:44">
      <c r="A48" s="3042" t="s">
        <v>744</v>
      </c>
      <c r="B48" s="3043">
        <v>0.03</v>
      </c>
      <c r="C48" s="3013" t="s">
        <v>739</v>
      </c>
      <c r="D48" s="2991"/>
      <c r="E48" s="2990"/>
      <c r="F48" s="2990"/>
      <c r="G48" s="2990"/>
      <c r="H48" s="2990"/>
      <c r="I48" s="2990"/>
      <c r="J48" s="2990"/>
      <c r="K48" s="3078"/>
      <c r="L48" s="3078"/>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5" spans="1:44">
      <c r="A49" s="3018" t="s">
        <v>745</v>
      </c>
      <c r="B49" s="3033">
        <v>0.0005</v>
      </c>
      <c r="C49" s="3013" t="s">
        <v>746</v>
      </c>
      <c r="D49" s="2991"/>
      <c r="E49" s="2990"/>
      <c r="F49" s="2990"/>
      <c r="G49" s="2990"/>
      <c r="H49" s="2990"/>
      <c r="I49" s="2990"/>
      <c r="J49" s="2990"/>
      <c r="K49" s="3078"/>
      <c r="L49" s="3078"/>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25" spans="1:44">
      <c r="A50" s="3044" t="s">
        <v>747</v>
      </c>
      <c r="B50" s="3045">
        <v>0.012</v>
      </c>
      <c r="C50" s="1509"/>
      <c r="D50" s="2991"/>
      <c r="E50" s="2990"/>
      <c r="F50" s="2990"/>
      <c r="G50" s="2990"/>
      <c r="H50" s="2990"/>
      <c r="I50" s="2990"/>
      <c r="J50" s="2990"/>
      <c r="K50" s="3078"/>
      <c r="L50" s="3078"/>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5" spans="1:44">
      <c r="A51" s="3011" t="s">
        <v>748</v>
      </c>
      <c r="B51" s="3046">
        <v>0.12</v>
      </c>
      <c r="C51" s="1509"/>
      <c r="D51" s="2991"/>
      <c r="E51" s="2990"/>
      <c r="F51" s="2990"/>
      <c r="G51" s="2990"/>
      <c r="H51" s="2990"/>
      <c r="I51" s="2990"/>
      <c r="J51" s="2990"/>
      <c r="K51" s="3078"/>
      <c r="L51" s="3078"/>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25" spans="1:44">
      <c r="A52" s="3044" t="s">
        <v>749</v>
      </c>
      <c r="B52" s="3047">
        <f>SUMIF(A54:A63,B53,B54:B63)</f>
        <v>0</v>
      </c>
      <c r="C52" s="1509"/>
      <c r="D52" s="2991"/>
      <c r="E52" s="2990"/>
      <c r="F52" s="2990"/>
      <c r="G52" s="2990"/>
      <c r="H52" s="2990"/>
      <c r="I52" s="2990"/>
      <c r="J52" s="2990"/>
      <c r="K52" s="3078"/>
      <c r="L52" s="3078"/>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7" spans="1:44">
      <c r="A53" s="3008" t="s">
        <v>750</v>
      </c>
      <c r="B53" s="3048"/>
      <c r="C53" s="1509" t="s">
        <v>751</v>
      </c>
      <c r="D53" s="3049" t="s">
        <v>752</v>
      </c>
      <c r="E53" s="2990"/>
      <c r="F53" s="2990"/>
      <c r="G53" s="2990"/>
      <c r="H53" s="2990"/>
      <c r="I53" s="2990"/>
      <c r="J53" s="2990"/>
      <c r="K53" s="3078"/>
      <c r="L53" s="3078"/>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25" spans="1:44">
      <c r="A54" s="3050" t="s">
        <v>753</v>
      </c>
      <c r="B54" s="3051"/>
      <c r="C54" s="1509">
        <v>30</v>
      </c>
      <c r="D54" s="2991"/>
      <c r="E54" s="2990"/>
      <c r="F54" s="2990"/>
      <c r="G54" s="2990"/>
      <c r="H54" s="2990"/>
      <c r="I54" s="2990"/>
      <c r="J54" s="2990"/>
      <c r="K54" s="3078"/>
      <c r="L54" s="3078"/>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25" spans="1:44">
      <c r="A55" s="3050" t="s">
        <v>754</v>
      </c>
      <c r="B55" s="3051"/>
      <c r="C55" s="1509">
        <v>24</v>
      </c>
      <c r="D55" s="2991"/>
      <c r="E55" s="2990"/>
      <c r="F55" s="2990"/>
      <c r="G55" s="2990"/>
      <c r="H55" s="2990"/>
      <c r="I55" s="3079"/>
      <c r="J55" s="2990"/>
      <c r="K55" s="3078"/>
      <c r="L55" s="3078"/>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25" spans="1:44">
      <c r="A56" s="3050" t="s">
        <v>755</v>
      </c>
      <c r="B56" s="3051"/>
      <c r="C56" s="1509">
        <v>18</v>
      </c>
      <c r="D56" s="2991"/>
      <c r="E56" s="2990"/>
      <c r="F56" s="2990"/>
      <c r="G56" s="2990"/>
      <c r="H56" s="2990"/>
      <c r="I56" s="2990"/>
      <c r="J56" s="2990"/>
      <c r="K56" s="3078"/>
      <c r="L56" s="3078"/>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25" spans="1:44">
      <c r="A57" s="3050" t="s">
        <v>756</v>
      </c>
      <c r="B57" s="3051"/>
      <c r="C57" s="1509">
        <v>12</v>
      </c>
      <c r="D57" s="2991"/>
      <c r="E57" s="2990"/>
      <c r="F57" s="2990"/>
      <c r="G57" s="2990"/>
      <c r="H57" s="2990"/>
      <c r="I57" s="2990"/>
      <c r="J57" s="2990"/>
      <c r="K57" s="3078"/>
      <c r="L57" s="3078"/>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25" spans="1:44">
      <c r="A58" s="3050" t="s">
        <v>757</v>
      </c>
      <c r="B58" s="3051"/>
      <c r="C58" s="1509">
        <v>3</v>
      </c>
      <c r="D58" s="2991"/>
      <c r="E58" s="2990"/>
      <c r="F58" s="2990"/>
      <c r="G58" s="2990"/>
      <c r="H58" s="2990"/>
      <c r="I58" s="2990"/>
      <c r="J58" s="2990"/>
      <c r="K58" s="3078"/>
      <c r="L58" s="3078"/>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25" spans="1:44">
      <c r="A59" s="3050" t="s">
        <v>758</v>
      </c>
      <c r="B59" s="3051"/>
      <c r="C59" s="1509">
        <v>1.5</v>
      </c>
      <c r="D59" s="2991"/>
      <c r="E59" s="2990"/>
      <c r="F59" s="2990"/>
      <c r="G59" s="2990"/>
      <c r="H59" s="2990"/>
      <c r="I59" s="2990"/>
      <c r="J59" s="2990"/>
      <c r="K59" s="3078"/>
      <c r="L59" s="3078"/>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25" spans="1:44">
      <c r="A60" s="3050" t="s">
        <v>759</v>
      </c>
      <c r="B60" s="3051"/>
      <c r="C60" s="2990"/>
      <c r="D60" s="2991"/>
      <c r="E60" s="2990"/>
      <c r="F60" s="2990"/>
      <c r="G60" s="2990"/>
      <c r="H60" s="2990"/>
      <c r="I60" s="2990"/>
      <c r="J60" s="2990"/>
      <c r="K60" s="3078"/>
      <c r="L60" s="3078"/>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25" spans="1:44">
      <c r="A61" s="3050" t="s">
        <v>760</v>
      </c>
      <c r="B61" s="3051"/>
      <c r="C61" s="2990"/>
      <c r="D61" s="2991"/>
      <c r="E61" s="2990"/>
      <c r="F61" s="2990"/>
      <c r="G61" s="2990"/>
      <c r="H61" s="2990"/>
      <c r="I61" s="2990"/>
      <c r="J61" s="2990"/>
      <c r="K61" s="3078"/>
      <c r="L61" s="3078"/>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25" spans="1:44">
      <c r="A62" s="3050" t="s">
        <v>761</v>
      </c>
      <c r="B62" s="3051"/>
      <c r="C62" s="2990"/>
      <c r="D62" s="2991"/>
      <c r="E62" s="2990"/>
      <c r="F62" s="2990"/>
      <c r="G62" s="2990"/>
      <c r="H62" s="2990"/>
      <c r="I62" s="2990"/>
      <c r="J62" s="2990"/>
      <c r="K62" s="3078"/>
      <c r="L62" s="3078"/>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5" spans="1:44">
      <c r="A63" s="3052" t="s">
        <v>762</v>
      </c>
      <c r="B63" s="3053"/>
      <c r="C63" s="2990"/>
      <c r="D63" s="2991"/>
      <c r="E63" s="2990"/>
      <c r="F63" s="2990"/>
      <c r="G63" s="2990"/>
      <c r="H63" s="2990"/>
      <c r="I63" s="2990"/>
      <c r="J63" s="2990"/>
      <c r="K63" s="3078"/>
      <c r="L63" s="3078"/>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54"/>
      <c r="B64" s="2406"/>
      <c r="C64" s="2406"/>
      <c r="D64" s="2988"/>
      <c r="E64" s="2406"/>
      <c r="F64" s="2406"/>
      <c r="G64" s="2406"/>
      <c r="H64" s="2406"/>
      <c r="I64" s="2406"/>
      <c r="J64" s="2406"/>
      <c r="K64" s="3078"/>
      <c r="L64" s="3078"/>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54"/>
      <c r="B65" s="2406"/>
      <c r="C65" s="2406"/>
      <c r="D65" s="2988"/>
      <c r="E65" s="2406"/>
      <c r="F65" s="2406"/>
      <c r="G65" s="2406"/>
      <c r="H65" s="2406"/>
      <c r="I65" s="2406"/>
      <c r="J65" s="2406"/>
      <c r="K65" s="3078"/>
      <c r="L65" s="3078"/>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54"/>
      <c r="B66" s="2406"/>
      <c r="C66" s="2406"/>
      <c r="D66" s="2988"/>
      <c r="E66" s="2406"/>
      <c r="F66" s="2406"/>
      <c r="G66" s="2406"/>
      <c r="H66" s="2406"/>
      <c r="I66" s="2406"/>
      <c r="J66" s="2406"/>
      <c r="K66" s="3078"/>
      <c r="L66" s="3078"/>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54"/>
      <c r="B67" s="2406"/>
      <c r="C67" s="2406"/>
      <c r="D67" s="2988"/>
      <c r="E67" s="2406"/>
      <c r="F67" s="2406"/>
      <c r="G67" s="2406"/>
      <c r="H67" s="2406"/>
      <c r="I67" s="2406"/>
      <c r="J67" s="2406"/>
      <c r="K67" s="3078"/>
      <c r="L67" s="3078"/>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54"/>
      <c r="B68" s="2406"/>
      <c r="C68" s="2406"/>
      <c r="D68" s="2988"/>
      <c r="E68" s="2406"/>
      <c r="F68" s="2406"/>
      <c r="G68" s="2406"/>
      <c r="H68" s="2406"/>
      <c r="I68" s="2406"/>
      <c r="J68" s="2406"/>
      <c r="K68" s="3078"/>
      <c r="L68" s="3078"/>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50"/>
      <c r="D69" s="3143"/>
      <c r="K69" s="1107"/>
      <c r="L69" s="1107"/>
    </row>
    <row r="70" s="2478" customFormat="1" spans="1:12">
      <c r="A70" s="2850"/>
      <c r="D70" s="3143"/>
      <c r="K70" s="1107"/>
      <c r="L70" s="1107"/>
    </row>
    <row r="71" s="2478" customFormat="1" spans="1:12">
      <c r="A71" s="2850"/>
      <c r="D71" s="3143"/>
      <c r="K71" s="1107"/>
      <c r="L71" s="1107"/>
    </row>
    <row r="72" s="2478" customFormat="1" spans="1:12">
      <c r="A72" s="2850"/>
      <c r="D72" s="3143"/>
      <c r="K72" s="1107"/>
      <c r="L72" s="1107"/>
    </row>
    <row r="73" s="2478" customFormat="1" spans="1:12">
      <c r="A73" s="2850"/>
      <c r="D73" s="3143"/>
      <c r="K73" s="1107"/>
      <c r="L73" s="1107"/>
    </row>
    <row r="74" s="2478" customFormat="1" spans="1:12">
      <c r="A74" s="2850"/>
      <c r="D74" s="3143"/>
      <c r="K74" s="1107"/>
      <c r="L74" s="1107"/>
    </row>
    <row r="75" s="2478" customFormat="1" spans="1:12">
      <c r="A75" s="2850"/>
      <c r="D75" s="3143"/>
      <c r="K75" s="1107"/>
      <c r="L75" s="1107"/>
    </row>
    <row r="76" s="2478" customFormat="1" spans="1:12">
      <c r="A76" s="2850"/>
      <c r="D76" s="3143"/>
      <c r="K76" s="1107"/>
      <c r="L76" s="1107"/>
    </row>
    <row r="77" s="2478" customFormat="1" spans="1:12">
      <c r="A77" s="2850"/>
      <c r="D77" s="3143"/>
      <c r="K77" s="1107"/>
      <c r="L77" s="1107"/>
    </row>
    <row r="78" s="2478" customFormat="1" spans="1:12">
      <c r="A78" s="2850"/>
      <c r="D78" s="3143"/>
      <c r="K78" s="1107"/>
      <c r="L78" s="1107"/>
    </row>
    <row r="79" s="2478" customFormat="1" spans="1:12">
      <c r="A79" s="2850"/>
      <c r="D79" s="3143"/>
      <c r="K79" s="1107"/>
      <c r="L79" s="1107"/>
    </row>
    <row r="80" s="2478" customFormat="1" spans="1:12">
      <c r="A80" s="2850"/>
      <c r="D80" s="3143"/>
      <c r="K80" s="1107"/>
      <c r="L80" s="1107"/>
    </row>
    <row r="81" s="2478" customFormat="1" spans="1:12">
      <c r="A81" s="2850"/>
      <c r="D81" s="3143"/>
      <c r="K81" s="1107"/>
      <c r="L81" s="1107"/>
    </row>
    <row r="82" s="2478" customFormat="1" spans="1:12">
      <c r="A82" s="2850"/>
      <c r="D82" s="3143"/>
      <c r="K82" s="1107"/>
      <c r="L82" s="1107"/>
    </row>
    <row r="83" s="2478" customFormat="1" spans="1:12">
      <c r="A83" s="2850"/>
      <c r="D83" s="3143"/>
      <c r="K83" s="1107"/>
      <c r="L83" s="1107"/>
    </row>
    <row r="84" s="2478" customFormat="1" spans="1:12">
      <c r="A84" s="2850"/>
      <c r="D84" s="3143"/>
      <c r="K84" s="1107"/>
      <c r="L84" s="1107"/>
    </row>
    <row r="85" s="2478" customFormat="1" spans="1:12">
      <c r="A85" s="2850"/>
      <c r="D85" s="3143"/>
      <c r="K85" s="1107"/>
      <c r="L85" s="1107"/>
    </row>
    <row r="86" s="2478" customFormat="1" spans="1:12">
      <c r="A86" s="2850"/>
      <c r="D86" s="3143"/>
      <c r="K86" s="1107"/>
      <c r="L86" s="1107"/>
    </row>
    <row r="87" s="2478" customFormat="1" spans="1:12">
      <c r="A87" s="2850"/>
      <c r="D87" s="3143"/>
      <c r="K87" s="1107"/>
      <c r="L87" s="1107"/>
    </row>
    <row r="88" s="2478" customFormat="1" spans="1:12">
      <c r="A88" s="2850"/>
      <c r="D88" s="3143"/>
      <c r="K88" s="1107"/>
      <c r="L88" s="1107"/>
    </row>
    <row r="89" s="2478" customFormat="1" spans="1:12">
      <c r="A89" s="2850"/>
      <c r="D89" s="3143"/>
      <c r="K89" s="1107"/>
      <c r="L89" s="1107"/>
    </row>
    <row r="90" s="2478" customFormat="1" spans="1:12">
      <c r="A90" s="2850"/>
      <c r="D90" s="3143"/>
      <c r="K90" s="1107"/>
      <c r="L90" s="1107"/>
    </row>
    <row r="91" s="2478" customFormat="1" spans="1:12">
      <c r="A91" s="2850"/>
      <c r="D91" s="3143"/>
      <c r="K91" s="1107"/>
      <c r="L91" s="1107"/>
    </row>
    <row r="92" s="2478" customFormat="1" spans="1:12">
      <c r="A92" s="2850"/>
      <c r="D92" s="3143"/>
      <c r="K92" s="1107"/>
      <c r="L92" s="1107"/>
    </row>
    <row r="93" s="2478" customFormat="1" spans="1:12">
      <c r="A93" s="2850"/>
      <c r="D93" s="3143"/>
      <c r="K93" s="1107"/>
      <c r="L93" s="1107"/>
    </row>
    <row r="94" s="2478" customFormat="1" spans="1:12">
      <c r="A94" s="2850"/>
      <c r="D94" s="3143"/>
      <c r="K94" s="1107"/>
      <c r="L94" s="1107"/>
    </row>
    <row r="95" s="2478" customFormat="1" spans="1:12">
      <c r="A95" s="2850"/>
      <c r="D95" s="3143"/>
      <c r="K95" s="1107"/>
      <c r="L95" s="1107"/>
    </row>
    <row r="96" s="2478" customFormat="1" spans="1:12">
      <c r="A96" s="2850"/>
      <c r="D96" s="3143"/>
      <c r="K96" s="1107"/>
      <c r="L96" s="1107"/>
    </row>
    <row r="97" s="2478" customFormat="1" spans="1:12">
      <c r="A97" s="2850"/>
      <c r="D97" s="3143"/>
      <c r="K97" s="1107"/>
      <c r="L97" s="1107"/>
    </row>
    <row r="98" s="2478" customFormat="1" spans="1:12">
      <c r="A98" s="2850"/>
      <c r="D98" s="3143"/>
      <c r="K98" s="1107"/>
      <c r="L98" s="1107"/>
    </row>
    <row r="99" s="2478" customFormat="1" spans="1:12">
      <c r="A99" s="2850"/>
      <c r="D99" s="3143"/>
      <c r="K99" s="1107"/>
      <c r="L99" s="1107"/>
    </row>
    <row r="100" s="2478" customFormat="1" spans="1:12">
      <c r="A100" s="2850"/>
      <c r="D100" s="3143"/>
      <c r="K100" s="1107"/>
      <c r="L100" s="1107"/>
    </row>
    <row r="101" s="2478" customFormat="1" spans="1:12">
      <c r="A101" s="2850"/>
      <c r="D101" s="3143"/>
      <c r="K101" s="1107"/>
      <c r="L101" s="1107"/>
    </row>
    <row r="102" s="2478" customFormat="1" spans="1:12">
      <c r="A102" s="2850"/>
      <c r="D102" s="3143"/>
      <c r="K102" s="1107"/>
      <c r="L102" s="1107"/>
    </row>
    <row r="103" s="2478" customFormat="1" spans="1:12">
      <c r="A103" s="2850"/>
      <c r="D103" s="3143"/>
      <c r="K103" s="1107"/>
      <c r="L103" s="1107"/>
    </row>
    <row r="104" s="2478" customFormat="1" spans="1:12">
      <c r="A104" s="2850"/>
      <c r="D104" s="3143"/>
      <c r="K104" s="1107"/>
      <c r="L104" s="1107"/>
    </row>
    <row r="105" s="2478" customFormat="1" spans="1:12">
      <c r="A105" s="2850"/>
      <c r="D105" s="3143"/>
      <c r="K105" s="1107"/>
      <c r="L105" s="1107"/>
    </row>
    <row r="106" s="2478" customFormat="1" spans="1:12">
      <c r="A106" s="2850"/>
      <c r="D106" s="3143"/>
      <c r="K106" s="1107"/>
      <c r="L106" s="1107"/>
    </row>
    <row r="107" s="2478" customFormat="1" spans="1:12">
      <c r="A107" s="2850"/>
      <c r="D107" s="3143"/>
      <c r="K107" s="1107"/>
      <c r="L107" s="1107"/>
    </row>
    <row r="108" s="2478" customFormat="1" spans="1:12">
      <c r="A108" s="2850"/>
      <c r="D108" s="3143"/>
      <c r="K108" s="1107"/>
      <c r="L108" s="1107"/>
    </row>
    <row r="109" s="2478" customFormat="1" spans="1:12">
      <c r="A109" s="2850"/>
      <c r="D109" s="3143"/>
      <c r="K109" s="1107"/>
      <c r="L109" s="1107"/>
    </row>
    <row r="110" s="2478" customFormat="1" spans="1:12">
      <c r="A110" s="2850"/>
      <c r="D110" s="3143"/>
      <c r="K110" s="1107"/>
      <c r="L110" s="1107"/>
    </row>
    <row r="111" s="2478" customFormat="1" spans="1:12">
      <c r="A111" s="2850"/>
      <c r="D111" s="3143"/>
      <c r="K111" s="1107"/>
      <c r="L111" s="1107"/>
    </row>
    <row r="112" s="2478" customFormat="1" spans="1:12">
      <c r="A112" s="2850"/>
      <c r="D112" s="3143"/>
      <c r="K112" s="1107"/>
      <c r="L112" s="1107"/>
    </row>
    <row r="113" s="2478" customFormat="1" spans="1:12">
      <c r="A113" s="2850"/>
      <c r="D113" s="3143"/>
      <c r="K113" s="1107"/>
      <c r="L113" s="1107"/>
    </row>
    <row r="114" s="2478" customFormat="1" spans="1:12">
      <c r="A114" s="2850"/>
      <c r="D114" s="3143"/>
      <c r="K114" s="1107"/>
      <c r="L114" s="1107"/>
    </row>
    <row r="115" s="2478" customFormat="1" spans="1:12">
      <c r="A115" s="2850"/>
      <c r="D115" s="3143"/>
      <c r="K115" s="1107"/>
      <c r="L115" s="1107"/>
    </row>
    <row r="116" s="2478" customFormat="1" spans="1:12">
      <c r="A116" s="2850"/>
      <c r="D116" s="3143"/>
      <c r="K116" s="1107"/>
      <c r="L116" s="1107"/>
    </row>
    <row r="117" s="2478" customFormat="1" spans="1:12">
      <c r="A117" s="2850"/>
      <c r="D117" s="3143"/>
      <c r="K117" s="1107"/>
      <c r="L117" s="1107"/>
    </row>
    <row r="118" s="2478" customFormat="1" spans="1:12">
      <c r="A118" s="2850"/>
      <c r="D118" s="3143"/>
      <c r="K118" s="1107"/>
      <c r="L118" s="1107"/>
    </row>
    <row r="119" s="2478" customFormat="1" spans="1:12">
      <c r="A119" s="2850"/>
      <c r="D119" s="3143"/>
      <c r="K119" s="1107"/>
      <c r="L119" s="1107"/>
    </row>
    <row r="120" s="2478" customFormat="1" spans="1:12">
      <c r="A120" s="2850"/>
      <c r="D120" s="3143"/>
      <c r="K120" s="1107"/>
      <c r="L120" s="1107"/>
    </row>
    <row r="121" s="2478" customFormat="1" spans="1:12">
      <c r="A121" s="2850"/>
      <c r="D121" s="3143"/>
      <c r="K121" s="1107"/>
      <c r="L121" s="1107"/>
    </row>
    <row r="122" s="2478" customFormat="1" spans="1:12">
      <c r="A122" s="2850"/>
      <c r="D122" s="3143"/>
      <c r="K122" s="1107"/>
      <c r="L122" s="1107"/>
    </row>
    <row r="123" s="2478" customFormat="1" spans="1:12">
      <c r="A123" s="2850"/>
      <c r="D123" s="3143"/>
      <c r="K123" s="1107"/>
      <c r="L123" s="1107"/>
    </row>
    <row r="124" s="2478" customFormat="1" spans="1:12">
      <c r="A124" s="2850"/>
      <c r="D124" s="3143"/>
      <c r="K124" s="1107"/>
      <c r="L124" s="1107"/>
    </row>
    <row r="125" s="2478" customFormat="1" spans="1:12">
      <c r="A125" s="2850"/>
      <c r="D125" s="3143"/>
      <c r="K125" s="1107"/>
      <c r="L125" s="1107"/>
    </row>
    <row r="126" s="2478" customFormat="1" spans="1:12">
      <c r="A126" s="2850"/>
      <c r="D126" s="3143"/>
      <c r="K126" s="1107"/>
      <c r="L126" s="1107"/>
    </row>
    <row r="127" s="2478" customFormat="1" spans="1:12">
      <c r="A127" s="2850"/>
      <c r="D127" s="3143"/>
      <c r="K127" s="1107"/>
      <c r="L127" s="1107"/>
    </row>
    <row r="128" s="2478" customFormat="1" spans="1:12">
      <c r="A128" s="2850"/>
      <c r="D128" s="3143"/>
      <c r="K128" s="1107"/>
      <c r="L128" s="1107"/>
    </row>
    <row r="129" s="2478" customFormat="1" spans="1:12">
      <c r="A129" s="2850"/>
      <c r="D129" s="3143"/>
      <c r="K129" s="1107"/>
      <c r="L129" s="1107"/>
    </row>
    <row r="130" s="2478" customFormat="1" spans="1:12">
      <c r="A130" s="2850"/>
      <c r="D130" s="3143"/>
      <c r="K130" s="1107"/>
      <c r="L130" s="1107"/>
    </row>
    <row r="131" s="2478" customFormat="1" spans="1:12">
      <c r="A131" s="2850"/>
      <c r="D131" s="3143"/>
      <c r="K131" s="1107"/>
      <c r="L131" s="1107"/>
    </row>
    <row r="132" s="2478" customFormat="1" spans="1:12">
      <c r="A132" s="2850"/>
      <c r="D132" s="3143"/>
      <c r="K132" s="1107"/>
      <c r="L132" s="1107"/>
    </row>
    <row r="133" s="2478" customFormat="1" spans="1:12">
      <c r="A133" s="2850"/>
      <c r="D133" s="3143"/>
      <c r="K133" s="1107"/>
      <c r="L133" s="1107"/>
    </row>
    <row r="134" s="2947" customFormat="1" spans="1:12">
      <c r="A134" s="3144"/>
      <c r="D134" s="3145"/>
      <c r="K134" s="1008"/>
      <c r="L134" s="1008"/>
    </row>
    <row r="135" s="2947" customFormat="1" spans="1:12">
      <c r="A135" s="3144"/>
      <c r="D135" s="3145"/>
      <c r="K135" s="1008"/>
      <c r="L135" s="1008"/>
    </row>
    <row r="136" s="2947" customFormat="1" spans="1:12">
      <c r="A136" s="3144"/>
      <c r="D136" s="3145"/>
      <c r="K136" s="1008"/>
      <c r="L136" s="1008"/>
    </row>
    <row r="137" s="2947" customFormat="1" spans="1:12">
      <c r="A137" s="3144"/>
      <c r="D137" s="3145"/>
      <c r="K137" s="1008"/>
      <c r="L137" s="1008"/>
    </row>
    <row r="138" s="2947" customFormat="1" spans="1:12">
      <c r="A138" s="3144"/>
      <c r="D138" s="3145"/>
      <c r="K138" s="1008"/>
      <c r="L138" s="1008"/>
    </row>
    <row r="139" s="2947" customFormat="1" spans="1:12">
      <c r="A139" s="3144"/>
      <c r="D139" s="3145"/>
      <c r="K139" s="1008"/>
      <c r="L139" s="1008"/>
    </row>
    <row r="140" s="2947" customFormat="1" spans="1:12">
      <c r="A140" s="3144"/>
      <c r="D140" s="3145"/>
      <c r="K140" s="1008"/>
      <c r="L140" s="1008"/>
    </row>
    <row r="141" s="2947" customFormat="1" spans="1:12">
      <c r="A141" s="3144"/>
      <c r="D141" s="3145"/>
      <c r="K141" s="1008"/>
      <c r="L141" s="1008"/>
    </row>
    <row r="142" s="2947" customFormat="1" spans="1:12">
      <c r="A142" s="3144"/>
      <c r="D142" s="3145"/>
      <c r="K142" s="1008"/>
      <c r="L142" s="1008"/>
    </row>
    <row r="143" s="2947" customFormat="1" spans="1:12">
      <c r="A143" s="3144"/>
      <c r="D143" s="3145"/>
      <c r="K143" s="1008"/>
      <c r="L143" s="1008"/>
    </row>
    <row r="144" s="2947" customFormat="1" spans="1:12">
      <c r="A144" s="3144"/>
      <c r="D144" s="3145"/>
      <c r="K144" s="1008"/>
      <c r="L144" s="1008"/>
    </row>
    <row r="145" s="2947" customFormat="1" spans="1:12">
      <c r="A145" s="3144"/>
      <c r="D145" s="3145"/>
      <c r="K145" s="1008"/>
      <c r="L145" s="1008"/>
    </row>
    <row r="146" s="2947" customFormat="1" spans="1:12">
      <c r="A146" s="3144"/>
      <c r="D146" s="3145"/>
      <c r="K146" s="1008"/>
      <c r="L146" s="1008"/>
    </row>
    <row r="147" s="2947" customFormat="1" spans="1:12">
      <c r="A147" s="3144"/>
      <c r="D147" s="3145"/>
      <c r="K147" s="1008"/>
      <c r="L147" s="1008"/>
    </row>
    <row r="148" s="2947" customFormat="1" spans="1:12">
      <c r="A148" s="3144"/>
      <c r="D148" s="3145"/>
      <c r="K148" s="1008"/>
      <c r="L148" s="1008"/>
    </row>
    <row r="149" s="2947" customFormat="1" spans="1:12">
      <c r="A149" s="3144"/>
      <c r="D149" s="3145"/>
      <c r="K149" s="1008"/>
      <c r="L149" s="1008"/>
    </row>
    <row r="150" s="2947" customFormat="1" spans="1:12">
      <c r="A150" s="3144"/>
      <c r="D150" s="3145"/>
      <c r="K150" s="1008"/>
      <c r="L150" s="1008"/>
    </row>
    <row r="151" s="2947" customFormat="1" spans="1:12">
      <c r="A151" s="3144"/>
      <c r="D151" s="3145"/>
      <c r="K151" s="1008"/>
      <c r="L151" s="1008"/>
    </row>
    <row r="152" s="2947" customFormat="1" spans="1:12">
      <c r="A152" s="3144"/>
      <c r="D152" s="3145"/>
      <c r="K152" s="1008"/>
      <c r="L152" s="1008"/>
    </row>
    <row r="153" s="2947" customFormat="1" spans="1:12">
      <c r="A153" s="3144"/>
      <c r="D153" s="3145"/>
      <c r="K153" s="1008"/>
      <c r="L153" s="1008"/>
    </row>
    <row r="154" s="2947" customFormat="1" spans="1:12">
      <c r="A154" s="3144"/>
      <c r="D154" s="3145"/>
      <c r="K154" s="1008"/>
      <c r="L154" s="1008"/>
    </row>
    <row r="155" s="2947" customFormat="1" spans="1:12">
      <c r="A155" s="3144"/>
      <c r="D155" s="3145"/>
      <c r="K155" s="1008"/>
      <c r="L155" s="1008"/>
    </row>
    <row r="156" s="2947" customFormat="1" spans="1:12">
      <c r="A156" s="3144"/>
      <c r="D156" s="3145"/>
      <c r="K156" s="1008"/>
      <c r="L156" s="1008"/>
    </row>
    <row r="157" s="2947" customFormat="1" spans="1:12">
      <c r="A157" s="3144"/>
      <c r="D157" s="3145"/>
      <c r="K157" s="1008"/>
      <c r="L157" s="1008"/>
    </row>
    <row r="158" s="2947" customFormat="1" spans="1:12">
      <c r="A158" s="3144"/>
      <c r="D158" s="3145"/>
      <c r="K158" s="1008"/>
      <c r="L158" s="1008"/>
    </row>
    <row r="159" s="2947" customFormat="1" spans="1:12">
      <c r="A159" s="3144"/>
      <c r="D159" s="3145"/>
      <c r="K159" s="1008"/>
      <c r="L159" s="1008"/>
    </row>
    <row r="160" s="2947" customFormat="1" spans="1:12">
      <c r="A160" s="3144"/>
      <c r="D160" s="3145"/>
      <c r="K160" s="1008"/>
      <c r="L160" s="1008"/>
    </row>
    <row r="161" s="2947" customFormat="1" spans="1:12">
      <c r="A161" s="3144"/>
      <c r="D161" s="3145"/>
      <c r="K161" s="1008"/>
      <c r="L161" s="1008"/>
    </row>
    <row r="162" s="2947" customFormat="1" spans="1:12">
      <c r="A162" s="3144"/>
      <c r="D162" s="3145"/>
      <c r="K162" s="1008"/>
      <c r="L162" s="1008"/>
    </row>
    <row r="163" s="2947" customFormat="1" spans="1:12">
      <c r="A163" s="3144"/>
      <c r="D163" s="3145"/>
      <c r="K163" s="1008"/>
      <c r="L163" s="1008"/>
    </row>
    <row r="164" s="2947" customFormat="1" spans="1:12">
      <c r="A164" s="3144"/>
      <c r="D164" s="3145"/>
      <c r="K164" s="1008"/>
      <c r="L164" s="1008"/>
    </row>
    <row r="165" s="2947" customFormat="1" spans="1:12">
      <c r="A165" s="3144"/>
      <c r="D165" s="3145"/>
      <c r="K165" s="1008"/>
      <c r="L165" s="1008"/>
    </row>
    <row r="166" s="2947" customFormat="1" spans="1:12">
      <c r="A166" s="3144"/>
      <c r="D166" s="3145"/>
      <c r="K166" s="1008"/>
      <c r="L166" s="1008"/>
    </row>
    <row r="167" s="2947" customFormat="1" spans="1:12">
      <c r="A167" s="3144"/>
      <c r="D167" s="3145"/>
      <c r="K167" s="1008"/>
      <c r="L167" s="1008"/>
    </row>
    <row r="168" s="2947" customFormat="1" spans="1:12">
      <c r="A168" s="3144"/>
      <c r="D168" s="3145"/>
      <c r="K168" s="1008"/>
      <c r="L168" s="1008"/>
    </row>
    <row r="169" s="2947" customFormat="1" spans="1:12">
      <c r="A169" s="3144"/>
      <c r="D169" s="3145"/>
      <c r="K169" s="1008"/>
      <c r="L169" s="1008"/>
    </row>
    <row r="170" s="2947" customFormat="1" spans="1:12">
      <c r="A170" s="3144"/>
      <c r="D170" s="3145"/>
      <c r="K170" s="1008"/>
      <c r="L170" s="1008"/>
    </row>
    <row r="171" s="2947" customFormat="1" spans="1:12">
      <c r="A171" s="3144"/>
      <c r="D171" s="3145"/>
      <c r="K171" s="1008"/>
      <c r="L171" s="1008"/>
    </row>
    <row r="172" s="2947" customFormat="1" spans="1:12">
      <c r="A172" s="3144"/>
      <c r="D172" s="3145"/>
      <c r="K172" s="1008"/>
      <c r="L172" s="1008"/>
    </row>
    <row r="173" s="2947" customFormat="1" spans="1:12">
      <c r="A173" s="3144"/>
      <c r="D173" s="3145"/>
      <c r="K173" s="1008"/>
      <c r="L173" s="1008"/>
    </row>
    <row r="174" s="2947" customFormat="1" spans="1:12">
      <c r="A174" s="3144"/>
      <c r="D174" s="314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3" customWidth="1"/>
    <col min="2" max="2" width="24.5" style="2874" customWidth="1"/>
    <col min="3" max="3" width="24.5" style="2875" customWidth="1"/>
    <col min="4" max="4" width="2.625" style="2875" customWidth="1"/>
    <col min="5" max="5" width="5.875" style="2875" customWidth="1"/>
    <col min="6" max="6" width="27" style="2874" customWidth="1"/>
    <col min="7" max="7" width="27" style="2876" customWidth="1"/>
    <col min="8" max="8" width="11.875" style="2877" customWidth="1"/>
    <col min="9" max="9" width="16.75" style="2878" customWidth="1"/>
    <col min="10" max="10" width="2.625" style="2877" customWidth="1"/>
    <col min="11" max="11" width="11.875" style="2877" customWidth="1"/>
    <col min="12" max="12" width="16.75" style="2878" customWidth="1"/>
    <col min="13" max="13" width="2.625" style="2877" customWidth="1"/>
    <col min="14" max="14" width="11.875" style="2877" customWidth="1"/>
    <col min="15" max="15" width="16.75" style="2878" customWidth="1"/>
    <col min="16" max="16" width="2.625" style="2877" customWidth="1"/>
    <col min="17" max="17" width="11.875" style="2877" customWidth="1"/>
    <col min="18" max="18" width="16.75" style="2879" customWidth="1"/>
    <col min="19" max="29" width="9" style="2395"/>
    <col min="30" max="16384" width="9" style="2873"/>
  </cols>
  <sheetData>
    <row r="1" s="2871" customFormat="1" ht="18.75" spans="1:29">
      <c r="A1" s="2880" t="s">
        <v>763</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5" spans="1:18">
      <c r="A2" s="2883"/>
      <c r="B2" s="2884"/>
      <c r="C2" s="2885" t="s">
        <v>764</v>
      </c>
      <c r="D2" s="2886"/>
      <c r="E2" s="2883"/>
      <c r="F2" s="2887"/>
      <c r="G2" s="2885" t="s">
        <v>765</v>
      </c>
      <c r="H2" s="2395"/>
      <c r="I2" s="2395"/>
      <c r="J2" s="2395"/>
      <c r="K2" s="2395"/>
      <c r="L2" s="2395"/>
      <c r="M2" s="2395"/>
      <c r="N2" s="2395"/>
      <c r="O2" s="2395"/>
      <c r="P2" s="2395"/>
      <c r="Q2" s="2395"/>
      <c r="R2" s="2395"/>
    </row>
    <row r="3" ht="48" spans="1:18">
      <c r="A3" s="2888" t="s">
        <v>766</v>
      </c>
      <c r="B3" s="2889" t="s">
        <v>767</v>
      </c>
      <c r="C3" s="2890" t="s">
        <v>768</v>
      </c>
      <c r="D3" s="2891"/>
      <c r="E3" s="2892" t="s">
        <v>766</v>
      </c>
      <c r="F3" s="2893" t="s">
        <v>769</v>
      </c>
      <c r="G3" s="2894" t="s">
        <v>770</v>
      </c>
      <c r="H3" s="2395"/>
      <c r="I3" s="2395"/>
      <c r="J3" s="2395"/>
      <c r="K3" s="2395"/>
      <c r="L3" s="2395"/>
      <c r="M3" s="2395"/>
      <c r="N3" s="2395"/>
      <c r="O3" s="2395"/>
      <c r="P3" s="2395"/>
      <c r="Q3" s="2395"/>
      <c r="R3" s="2395"/>
    </row>
    <row r="4" ht="36.75" spans="1:18">
      <c r="A4" s="2892"/>
      <c r="B4" s="2060" t="s">
        <v>771</v>
      </c>
      <c r="C4" s="2895" t="s">
        <v>772</v>
      </c>
      <c r="D4" s="2891"/>
      <c r="E4" s="2896"/>
      <c r="F4" s="2389" t="s">
        <v>773</v>
      </c>
      <c r="G4" s="2897" t="s">
        <v>774</v>
      </c>
      <c r="H4" s="2395"/>
      <c r="I4" s="2395"/>
      <c r="J4" s="2395"/>
      <c r="K4" s="2395"/>
      <c r="L4" s="2395"/>
      <c r="M4" s="2395"/>
      <c r="N4" s="2395"/>
      <c r="O4" s="2395"/>
      <c r="P4" s="2395"/>
      <c r="Q4" s="2395"/>
      <c r="R4" s="2395"/>
    </row>
    <row r="5" ht="36.75" spans="1:18">
      <c r="A5" s="2892"/>
      <c r="B5" s="2060" t="s">
        <v>775</v>
      </c>
      <c r="C5" s="2895" t="s">
        <v>776</v>
      </c>
      <c r="D5" s="2891"/>
      <c r="E5" s="2896"/>
      <c r="F5" s="2060" t="s">
        <v>594</v>
      </c>
      <c r="G5" s="2897" t="s">
        <v>777</v>
      </c>
      <c r="H5" s="2395"/>
      <c r="I5" s="2395"/>
      <c r="J5" s="2395"/>
      <c r="K5" s="2395"/>
      <c r="L5" s="2395"/>
      <c r="M5" s="2395"/>
      <c r="N5" s="2395"/>
      <c r="O5" s="2395"/>
      <c r="P5" s="2395"/>
      <c r="Q5" s="2395"/>
      <c r="R5" s="2395"/>
    </row>
    <row r="6" ht="36" spans="1:18">
      <c r="A6" s="2892"/>
      <c r="B6" s="2060" t="s">
        <v>773</v>
      </c>
      <c r="C6" s="2897" t="s">
        <v>774</v>
      </c>
      <c r="D6" s="2891"/>
      <c r="E6" s="2896"/>
      <c r="F6" s="2060" t="s">
        <v>778</v>
      </c>
      <c r="G6" s="2897" t="s">
        <v>779</v>
      </c>
      <c r="H6" s="2395"/>
      <c r="I6" s="2395"/>
      <c r="J6" s="2395"/>
      <c r="K6" s="2395"/>
      <c r="L6" s="2395"/>
      <c r="M6" s="2395"/>
      <c r="N6" s="2395"/>
      <c r="O6" s="2395"/>
      <c r="P6" s="2395"/>
      <c r="Q6" s="2395"/>
      <c r="R6" s="2395"/>
    </row>
    <row r="7" ht="24.75" spans="1:18">
      <c r="A7" s="2892"/>
      <c r="B7" s="2060" t="s">
        <v>594</v>
      </c>
      <c r="C7" s="2897" t="s">
        <v>777</v>
      </c>
      <c r="D7" s="2898"/>
      <c r="E7" s="2899"/>
      <c r="F7" s="2900" t="s">
        <v>780</v>
      </c>
      <c r="G7" s="2901" t="s">
        <v>781</v>
      </c>
      <c r="H7" s="2395"/>
      <c r="I7" s="2395"/>
      <c r="J7" s="2395"/>
      <c r="K7" s="2395"/>
      <c r="L7" s="2395"/>
      <c r="M7" s="2395"/>
      <c r="N7" s="2395"/>
      <c r="O7" s="2395"/>
      <c r="P7" s="2395"/>
      <c r="Q7" s="2395"/>
      <c r="R7" s="2395"/>
    </row>
    <row r="8" spans="1:18">
      <c r="A8" s="2892"/>
      <c r="B8" s="2060" t="s">
        <v>778</v>
      </c>
      <c r="C8" s="2897" t="s">
        <v>779</v>
      </c>
      <c r="D8" s="2898"/>
      <c r="E8" s="2898"/>
      <c r="F8" s="2182"/>
      <c r="G8" s="2182"/>
      <c r="H8" s="2395"/>
      <c r="I8" s="2395"/>
      <c r="J8" s="2395"/>
      <c r="K8" s="2395"/>
      <c r="L8" s="2395"/>
      <c r="M8" s="2395"/>
      <c r="N8" s="2395"/>
      <c r="O8" s="2395"/>
      <c r="P8" s="2395"/>
      <c r="Q8" s="2395"/>
      <c r="R8" s="2395"/>
    </row>
    <row r="9" ht="24" spans="1:18">
      <c r="A9" s="2892"/>
      <c r="B9" s="2060" t="s">
        <v>782</v>
      </c>
      <c r="C9" s="2895" t="s">
        <v>783</v>
      </c>
      <c r="D9" s="2891"/>
      <c r="E9" s="2898"/>
      <c r="F9" s="2182"/>
      <c r="G9" s="2182"/>
      <c r="H9" s="2395"/>
      <c r="I9" s="2395"/>
      <c r="J9" s="2395"/>
      <c r="K9" s="2395"/>
      <c r="L9" s="2395"/>
      <c r="M9" s="2395"/>
      <c r="N9" s="2395"/>
      <c r="O9" s="2395"/>
      <c r="P9" s="2395"/>
      <c r="Q9" s="2395"/>
      <c r="R9" s="2395"/>
    </row>
    <row r="10" s="2872" customFormat="1" ht="15" spans="1:29">
      <c r="A10" s="2902"/>
      <c r="B10" s="2903" t="s">
        <v>784</v>
      </c>
      <c r="C10" s="2904"/>
      <c r="D10" s="2891"/>
      <c r="E10" s="2891"/>
      <c r="F10" s="2182"/>
      <c r="G10" s="2182"/>
      <c r="H10" s="2905"/>
      <c r="I10" s="2935"/>
      <c r="J10" s="2936"/>
      <c r="K10" s="2905"/>
      <c r="L10" s="2935"/>
      <c r="M10" s="2936"/>
      <c r="N10" s="2905"/>
      <c r="O10" s="2935"/>
      <c r="P10" s="2936"/>
      <c r="Q10" s="2905"/>
      <c r="R10" s="2935"/>
      <c r="S10" s="2395"/>
      <c r="T10" s="2395"/>
      <c r="U10" s="2395"/>
      <c r="V10" s="2395"/>
      <c r="W10" s="2395"/>
      <c r="X10" s="2395"/>
      <c r="Y10" s="2395"/>
      <c r="Z10" s="2395"/>
      <c r="AA10" s="2395"/>
      <c r="AB10" s="2395"/>
      <c r="AC10" s="2395"/>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5"/>
      <c r="T11" s="2395"/>
      <c r="U11" s="2395"/>
      <c r="V11" s="2395"/>
      <c r="W11" s="2395"/>
      <c r="X11" s="2395"/>
      <c r="Y11" s="2395"/>
      <c r="Z11" s="2395"/>
      <c r="AA11" s="2395"/>
      <c r="AB11" s="2395"/>
      <c r="AC11" s="2395"/>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spans="1:7">
      <c r="A13" s="2910" t="s">
        <v>785</v>
      </c>
      <c r="B13" s="2908"/>
      <c r="C13" s="2908"/>
      <c r="D13" s="2906"/>
      <c r="E13" s="2908"/>
      <c r="F13" s="2908"/>
      <c r="G13" s="2908"/>
    </row>
    <row r="14" spans="1:7">
      <c r="A14" s="2911"/>
      <c r="B14" s="2911"/>
      <c r="C14" s="2912" t="s">
        <v>764</v>
      </c>
      <c r="D14" s="2891"/>
      <c r="E14" s="2913"/>
      <c r="F14" s="2913"/>
      <c r="G14" s="2885" t="s">
        <v>765</v>
      </c>
    </row>
    <row r="15" ht="48" spans="1:7">
      <c r="A15" s="2914" t="s">
        <v>766</v>
      </c>
      <c r="B15" s="2915" t="s">
        <v>767</v>
      </c>
      <c r="C15" s="2916" t="str">
        <f>C3</f>
        <v>估价对象周边居住用地比例、居住小区规模和社区发展完善程度，综合评价居住社区成熟度一般</v>
      </c>
      <c r="D15" s="2891"/>
      <c r="E15" s="2917" t="s">
        <v>766</v>
      </c>
      <c r="F15" s="2915" t="s">
        <v>769</v>
      </c>
      <c r="G15" s="2918" t="str">
        <f>G3</f>
        <v>估价对象位于XX开发区，园区建设成熟度XX，产业集聚程度XX</v>
      </c>
    </row>
    <row r="16" ht="36.75" spans="1:7">
      <c r="A16" s="2919"/>
      <c r="B16" s="2920" t="s">
        <v>771</v>
      </c>
      <c r="C16" s="2921" t="str">
        <f>C4</f>
        <v>估价对象位于XX商圈，周边商业氛围成熟，人流量大，商业繁华度好</v>
      </c>
      <c r="D16" s="2891"/>
      <c r="E16" s="2922"/>
      <c r="F16" s="2923" t="s">
        <v>773</v>
      </c>
      <c r="G16" s="2924" t="str">
        <f>G4</f>
        <v>估价对象周边道路状况、公共交通通达情况、停车便捷程度，综合评价交通便捷度较好</v>
      </c>
    </row>
    <row r="17" ht="36.75" spans="1:7">
      <c r="A17" s="2919"/>
      <c r="B17" s="2920" t="s">
        <v>775</v>
      </c>
      <c r="C17" s="2921" t="str">
        <f>C5</f>
        <v>估价对象位于XX商圈，周边办公楼项目较多，入驻率高，办公集聚程度较好</v>
      </c>
      <c r="D17" s="2898"/>
      <c r="E17" s="2922"/>
      <c r="F17" s="2923" t="s">
        <v>786</v>
      </c>
      <c r="G17" s="2925"/>
    </row>
    <row r="18" ht="36" spans="1:7">
      <c r="A18" s="2919"/>
      <c r="B18" s="2923" t="s">
        <v>773</v>
      </c>
      <c r="C18" s="2924" t="str">
        <f>C6</f>
        <v>估价对象周边道路状况、公共交通通达情况、停车便捷程度，综合评价交通便捷度较好</v>
      </c>
      <c r="D18" s="2898"/>
      <c r="E18" s="2922"/>
      <c r="F18" s="2923" t="s">
        <v>780</v>
      </c>
      <c r="G18" s="2924" t="str">
        <f>G7</f>
        <v>该园区内是否有污染型企业，绿化情况，卫生条件，整体环境状况判断</v>
      </c>
    </row>
    <row r="19" ht="24" spans="1:7">
      <c r="A19" s="2919"/>
      <c r="B19" s="2923" t="s">
        <v>786</v>
      </c>
      <c r="C19" s="2925"/>
      <c r="D19" s="2891"/>
      <c r="E19" s="2922"/>
      <c r="F19" s="2060" t="s">
        <v>594</v>
      </c>
      <c r="G19" s="2924" t="str">
        <f>G5</f>
        <v>估价对象所在区域公共配套设施齐备情况</v>
      </c>
    </row>
    <row r="20" ht="24" spans="1:7">
      <c r="A20" s="2919"/>
      <c r="B20" s="2923" t="s">
        <v>787</v>
      </c>
      <c r="C20" s="2921" t="str">
        <f>C9</f>
        <v>区域自然环境：；人文环境；综合评价环境状况一般</v>
      </c>
      <c r="D20" s="2898"/>
      <c r="E20" s="2922"/>
      <c r="F20" s="2060" t="s">
        <v>778</v>
      </c>
      <c r="G20" s="2924" t="str">
        <f>G6</f>
        <v>估价对象所在区域基础设施水平</v>
      </c>
    </row>
    <row r="21" ht="24" spans="1:7">
      <c r="A21" s="2919"/>
      <c r="B21" s="2060" t="s">
        <v>594</v>
      </c>
      <c r="C21" s="2924" t="str">
        <f>C7</f>
        <v>估价对象所在区域公共配套设施齐备情况</v>
      </c>
      <c r="D21" s="2891"/>
      <c r="E21" s="2922"/>
      <c r="F21" s="2923" t="s">
        <v>788</v>
      </c>
      <c r="G21" s="2926"/>
    </row>
    <row r="22" ht="13.5" customHeight="1" spans="1:7">
      <c r="A22" s="2919"/>
      <c r="B22" s="2060" t="s">
        <v>778</v>
      </c>
      <c r="C22" s="2924" t="str">
        <f>C8</f>
        <v>估价对象所在区域基础设施水平</v>
      </c>
      <c r="D22" s="2891"/>
      <c r="E22" s="2922"/>
      <c r="F22" s="2923" t="s">
        <v>784</v>
      </c>
      <c r="G22" s="2925"/>
    </row>
    <row r="23" s="2395" customFormat="1" ht="15" spans="1:18">
      <c r="A23" s="2919"/>
      <c r="B23" s="2923" t="s">
        <v>788</v>
      </c>
      <c r="C23" s="2926"/>
      <c r="D23" s="2850"/>
      <c r="E23" s="2927"/>
      <c r="F23" s="2928" t="s">
        <v>545</v>
      </c>
      <c r="G23" s="2929"/>
      <c r="H23" s="2877"/>
      <c r="I23" s="2878"/>
      <c r="J23" s="2877"/>
      <c r="K23" s="2877"/>
      <c r="L23" s="2878"/>
      <c r="M23" s="2877"/>
      <c r="N23" s="2877"/>
      <c r="O23" s="2878"/>
      <c r="P23" s="2877"/>
      <c r="Q23" s="2877"/>
      <c r="R23" s="2879"/>
    </row>
    <row r="24" s="2395" customFormat="1" ht="15" spans="1:18">
      <c r="A24" s="2930"/>
      <c r="B24" s="2928" t="s">
        <v>784</v>
      </c>
      <c r="C24" s="2931">
        <f>C10</f>
        <v>0</v>
      </c>
      <c r="D24" s="2850"/>
      <c r="E24" s="2932"/>
      <c r="F24" s="2932"/>
      <c r="G24" s="2933"/>
      <c r="H24" s="2877"/>
      <c r="I24" s="2878"/>
      <c r="J24" s="2877"/>
      <c r="K24" s="2877"/>
      <c r="L24" s="2878"/>
      <c r="M24" s="2877"/>
      <c r="N24" s="2877"/>
      <c r="O24" s="2878"/>
      <c r="P24" s="2877"/>
      <c r="Q24" s="2877"/>
      <c r="R24" s="2879"/>
    </row>
    <row r="25" s="2395" customFormat="1" spans="2:18">
      <c r="B25" s="2877"/>
      <c r="C25" s="2877"/>
      <c r="D25" s="2877"/>
      <c r="H25" s="2877"/>
      <c r="I25" s="2878"/>
      <c r="J25" s="2877"/>
      <c r="K25" s="2877"/>
      <c r="L25" s="2878"/>
      <c r="M25" s="2877"/>
      <c r="N25" s="2877"/>
      <c r="O25" s="2878"/>
      <c r="P25" s="2877"/>
      <c r="Q25" s="2877"/>
      <c r="R25" s="2879"/>
    </row>
    <row r="26" s="2395" customFormat="1" spans="2:18">
      <c r="B26" s="2877"/>
      <c r="C26" s="2877"/>
      <c r="D26" s="2877"/>
      <c r="H26" s="2877"/>
      <c r="I26" s="2878"/>
      <c r="J26" s="2877"/>
      <c r="K26" s="2877"/>
      <c r="L26" s="2878"/>
      <c r="M26" s="2877"/>
      <c r="N26" s="2877"/>
      <c r="O26" s="2878"/>
      <c r="P26" s="2877"/>
      <c r="Q26" s="2877"/>
      <c r="R26" s="2879"/>
    </row>
    <row r="27" s="2395" customFormat="1" spans="2:18">
      <c r="B27" s="2877"/>
      <c r="C27" s="2877"/>
      <c r="D27" s="2877"/>
      <c r="H27" s="2877"/>
      <c r="I27" s="2878"/>
      <c r="J27" s="2877"/>
      <c r="K27" s="2877"/>
      <c r="L27" s="2878"/>
      <c r="M27" s="2877"/>
      <c r="N27" s="2877"/>
      <c r="O27" s="2878"/>
      <c r="P27" s="2877"/>
      <c r="Q27" s="2877"/>
      <c r="R27" s="2879"/>
    </row>
    <row r="28" s="2395" customFormat="1" spans="2:18">
      <c r="B28" s="2877"/>
      <c r="C28" s="2877"/>
      <c r="D28" s="2877"/>
      <c r="H28" s="2877"/>
      <c r="I28" s="2878"/>
      <c r="J28" s="2877"/>
      <c r="K28" s="2877"/>
      <c r="L28" s="2878"/>
      <c r="M28" s="2877"/>
      <c r="N28" s="2877"/>
      <c r="O28" s="2878"/>
      <c r="P28" s="2877"/>
      <c r="Q28" s="2877"/>
      <c r="R28" s="2879"/>
    </row>
    <row r="29" s="2395" customFormat="1" spans="2:18">
      <c r="B29" s="2877"/>
      <c r="C29" s="2877"/>
      <c r="D29" s="2877"/>
      <c r="H29" s="2877"/>
      <c r="I29" s="2878"/>
      <c r="J29" s="2877"/>
      <c r="K29" s="2877"/>
      <c r="L29" s="2878"/>
      <c r="M29" s="2877"/>
      <c r="N29" s="2877"/>
      <c r="O29" s="2878"/>
      <c r="P29" s="2877"/>
      <c r="Q29" s="2877"/>
      <c r="R29" s="2879"/>
    </row>
    <row r="30" s="2395" customFormat="1" spans="2:18">
      <c r="B30" s="2877"/>
      <c r="C30" s="2877"/>
      <c r="D30" s="2877"/>
      <c r="H30" s="2877"/>
      <c r="I30" s="2878"/>
      <c r="J30" s="2877"/>
      <c r="K30" s="2877"/>
      <c r="L30" s="2878"/>
      <c r="M30" s="2877"/>
      <c r="N30" s="2877"/>
      <c r="O30" s="2878"/>
      <c r="P30" s="2877"/>
      <c r="Q30" s="2877"/>
      <c r="R30" s="2879"/>
    </row>
    <row r="31" s="2395" customFormat="1" spans="2:18">
      <c r="B31" s="2877"/>
      <c r="C31" s="2877"/>
      <c r="D31" s="2877"/>
      <c r="H31" s="2877"/>
      <c r="I31" s="2878"/>
      <c r="J31" s="2877"/>
      <c r="K31" s="2877"/>
      <c r="L31" s="2878"/>
      <c r="M31" s="2877"/>
      <c r="N31" s="2877"/>
      <c r="O31" s="2878"/>
      <c r="P31" s="2877"/>
      <c r="Q31" s="2877"/>
      <c r="R31" s="2879"/>
    </row>
    <row r="32" s="2395" customFormat="1" spans="2: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2:18">
      <c r="B177" s="2877"/>
      <c r="C177" s="2877"/>
      <c r="D177" s="2877"/>
      <c r="E177" s="2877"/>
      <c r="F177" s="2877"/>
      <c r="G177" s="2878"/>
      <c r="H177" s="2877"/>
      <c r="I177" s="2878"/>
      <c r="J177" s="2877"/>
      <c r="K177" s="2877"/>
      <c r="L177" s="2878"/>
      <c r="M177" s="2877"/>
      <c r="N177" s="2877"/>
      <c r="O177" s="2878"/>
      <c r="P177" s="2877"/>
      <c r="Q177" s="2877"/>
      <c r="R177" s="2879"/>
    </row>
    <row r="178" s="2395" customFormat="1" spans="2:18">
      <c r="B178" s="2877"/>
      <c r="C178" s="2877"/>
      <c r="D178" s="2877"/>
      <c r="E178" s="2877"/>
      <c r="F178" s="2877"/>
      <c r="G178" s="2878"/>
      <c r="H178" s="2877"/>
      <c r="I178" s="2878"/>
      <c r="J178" s="2877"/>
      <c r="K178" s="2877"/>
      <c r="L178" s="2878"/>
      <c r="M178" s="2877"/>
      <c r="N178" s="2877"/>
      <c r="O178" s="2878"/>
      <c r="P178" s="2877"/>
      <c r="Q178" s="2877"/>
      <c r="R178" s="2879"/>
    </row>
    <row r="179" s="2395" customFormat="1" spans="2:18">
      <c r="B179" s="2877"/>
      <c r="C179" s="2877"/>
      <c r="D179" s="2877"/>
      <c r="E179" s="2877"/>
      <c r="F179" s="2877"/>
      <c r="G179" s="2878"/>
      <c r="H179" s="2877"/>
      <c r="I179" s="2878"/>
      <c r="J179" s="2877"/>
      <c r="K179" s="2877"/>
      <c r="L179" s="2878"/>
      <c r="M179" s="2877"/>
      <c r="N179" s="2877"/>
      <c r="O179" s="2878"/>
      <c r="P179" s="2877"/>
      <c r="Q179" s="2877"/>
      <c r="R179" s="2879"/>
    </row>
    <row r="180" s="2395" customFormat="1" spans="2:18">
      <c r="B180" s="2877"/>
      <c r="C180" s="2877"/>
      <c r="D180" s="2877"/>
      <c r="E180" s="2877"/>
      <c r="F180" s="2877"/>
      <c r="G180" s="2878"/>
      <c r="H180" s="2877"/>
      <c r="I180" s="2878"/>
      <c r="J180" s="2877"/>
      <c r="K180" s="2877"/>
      <c r="L180" s="2878"/>
      <c r="M180" s="2877"/>
      <c r="N180" s="2877"/>
      <c r="O180" s="2878"/>
      <c r="P180" s="2877"/>
      <c r="Q180" s="2877"/>
      <c r="R180" s="2879"/>
    </row>
    <row r="181" s="2395" customFormat="1" spans="2:18">
      <c r="B181" s="2877"/>
      <c r="C181" s="2877"/>
      <c r="D181" s="2877"/>
      <c r="E181" s="2877"/>
      <c r="F181" s="2877"/>
      <c r="G181" s="2878"/>
      <c r="H181" s="2877"/>
      <c r="I181" s="2878"/>
      <c r="J181" s="2877"/>
      <c r="K181" s="2877"/>
      <c r="L181" s="2878"/>
      <c r="M181" s="2877"/>
      <c r="N181" s="2877"/>
      <c r="O181" s="2878"/>
      <c r="P181" s="2877"/>
      <c r="Q181" s="2877"/>
      <c r="R181" s="2879"/>
    </row>
    <row r="182" s="2395" customFormat="1" spans="2:18">
      <c r="B182" s="2877"/>
      <c r="C182" s="2877"/>
      <c r="D182" s="2877"/>
      <c r="E182" s="2877"/>
      <c r="F182" s="2877"/>
      <c r="G182" s="2878"/>
      <c r="H182" s="2877"/>
      <c r="I182" s="2878"/>
      <c r="J182" s="2877"/>
      <c r="K182" s="2877"/>
      <c r="L182" s="2878"/>
      <c r="M182" s="2877"/>
      <c r="N182" s="2877"/>
      <c r="O182" s="2878"/>
      <c r="P182" s="2877"/>
      <c r="Q182" s="2877"/>
      <c r="R182" s="2879"/>
    </row>
    <row r="183" s="2395" customFormat="1" spans="2:18">
      <c r="B183" s="2877"/>
      <c r="C183" s="2877"/>
      <c r="D183" s="2877"/>
      <c r="E183" s="2877"/>
      <c r="F183" s="2877"/>
      <c r="G183" s="2878"/>
      <c r="H183" s="2877"/>
      <c r="I183" s="2878"/>
      <c r="J183" s="2877"/>
      <c r="K183" s="2877"/>
      <c r="L183" s="2878"/>
      <c r="M183" s="2877"/>
      <c r="N183" s="2877"/>
      <c r="O183" s="2878"/>
      <c r="P183" s="2877"/>
      <c r="Q183" s="2877"/>
      <c r="R183" s="2879"/>
    </row>
    <row r="184" s="2395" customFormat="1" spans="2:18">
      <c r="B184" s="2877"/>
      <c r="C184" s="2877"/>
      <c r="D184" s="2877"/>
      <c r="E184" s="2877"/>
      <c r="F184" s="2877"/>
      <c r="G184" s="2878"/>
      <c r="H184" s="2877"/>
      <c r="I184" s="2878"/>
      <c r="J184" s="2877"/>
      <c r="K184" s="2877"/>
      <c r="L184" s="2878"/>
      <c r="M184" s="2877"/>
      <c r="N184" s="2877"/>
      <c r="O184" s="2878"/>
      <c r="P184" s="2877"/>
      <c r="Q184" s="2877"/>
      <c r="R184" s="2879"/>
    </row>
    <row r="185" s="2395"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5"/>
      <c r="B186" s="2877"/>
      <c r="C186" s="2877"/>
      <c r="E186" s="2877"/>
      <c r="F186" s="2877"/>
      <c r="G186" s="2878"/>
    </row>
    <row r="187" spans="1:7">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5" customWidth="1"/>
    <col min="2" max="9" width="15.75" style="2855" customWidth="1"/>
    <col min="10" max="16384" width="9" style="2855"/>
  </cols>
  <sheetData>
    <row r="1" ht="16.5" spans="1:11">
      <c r="A1" s="2856" t="s">
        <v>789</v>
      </c>
      <c r="B1" s="2856">
        <f>SUM(B14:B23)</f>
        <v>373.87</v>
      </c>
      <c r="C1" s="2857"/>
      <c r="D1" s="2857"/>
      <c r="E1" s="2857"/>
      <c r="F1" s="2857"/>
      <c r="G1" s="2858"/>
      <c r="H1" s="2859"/>
      <c r="I1" s="2859"/>
      <c r="J1" s="2859"/>
      <c r="K1" s="2859"/>
    </row>
    <row r="2" ht="16.5" spans="1:11">
      <c r="A2" s="2856" t="s">
        <v>790</v>
      </c>
      <c r="B2" s="2856">
        <f>SUM(C14:C23)</f>
        <v>0</v>
      </c>
      <c r="C2" s="2857"/>
      <c r="D2" s="2857"/>
      <c r="E2" s="2857"/>
      <c r="F2" s="2857"/>
      <c r="G2" s="2858"/>
      <c r="H2" s="2859"/>
      <c r="I2" s="2859"/>
      <c r="J2" s="2859"/>
      <c r="K2" s="2859"/>
    </row>
    <row r="3" ht="16.5" spans="1:11">
      <c r="A3" s="2856" t="s">
        <v>791</v>
      </c>
      <c r="B3" s="2860">
        <f>项目基本情况!D3</f>
        <v>45960</v>
      </c>
      <c r="C3" s="2857"/>
      <c r="D3" s="2857"/>
      <c r="E3" s="2857"/>
      <c r="F3" s="2857"/>
      <c r="G3" s="2858"/>
      <c r="H3" s="2859"/>
      <c r="I3" s="2859"/>
      <c r="J3" s="2859"/>
      <c r="K3" s="2859"/>
    </row>
    <row r="4" ht="33" spans="1:11">
      <c r="A4" s="2856" t="s">
        <v>792</v>
      </c>
      <c r="B4" s="2856" t="s">
        <v>793</v>
      </c>
      <c r="C4" s="2856" t="s">
        <v>794</v>
      </c>
      <c r="D4" s="2856" t="s">
        <v>795</v>
      </c>
      <c r="E4" s="2857"/>
      <c r="F4" s="2858"/>
      <c r="G4" s="2858"/>
      <c r="H4" s="2859"/>
      <c r="I4" s="2859"/>
      <c r="J4" s="2859"/>
      <c r="K4" s="2859"/>
    </row>
    <row r="5" ht="16.5" spans="1:11">
      <c r="A5" s="2856" t="s">
        <v>796</v>
      </c>
      <c r="B5" s="2856">
        <f ca="1">SUM(D14:D23)</f>
        <v>1252</v>
      </c>
      <c r="C5" s="2856">
        <f ca="1">IF(B5=D14,结果表!H102,ROUND(B5*10000/$B$1,0))</f>
        <v>33496</v>
      </c>
      <c r="D5" s="2856" t="e">
        <f ca="1">ROUND(B5*10000/$B$2,0)</f>
        <v>#DIV/0!</v>
      </c>
      <c r="E5" s="2857"/>
      <c r="F5" s="2858"/>
      <c r="G5" s="2858"/>
      <c r="H5" s="2859"/>
      <c r="I5" s="2859"/>
      <c r="J5" s="2859"/>
      <c r="K5" s="2859"/>
    </row>
    <row r="6" ht="16.5" spans="1:11">
      <c r="A6" s="2856" t="s">
        <v>797</v>
      </c>
      <c r="B6" s="2856">
        <f ca="1">SUM(G14:G23)</f>
        <v>1252</v>
      </c>
      <c r="C6" s="2856">
        <f ca="1">IF(B6=G14,结果表!H108,ROUND(B6*10000/$B$1,0))</f>
        <v>33496</v>
      </c>
      <c r="D6" s="2856" t="e">
        <f ca="1">ROUND(B6*10000/$B$2,0)</f>
        <v>#DIV/0!</v>
      </c>
      <c r="E6" s="2857"/>
      <c r="F6" s="2858"/>
      <c r="G6" s="2858"/>
      <c r="H6" s="2859"/>
      <c r="I6" s="2859"/>
      <c r="J6" s="2859"/>
      <c r="K6" s="2859"/>
    </row>
    <row r="7" ht="16.5" spans="1:11">
      <c r="A7" s="2856" t="s">
        <v>798</v>
      </c>
      <c r="B7" s="2856">
        <f>SUM(H14:H23)</f>
        <v>0</v>
      </c>
      <c r="C7" s="2856" t="str">
        <f ca="1">IF(B7=H14,结果表!H110,ROUND(B7*10000/$B$1,0))</f>
        <v>——</v>
      </c>
      <c r="D7" s="2856" t="e">
        <f>ROUND(B7*10000/$B$2,0)</f>
        <v>#DIV/0!</v>
      </c>
      <c r="E7" s="2857"/>
      <c r="F7" s="2858"/>
      <c r="G7" s="2858"/>
      <c r="H7" s="2859"/>
      <c r="I7" s="2859"/>
      <c r="J7" s="2859"/>
      <c r="K7" s="2859"/>
    </row>
    <row r="8" ht="16.5" spans="1:11">
      <c r="A8" s="2856" t="s">
        <v>374</v>
      </c>
      <c r="B8" s="2856">
        <f>SUM(I14:I23)</f>
        <v>0</v>
      </c>
      <c r="C8" s="2856" t="str">
        <f ca="1">IF(B8=I14,结果表!H112,ROUND(B8*10000/$B$1,0))</f>
        <v>——</v>
      </c>
      <c r="D8" s="2856" t="e">
        <f>ROUND(B8*10000/$B$2,0)</f>
        <v>#DIV/0!</v>
      </c>
      <c r="E8" s="2857"/>
      <c r="F8" s="2858"/>
      <c r="G8" s="2858"/>
      <c r="H8" s="2859"/>
      <c r="I8" s="2859"/>
      <c r="J8" s="2859"/>
      <c r="K8" s="2859"/>
    </row>
    <row r="9" ht="16.5" spans="1:11">
      <c r="A9" s="2856" t="s">
        <v>799</v>
      </c>
      <c r="B9" s="2861"/>
      <c r="C9" s="2857"/>
      <c r="D9" s="2857"/>
      <c r="E9" s="2857"/>
      <c r="F9" s="2858"/>
      <c r="G9" s="2858"/>
      <c r="H9" s="2859"/>
      <c r="I9" s="2859"/>
      <c r="J9" s="2859"/>
      <c r="K9" s="2859"/>
    </row>
    <row r="10" ht="16.5" spans="1:11">
      <c r="A10" s="2856" t="s">
        <v>800</v>
      </c>
      <c r="B10" s="2856">
        <f>IF(E10="",0,ROUND(B1*(E10*365/G10)/10000,0))</f>
        <v>0</v>
      </c>
      <c r="C10" s="2856" t="s">
        <v>801</v>
      </c>
      <c r="D10" s="2856" t="s">
        <v>800</v>
      </c>
      <c r="E10" s="2862"/>
      <c r="F10" s="2863" t="s">
        <v>802</v>
      </c>
      <c r="G10" s="2864"/>
      <c r="H10" s="2859"/>
      <c r="I10" s="2859"/>
      <c r="J10" s="2859"/>
      <c r="K10" s="2859"/>
    </row>
    <row r="11" ht="16.5" spans="1:11">
      <c r="A11" s="2856" t="s">
        <v>803</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804</v>
      </c>
      <c r="B13" s="2866" t="s">
        <v>789</v>
      </c>
      <c r="C13" s="2866" t="s">
        <v>790</v>
      </c>
      <c r="D13" s="2866" t="s">
        <v>805</v>
      </c>
      <c r="E13" s="2856" t="s">
        <v>794</v>
      </c>
      <c r="F13" s="2856" t="s">
        <v>795</v>
      </c>
      <c r="G13" s="2866" t="s">
        <v>806</v>
      </c>
      <c r="H13" s="2866" t="s">
        <v>807</v>
      </c>
      <c r="I13" s="2866" t="s">
        <v>808</v>
      </c>
      <c r="J13" s="2858"/>
      <c r="K13" s="2859"/>
    </row>
    <row r="14" ht="16.5" spans="1:11">
      <c r="A14" s="2867" t="s">
        <v>809</v>
      </c>
      <c r="B14" s="2868">
        <f>'数据-汇总表'!E31</f>
        <v>373.87</v>
      </c>
      <c r="C14" s="2868"/>
      <c r="D14" s="2868">
        <f ca="1">ROUND(B14*E14/10000,0)</f>
        <v>1252</v>
      </c>
      <c r="E14" s="2868">
        <f ca="1">结果表!G20</f>
        <v>33496</v>
      </c>
      <c r="F14" s="2868" t="e">
        <f ca="1">ROUND(D14*10000/C14,0)</f>
        <v>#DIV/0!</v>
      </c>
      <c r="G14" s="2868">
        <f ca="1">D14</f>
        <v>1252</v>
      </c>
      <c r="H14" s="2868"/>
      <c r="I14" s="2868"/>
      <c r="J14" s="2858"/>
      <c r="K14" s="2859"/>
    </row>
    <row r="15" ht="16.5" spans="1:11">
      <c r="A15" s="2867" t="s">
        <v>810</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811</v>
      </c>
      <c r="B16" s="2869"/>
      <c r="C16" s="2869"/>
      <c r="D16" s="2869"/>
      <c r="E16" s="2868" t="e">
        <f t="shared" si="0"/>
        <v>#DIV/0!</v>
      </c>
      <c r="F16" s="2868" t="e">
        <f t="shared" si="1"/>
        <v>#DIV/0!</v>
      </c>
      <c r="G16" s="2870"/>
      <c r="H16" s="2870"/>
      <c r="I16" s="2869"/>
      <c r="J16" s="2859"/>
      <c r="K16" s="2859"/>
    </row>
    <row r="17" ht="16.5" spans="1:11">
      <c r="A17" s="2867" t="s">
        <v>812</v>
      </c>
      <c r="B17" s="2869"/>
      <c r="C17" s="2869"/>
      <c r="D17" s="2869"/>
      <c r="E17" s="2868" t="e">
        <f t="shared" si="0"/>
        <v>#DIV/0!</v>
      </c>
      <c r="F17" s="2868" t="e">
        <f t="shared" si="1"/>
        <v>#DIV/0!</v>
      </c>
      <c r="G17" s="2870"/>
      <c r="H17" s="2870"/>
      <c r="I17" s="2869"/>
      <c r="J17" s="2859"/>
      <c r="K17" s="2859"/>
    </row>
    <row r="18" ht="16.5" spans="1:11">
      <c r="A18" s="2867" t="s">
        <v>813</v>
      </c>
      <c r="B18" s="2869"/>
      <c r="C18" s="2869"/>
      <c r="D18" s="2869"/>
      <c r="E18" s="2868" t="e">
        <f t="shared" si="0"/>
        <v>#DIV/0!</v>
      </c>
      <c r="F18" s="2868" t="e">
        <f t="shared" si="1"/>
        <v>#DIV/0!</v>
      </c>
      <c r="G18" s="2869"/>
      <c r="H18" s="2869"/>
      <c r="I18" s="2869"/>
      <c r="J18" s="2859"/>
      <c r="K18" s="2859"/>
    </row>
    <row r="19" ht="16.5" spans="1:11">
      <c r="A19" s="2867" t="s">
        <v>814</v>
      </c>
      <c r="B19" s="2869"/>
      <c r="C19" s="2869"/>
      <c r="D19" s="2869"/>
      <c r="E19" s="2868" t="e">
        <f t="shared" si="0"/>
        <v>#DIV/0!</v>
      </c>
      <c r="F19" s="2868" t="e">
        <f t="shared" si="1"/>
        <v>#DIV/0!</v>
      </c>
      <c r="G19" s="2869"/>
      <c r="H19" s="2869"/>
      <c r="I19" s="2869"/>
      <c r="J19" s="2859"/>
      <c r="K19" s="2859"/>
    </row>
    <row r="20" ht="16.5" spans="1:11">
      <c r="A20" s="2867" t="s">
        <v>815</v>
      </c>
      <c r="B20" s="2869"/>
      <c r="C20" s="2869"/>
      <c r="D20" s="2869"/>
      <c r="E20" s="2868" t="e">
        <f t="shared" si="0"/>
        <v>#DIV/0!</v>
      </c>
      <c r="F20" s="2868" t="e">
        <f t="shared" si="1"/>
        <v>#DIV/0!</v>
      </c>
      <c r="G20" s="2869"/>
      <c r="H20" s="2869"/>
      <c r="I20" s="2869"/>
      <c r="J20" s="2859"/>
      <c r="K20" s="2859"/>
    </row>
    <row r="21" ht="16.5" spans="1:11">
      <c r="A21" s="2867" t="s">
        <v>816</v>
      </c>
      <c r="B21" s="2869"/>
      <c r="C21" s="2869"/>
      <c r="D21" s="2869"/>
      <c r="E21" s="2868" t="e">
        <f t="shared" si="0"/>
        <v>#DIV/0!</v>
      </c>
      <c r="F21" s="2868" t="e">
        <f t="shared" si="1"/>
        <v>#DIV/0!</v>
      </c>
      <c r="G21" s="2869"/>
      <c r="H21" s="2869"/>
      <c r="I21" s="2869"/>
      <c r="J21" s="2859"/>
      <c r="K21" s="2859"/>
    </row>
    <row r="22" ht="16.5" spans="1:11">
      <c r="A22" s="2867" t="s">
        <v>817</v>
      </c>
      <c r="B22" s="2869"/>
      <c r="C22" s="2869"/>
      <c r="D22" s="2869"/>
      <c r="E22" s="2868" t="e">
        <f t="shared" si="0"/>
        <v>#DIV/0!</v>
      </c>
      <c r="F22" s="2868" t="e">
        <f t="shared" si="1"/>
        <v>#DIV/0!</v>
      </c>
      <c r="G22" s="2869"/>
      <c r="H22" s="2869"/>
      <c r="I22" s="2869"/>
      <c r="J22" s="2859"/>
      <c r="K22" s="2859"/>
    </row>
    <row r="23" ht="16.5" spans="1:11">
      <c r="A23" s="2867" t="s">
        <v>818</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506"/>
    <col min="3" max="4" width="12.625" style="2506" customWidth="1"/>
    <col min="5" max="9" width="12.625" style="2506"/>
    <col min="10" max="11" width="12.625" style="1010" customWidth="1"/>
    <col min="12" max="12" width="12.625" style="1010"/>
    <col min="13" max="13" width="14.125" style="1010" customWidth="1"/>
    <col min="14" max="26" width="12.625" style="1010"/>
    <col min="27" max="35" width="12.625" style="2505"/>
    <col min="36" max="16384" width="12.625" style="2506"/>
  </cols>
  <sheetData>
    <row r="1" customHeight="1" spans="1:9">
      <c r="A1" s="2507" t="s">
        <v>819</v>
      </c>
      <c r="B1" s="2508"/>
      <c r="C1" s="2509"/>
      <c r="D1" s="2508"/>
      <c r="E1" s="2508"/>
      <c r="F1" s="2510" t="s">
        <v>820</v>
      </c>
      <c r="G1" s="2511"/>
      <c r="H1" s="2512" t="str">
        <f>IF(G1="现房","——","估价对象范围")</f>
        <v>估价对象范围</v>
      </c>
      <c r="I1" s="2671"/>
    </row>
    <row r="2" customHeight="1" spans="1:9">
      <c r="A2" s="2513" t="str">
        <f>项目基本情况!S2</f>
        <v>北京市房地产</v>
      </c>
      <c r="B2" s="2514"/>
      <c r="C2" s="2514"/>
      <c r="D2" s="2514"/>
      <c r="E2" s="2514"/>
      <c r="F2" s="2514"/>
      <c r="G2" s="2514"/>
      <c r="H2" s="2514"/>
      <c r="I2" s="2672"/>
    </row>
    <row r="3" ht="13.5" spans="1:9">
      <c r="A3" s="2515" t="s">
        <v>821</v>
      </c>
      <c r="B3" s="2070"/>
      <c r="C3" s="2070"/>
      <c r="D3" s="2070"/>
      <c r="E3" s="2070"/>
      <c r="F3" s="2070"/>
      <c r="G3" s="2070"/>
      <c r="H3" s="2070"/>
      <c r="I3" s="2070"/>
    </row>
    <row r="4" ht="14.25" spans="1:12">
      <c r="A4" s="2516" t="s">
        <v>822</v>
      </c>
      <c r="B4" s="2517" t="s">
        <v>823</v>
      </c>
      <c r="C4" s="2518" t="s">
        <v>824</v>
      </c>
      <c r="D4" s="2518" t="s">
        <v>285</v>
      </c>
      <c r="E4" s="2519" t="s">
        <v>825</v>
      </c>
      <c r="F4" s="2520"/>
      <c r="G4" s="2520"/>
      <c r="H4" s="2520"/>
      <c r="I4" s="267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1" t="s">
        <v>826</v>
      </c>
      <c r="B5" s="1378">
        <v>25</v>
      </c>
      <c r="C5" s="2522"/>
      <c r="D5" s="2523"/>
      <c r="E5" s="2059" t="s">
        <v>827</v>
      </c>
      <c r="F5" s="2524"/>
      <c r="G5" s="2524"/>
      <c r="H5" s="2524"/>
      <c r="I5" s="2389"/>
    </row>
    <row r="6" ht="13.5" spans="1:9">
      <c r="A6" s="2521"/>
      <c r="B6" s="1378"/>
      <c r="C6" s="2525"/>
      <c r="D6" s="2523"/>
      <c r="E6" s="2059" t="s">
        <v>828</v>
      </c>
      <c r="F6" s="2524"/>
      <c r="G6" s="2524"/>
      <c r="H6" s="2524"/>
      <c r="I6" s="2389"/>
    </row>
    <row r="7" ht="13.5" spans="1:9">
      <c r="A7" s="2521"/>
      <c r="B7" s="1378"/>
      <c r="C7" s="2526"/>
      <c r="D7" s="2523"/>
      <c r="E7" s="2059" t="s">
        <v>829</v>
      </c>
      <c r="F7" s="2524"/>
      <c r="G7" s="2524"/>
      <c r="H7" s="2524"/>
      <c r="I7" s="2389"/>
    </row>
    <row r="8" ht="13.5" spans="1:9">
      <c r="A8" s="2521" t="s">
        <v>830</v>
      </c>
      <c r="B8" s="1378">
        <v>15</v>
      </c>
      <c r="C8" s="2522"/>
      <c r="D8" s="2523"/>
      <c r="E8" s="2059" t="s">
        <v>831</v>
      </c>
      <c r="F8" s="2524"/>
      <c r="G8" s="2524"/>
      <c r="H8" s="2524"/>
      <c r="I8" s="2389"/>
    </row>
    <row r="9" ht="13.5" spans="1:9">
      <c r="A9" s="2521"/>
      <c r="B9" s="1378"/>
      <c r="C9" s="2526"/>
      <c r="D9" s="2523"/>
      <c r="E9" s="2059" t="s">
        <v>832</v>
      </c>
      <c r="F9" s="2524"/>
      <c r="G9" s="2524"/>
      <c r="H9" s="2524"/>
      <c r="I9" s="2389"/>
    </row>
    <row r="10" ht="13.5" spans="1:9">
      <c r="A10" s="2521" t="s">
        <v>833</v>
      </c>
      <c r="B10" s="1378">
        <v>15</v>
      </c>
      <c r="C10" s="2522"/>
      <c r="D10" s="2523"/>
      <c r="E10" s="2059" t="s">
        <v>834</v>
      </c>
      <c r="F10" s="2524"/>
      <c r="G10" s="2524"/>
      <c r="H10" s="2524"/>
      <c r="I10" s="2389"/>
    </row>
    <row r="11" ht="13.5" spans="1:9">
      <c r="A11" s="2521"/>
      <c r="B11" s="1378"/>
      <c r="C11" s="2526"/>
      <c r="D11" s="2523"/>
      <c r="E11" s="2059" t="s">
        <v>835</v>
      </c>
      <c r="F11" s="2524"/>
      <c r="G11" s="2524"/>
      <c r="H11" s="2524"/>
      <c r="I11" s="2389"/>
    </row>
    <row r="12" ht="13.5" spans="1:9">
      <c r="A12" s="2521" t="s">
        <v>836</v>
      </c>
      <c r="B12" s="1378">
        <v>15</v>
      </c>
      <c r="C12" s="2522"/>
      <c r="D12" s="2523"/>
      <c r="E12" s="2059" t="s">
        <v>837</v>
      </c>
      <c r="F12" s="2524"/>
      <c r="G12" s="2524"/>
      <c r="H12" s="2524"/>
      <c r="I12" s="2389"/>
    </row>
    <row r="13" ht="13.5" spans="1:9">
      <c r="A13" s="2521"/>
      <c r="B13" s="1378"/>
      <c r="C13" s="2526"/>
      <c r="D13" s="2523"/>
      <c r="E13" s="2059" t="s">
        <v>838</v>
      </c>
      <c r="F13" s="2524"/>
      <c r="G13" s="2524"/>
      <c r="H13" s="2524"/>
      <c r="I13" s="2389"/>
    </row>
    <row r="14" ht="13.5" spans="1:9">
      <c r="A14" s="2521" t="s">
        <v>839</v>
      </c>
      <c r="B14" s="1378">
        <v>30</v>
      </c>
      <c r="C14" s="2522">
        <v>7</v>
      </c>
      <c r="D14" s="2523">
        <v>3</v>
      </c>
      <c r="E14" s="2059" t="s">
        <v>840</v>
      </c>
      <c r="F14" s="2524"/>
      <c r="G14" s="2524"/>
      <c r="H14" s="2524"/>
      <c r="I14" s="2389"/>
    </row>
    <row r="15" ht="13.5" spans="1:9">
      <c r="A15" s="2521"/>
      <c r="B15" s="1378"/>
      <c r="C15" s="2525"/>
      <c r="D15" s="2523"/>
      <c r="E15" s="2059" t="s">
        <v>841</v>
      </c>
      <c r="F15" s="2524"/>
      <c r="G15" s="2524"/>
      <c r="H15" s="2524"/>
      <c r="I15" s="2389"/>
    </row>
    <row r="16" ht="13.5" spans="1:9">
      <c r="A16" s="2521"/>
      <c r="B16" s="1378"/>
      <c r="C16" s="2526"/>
      <c r="D16" s="2523"/>
      <c r="E16" s="2059" t="s">
        <v>842</v>
      </c>
      <c r="F16" s="2524"/>
      <c r="G16" s="2524"/>
      <c r="H16" s="2524"/>
      <c r="I16" s="2389"/>
    </row>
    <row r="17" ht="14.25" spans="1:13">
      <c r="A17" s="2527" t="s">
        <v>843</v>
      </c>
      <c r="B17" s="2528"/>
      <c r="C17" s="2529">
        <f>SUM(C5:C16)</f>
        <v>7</v>
      </c>
      <c r="D17" s="2529">
        <f>SUM(D5:D16)</f>
        <v>3</v>
      </c>
      <c r="E17" s="1054"/>
      <c r="F17" s="1054"/>
      <c r="G17" s="1054"/>
      <c r="H17" s="1054"/>
      <c r="I17" s="1054"/>
      <c r="K17" s="2017"/>
      <c r="L17" s="2017" t="s">
        <v>844</v>
      </c>
      <c r="M17" s="2017" t="s">
        <v>845</v>
      </c>
    </row>
    <row r="18" ht="31.9" customHeight="1" spans="1:13">
      <c r="A18" s="2530" t="s">
        <v>846</v>
      </c>
      <c r="B18" s="2531"/>
      <c r="C18" s="2532">
        <f>ROUND(C17/SUM(C17:D17),2)</f>
        <v>0.7</v>
      </c>
      <c r="D18" s="2532">
        <f>1-C18</f>
        <v>0.3</v>
      </c>
      <c r="E18" s="2533" t="s">
        <v>847</v>
      </c>
      <c r="F18" s="2534"/>
      <c r="G18" s="2534"/>
      <c r="H18" s="2534"/>
      <c r="I18" s="2534"/>
      <c r="K18" s="2017" t="s">
        <v>505</v>
      </c>
      <c r="L18" s="2017">
        <f>IF(C1="",'数据-汇总表'!E3,SUMIF(项目类型,C1,'数据-汇总表'!E17:E26)+SUMIF(项目类型,C1,'数据-汇总表'!I17:I26))</f>
        <v>373.87</v>
      </c>
      <c r="M18" s="2017">
        <f>IF(C1="",'数据-汇总表'!E3,SUMIF(项目类型,C1,'数据-汇总表'!E17:E26))</f>
        <v>373.87</v>
      </c>
    </row>
    <row r="19" ht="14.25" spans="1:13">
      <c r="A19" s="2535" t="s">
        <v>848</v>
      </c>
      <c r="B19" s="2536" t="s">
        <v>849</v>
      </c>
      <c r="C19" s="2537">
        <f ca="1">SUMIF(INDIRECT("'"&amp;C4&amp;"'"&amp;"!A:A"),结果表!B19,INDIRECT("'"&amp;C4&amp;"'"&amp;"!B:B"))</f>
        <v>1482.3946</v>
      </c>
      <c r="D19" s="1535">
        <f ca="1">SUMIF(INDIRECT("'"&amp;D4&amp;"'"&amp;"!A:A"),结果表!B19,INDIRECT("'"&amp;D4&amp;"'"&amp;"!B:B"))</f>
        <v>715.5299</v>
      </c>
      <c r="E19" s="2535" t="s">
        <v>850</v>
      </c>
      <c r="F19" s="2536" t="s">
        <v>849</v>
      </c>
      <c r="G19" s="2538">
        <f ca="1">ROUND(C19*$C$18+D19*$D$18,0)</f>
        <v>1252</v>
      </c>
      <c r="H19" s="2539" t="s">
        <v>851</v>
      </c>
      <c r="I19" s="1054"/>
      <c r="K19" s="2017" t="s">
        <v>509</v>
      </c>
      <c r="L19" s="2017">
        <f>IF(C1="",'数据-汇总表'!D3,SUMIF(项目类型,C1,'数据-汇总表'!D17:D26)+SUMIF(项目类型,C1,'数据-汇总表'!H17:H27))</f>
        <v>0</v>
      </c>
      <c r="M19" s="2017">
        <f>IF(C1="",'数据-汇总表'!D3,SUMIF(项目类型,C1,'数据-汇总表'!D17:D26))</f>
        <v>0</v>
      </c>
    </row>
    <row r="20" ht="15" spans="1:9">
      <c r="A20" s="2540"/>
      <c r="B20" s="2541" t="s">
        <v>852</v>
      </c>
      <c r="C20" s="2351">
        <f ca="1">SUMIF(INDIRECT("'"&amp;C4&amp;"'"&amp;"!A:A"),结果表!B20,INDIRECT("'"&amp;C4&amp;"'"&amp;"!B:B"))</f>
        <v>39650</v>
      </c>
      <c r="D20" s="2354">
        <f ca="1">SUMIF(INDIRECT("'"&amp;D4&amp;"'"&amp;"!A:A"),结果表!B20,INDIRECT("'"&amp;D4&amp;"'"&amp;"!B:B"))</f>
        <v>19138</v>
      </c>
      <c r="E20" s="2540"/>
      <c r="F20" s="2541" t="s">
        <v>852</v>
      </c>
      <c r="G20" s="2542">
        <f ca="1">ROUND(C20*$C$18+D20*$D$18,0)</f>
        <v>33496</v>
      </c>
      <c r="H20" s="2175" t="s">
        <v>853</v>
      </c>
      <c r="I20" s="1054"/>
    </row>
    <row r="21" ht="15" customHeight="1" spans="1:9">
      <c r="A21" s="2470"/>
      <c r="B21" s="2543" t="s">
        <v>854</v>
      </c>
      <c r="C21" s="2544" t="e">
        <f ca="1">ROUND(C19*10000/L19,0)</f>
        <v>#DIV/0!</v>
      </c>
      <c r="D21" s="2545" t="e">
        <f ca="1">ROUND(D19*10000/L19,0)</f>
        <v>#DIV/0!</v>
      </c>
      <c r="E21" s="2470"/>
      <c r="F21" s="2543" t="s">
        <v>854</v>
      </c>
      <c r="G21" s="2546" t="e">
        <f ca="1">ROUND(G19*10000/L19,0)</f>
        <v>#DIV/0!</v>
      </c>
      <c r="H21" s="2547" t="s">
        <v>853</v>
      </c>
      <c r="I21" s="1054"/>
    </row>
    <row r="22" ht="15" spans="1:9">
      <c r="A22" s="2548" t="s">
        <v>855</v>
      </c>
      <c r="B22" s="2549"/>
      <c r="C22" s="2550"/>
      <c r="D22" s="2551">
        <f ca="1">IF(C19&lt;D19,D19/C19-1,C19/D19-1)</f>
        <v>1.0717437524274</v>
      </c>
      <c r="E22" s="1054"/>
      <c r="F22" s="1054"/>
      <c r="G22" s="1054"/>
      <c r="H22" s="1054"/>
      <c r="I22" s="1054"/>
    </row>
    <row r="23" ht="14.25" spans="1:9">
      <c r="A23" s="2508"/>
      <c r="B23" s="2508"/>
      <c r="C23" s="2508"/>
      <c r="D23" s="2508"/>
      <c r="E23" s="1054"/>
      <c r="F23" s="1054"/>
      <c r="G23" s="1054"/>
      <c r="H23" s="1054"/>
      <c r="I23" s="1054"/>
    </row>
    <row r="24" ht="14.25" spans="1:9">
      <c r="A24" s="2552" t="s">
        <v>856</v>
      </c>
      <c r="B24" s="2536" t="s">
        <v>849</v>
      </c>
      <c r="C24" s="2538">
        <f>IF(B30=0,0,D30)</f>
        <v>0</v>
      </c>
      <c r="D24" s="2553"/>
      <c r="E24" s="1054"/>
      <c r="F24" s="1054"/>
      <c r="G24" s="1054"/>
      <c r="H24" s="1054"/>
      <c r="I24" s="1054"/>
    </row>
    <row r="25" ht="14.25" spans="1:9">
      <c r="A25" s="2554"/>
      <c r="B25" s="2541" t="s">
        <v>852</v>
      </c>
      <c r="C25" s="2555">
        <f>IF(B30=0,0,C30)</f>
        <v>0</v>
      </c>
      <c r="D25" s="2556"/>
      <c r="E25" s="1054"/>
      <c r="F25" s="1054"/>
      <c r="G25" s="1054"/>
      <c r="H25" s="1054"/>
      <c r="I25" s="1054"/>
    </row>
    <row r="26" ht="13.5" customHeight="1" spans="1:9">
      <c r="A26" s="2557" t="s">
        <v>857</v>
      </c>
      <c r="B26" s="2558" t="s">
        <v>858</v>
      </c>
      <c r="C26" s="2558" t="s">
        <v>859</v>
      </c>
      <c r="D26" s="2559" t="s">
        <v>860</v>
      </c>
      <c r="E26" s="1054"/>
      <c r="F26" s="1054"/>
      <c r="G26" s="1054"/>
      <c r="H26" s="1054"/>
      <c r="I26" s="1054"/>
    </row>
    <row r="27" ht="14.25" spans="1:9">
      <c r="A27" s="2557"/>
      <c r="B27" s="2558">
        <v>0</v>
      </c>
      <c r="C27" s="2558">
        <v>0</v>
      </c>
      <c r="D27" s="2559">
        <f>ROUND(C27*B27/10000,0)</f>
        <v>0</v>
      </c>
      <c r="E27" s="1054"/>
      <c r="F27" s="1054"/>
      <c r="G27" s="1054"/>
      <c r="H27" s="1054"/>
      <c r="I27" s="1054"/>
    </row>
    <row r="28" ht="14.25" spans="1:9">
      <c r="A28" s="2557"/>
      <c r="B28" s="2558"/>
      <c r="C28" s="2558"/>
      <c r="D28" s="2559"/>
      <c r="E28" s="1054"/>
      <c r="F28" s="1054"/>
      <c r="G28" s="1054"/>
      <c r="H28" s="1054"/>
      <c r="I28" s="1054"/>
    </row>
    <row r="29" ht="14.25" spans="1:9">
      <c r="A29" s="2557"/>
      <c r="B29" s="2558"/>
      <c r="C29" s="2558"/>
      <c r="D29" s="2559"/>
      <c r="E29" s="1054"/>
      <c r="F29" s="1054"/>
      <c r="G29" s="1054"/>
      <c r="H29" s="1054"/>
      <c r="I29" s="1054"/>
    </row>
    <row r="30" ht="15" spans="1:9">
      <c r="A30" s="2558" t="s">
        <v>861</v>
      </c>
      <c r="B30" s="2558"/>
      <c r="C30" s="2558"/>
      <c r="D30" s="2558"/>
      <c r="E30" s="2560" t="s">
        <v>862</v>
      </c>
      <c r="F30" s="1054"/>
      <c r="G30" s="1054"/>
      <c r="H30" s="1054"/>
      <c r="I30" s="1054"/>
    </row>
    <row r="31" s="2502" customFormat="1" ht="26.45" customHeight="1" spans="1:36">
      <c r="A31" s="2561"/>
      <c r="B31" s="2562"/>
      <c r="C31" s="2562"/>
      <c r="D31" s="2562"/>
      <c r="E31" s="2562"/>
      <c r="F31" s="2562"/>
      <c r="G31" s="2562"/>
      <c r="H31" s="2562"/>
      <c r="I31" s="2674" t="s">
        <v>863</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6.5" spans="1:9">
      <c r="A32" s="2563" t="s">
        <v>864</v>
      </c>
      <c r="B32" s="2564"/>
      <c r="C32" s="2565">
        <f ca="1">IF(D32="总价",G19-C24,G20-C25)</f>
        <v>33496</v>
      </c>
      <c r="D32" s="2566" t="s">
        <v>865</v>
      </c>
      <c r="E32" s="1054"/>
      <c r="F32" s="1054"/>
      <c r="G32" s="1054"/>
      <c r="H32" s="1054"/>
      <c r="I32" s="1054"/>
    </row>
    <row r="33" ht="15" spans="1:9">
      <c r="A33" s="2411" t="s">
        <v>866</v>
      </c>
      <c r="B33" s="2567"/>
      <c r="C33" s="2568"/>
      <c r="D33" s="2569"/>
      <c r="E33" s="2570" t="s">
        <v>867</v>
      </c>
      <c r="F33" s="2571" t="str">
        <f>IF(D32="楼面单价","取值（单价）","取值（总价）")</f>
        <v>取值（单价）</v>
      </c>
      <c r="G33" s="1054"/>
      <c r="H33" s="1054"/>
      <c r="I33" s="1054"/>
    </row>
    <row r="34" ht="15" spans="1:9">
      <c r="A34" s="2572"/>
      <c r="B34" s="2573" t="s">
        <v>868</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869</v>
      </c>
      <c r="F34" s="2577"/>
      <c r="G34" s="1054"/>
      <c r="H34" s="1054"/>
      <c r="I34" s="1054"/>
    </row>
    <row r="35" ht="15.75" spans="1:9">
      <c r="A35" s="2578"/>
      <c r="B35" s="2579" t="s">
        <v>870</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871</v>
      </c>
      <c r="F35" s="2583"/>
      <c r="G35" s="1054"/>
      <c r="H35" s="1054"/>
      <c r="I35" s="1054"/>
    </row>
    <row r="36" ht="15.75" spans="1:9">
      <c r="A36" s="2584" t="s">
        <v>872</v>
      </c>
      <c r="B36" s="2585" t="s">
        <v>873</v>
      </c>
      <c r="C36" s="2586"/>
      <c r="D36" s="2587"/>
      <c r="E36" s="2588"/>
      <c r="F36" s="2589"/>
      <c r="G36" s="1054"/>
      <c r="H36" s="1054"/>
      <c r="I36" s="1054"/>
    </row>
    <row r="37" ht="15.75" spans="1:9">
      <c r="A37" s="2590"/>
      <c r="B37" s="2591" t="s">
        <v>874</v>
      </c>
      <c r="C37" s="2592"/>
      <c r="D37" s="2593"/>
      <c r="E37" s="2593"/>
      <c r="F37" s="2589"/>
      <c r="G37" s="1054"/>
      <c r="H37" s="1054"/>
      <c r="I37" s="1054"/>
    </row>
    <row r="38" ht="15.75" spans="1:9">
      <c r="A38" s="2594"/>
      <c r="B38" s="2595" t="s">
        <v>875</v>
      </c>
      <c r="C38" s="2596"/>
      <c r="D38" s="2597" t="s">
        <v>876</v>
      </c>
      <c r="E38" s="2593"/>
      <c r="F38" s="2589"/>
      <c r="G38" s="1054"/>
      <c r="H38" s="1054"/>
      <c r="I38" s="1054"/>
    </row>
    <row r="39" ht="14.25" spans="1:9">
      <c r="A39" s="2540" t="s">
        <v>877</v>
      </c>
      <c r="B39" s="2598" t="s">
        <v>858</v>
      </c>
      <c r="C39" s="2599" t="s">
        <v>859</v>
      </c>
      <c r="D39" s="2599" t="s">
        <v>878</v>
      </c>
      <c r="E39" s="2600" t="s">
        <v>860</v>
      </c>
      <c r="F39" s="2589"/>
      <c r="G39" s="1054"/>
      <c r="H39" s="1054"/>
      <c r="I39" s="1054"/>
    </row>
    <row r="40" ht="14.25" spans="1:9">
      <c r="A40" s="2601" t="s">
        <v>879</v>
      </c>
      <c r="B40" s="2602"/>
      <c r="C40" s="1072"/>
      <c r="D40" s="1072"/>
      <c r="E40" s="2603"/>
      <c r="F40" s="2589"/>
      <c r="G40" s="1054"/>
      <c r="H40" s="1054"/>
      <c r="I40" s="1054"/>
    </row>
    <row r="41" ht="14.25" spans="1:9">
      <c r="A41" s="2601" t="s">
        <v>880</v>
      </c>
      <c r="B41" s="2602"/>
      <c r="C41" s="1072"/>
      <c r="D41" s="1072"/>
      <c r="E41" s="2603"/>
      <c r="F41" s="2589"/>
      <c r="G41" s="1054"/>
      <c r="H41" s="1054"/>
      <c r="I41" s="1054"/>
    </row>
    <row r="42" ht="15" spans="1:9">
      <c r="A42" s="2604"/>
      <c r="B42" s="2605"/>
      <c r="C42" s="2606"/>
      <c r="D42" s="2606"/>
      <c r="E42" s="2583"/>
      <c r="F42" s="2589"/>
      <c r="G42" s="1054"/>
      <c r="H42" s="1054"/>
      <c r="I42" s="1054"/>
    </row>
    <row r="43" ht="13.5" spans="1:9">
      <c r="A43" s="2607"/>
      <c r="B43" s="2607"/>
      <c r="C43" s="2607"/>
      <c r="D43" s="2607"/>
      <c r="E43" s="2607"/>
      <c r="F43" s="2608"/>
      <c r="G43" s="2608"/>
      <c r="H43" s="2608"/>
      <c r="I43" s="2677"/>
    </row>
    <row r="44" ht="18.75" spans="1:15">
      <c r="A44" s="2609" t="s">
        <v>881</v>
      </c>
      <c r="B44" s="2610"/>
      <c r="C44" s="2610"/>
      <c r="D44" s="2611"/>
      <c r="E44" s="2611"/>
      <c r="F44" s="2612"/>
      <c r="G44" s="2612"/>
      <c r="H44" s="2612"/>
      <c r="I44" s="2612"/>
      <c r="J44" s="2678" t="s">
        <v>882</v>
      </c>
      <c r="K44" s="2679"/>
      <c r="L44" s="2679"/>
      <c r="M44" s="2679"/>
      <c r="N44" s="2679"/>
      <c r="O44" s="2679"/>
    </row>
    <row r="45" ht="14.25" customHeight="1" spans="1:15">
      <c r="A45" s="2613" t="s">
        <v>883</v>
      </c>
      <c r="B45" s="2614"/>
      <c r="C45" s="2615"/>
      <c r="D45" s="2016">
        <f ca="1">ROUND(H101*F45,0)</f>
        <v>1252</v>
      </c>
      <c r="E45" s="2616" t="s">
        <v>884</v>
      </c>
      <c r="F45" s="2617">
        <v>1</v>
      </c>
      <c r="G45" s="2618" t="s">
        <v>885</v>
      </c>
      <c r="H45" s="1054"/>
      <c r="I45" s="1054"/>
      <c r="J45" s="2680" t="s">
        <v>886</v>
      </c>
      <c r="K45" s="2680"/>
      <c r="L45" s="2680"/>
      <c r="M45" s="2680"/>
      <c r="N45" s="2680"/>
      <c r="O45" s="2680"/>
    </row>
    <row r="46" ht="14.25" customHeight="1" spans="1:15">
      <c r="A46" s="2619" t="s">
        <v>887</v>
      </c>
      <c r="B46" s="2620"/>
      <c r="C46" s="2620"/>
      <c r="D46" s="2620"/>
      <c r="E46" s="2620"/>
      <c r="F46" s="2620"/>
      <c r="G46" s="2621"/>
      <c r="H46" s="2622"/>
      <c r="I46" s="1055"/>
      <c r="J46" s="667">
        <v>1</v>
      </c>
      <c r="K46" s="2681" t="s">
        <v>888</v>
      </c>
      <c r="L46" s="2681"/>
      <c r="M46" s="2682"/>
      <c r="N46" s="2682"/>
      <c r="O46" s="2682"/>
    </row>
    <row r="47" ht="12" customHeight="1" spans="1:15">
      <c r="A47" s="2623" t="s">
        <v>889</v>
      </c>
      <c r="B47" s="2624"/>
      <c r="C47" s="2625"/>
      <c r="D47" s="2069" t="s">
        <v>890</v>
      </c>
      <c r="E47" s="2017" t="s">
        <v>891</v>
      </c>
      <c r="F47" s="2626" t="s">
        <v>892</v>
      </c>
      <c r="G47" s="2627" t="s">
        <v>893</v>
      </c>
      <c r="H47" s="2628"/>
      <c r="I47" s="1055"/>
      <c r="J47" s="667">
        <v>2</v>
      </c>
      <c r="K47" s="2681" t="s">
        <v>894</v>
      </c>
      <c r="L47" s="2681"/>
      <c r="M47" s="2683">
        <f>'数据-取费表'!B2</f>
        <v>45960</v>
      </c>
      <c r="N47" s="2683"/>
      <c r="O47" s="2683"/>
    </row>
    <row r="48" ht="24.75" spans="1:15">
      <c r="A48" s="2629" t="s">
        <v>895</v>
      </c>
      <c r="B48" s="2073"/>
      <c r="C48" s="2073"/>
      <c r="D48" s="2173" t="b">
        <f ca="1">IF(H48="情况1",0,IF(H48="情况2",D52,IF(H48="情况3",D53,IF(H48="情况4",D54))))</f>
        <v>0</v>
      </c>
      <c r="E48" s="2073" t="str">
        <f>IF(H48="情况4","(销售额-原购置价)×税（费）率","销售额×税（费）率")</f>
        <v>销售额×税（费）率</v>
      </c>
      <c r="F48" s="2630">
        <f>IF(H48="情况1","免征",'数据-取费表'!B41)</f>
        <v>0.055</v>
      </c>
      <c r="G48" s="2631" t="s">
        <v>896</v>
      </c>
      <c r="H48" s="2632"/>
      <c r="I48" s="2622"/>
      <c r="J48" s="667">
        <v>3</v>
      </c>
      <c r="K48" s="2681" t="s">
        <v>897</v>
      </c>
      <c r="L48" s="2681"/>
      <c r="M48" s="2684">
        <f ca="1">H101</f>
        <v>1252</v>
      </c>
      <c r="N48" s="2684"/>
      <c r="O48" s="2684"/>
    </row>
    <row r="49" ht="25.5" customHeight="1" spans="1:15">
      <c r="A49" s="2629" t="s">
        <v>898</v>
      </c>
      <c r="B49" s="2051" t="s">
        <v>899</v>
      </c>
      <c r="C49" s="2051"/>
      <c r="D49" s="2633">
        <v>0</v>
      </c>
      <c r="E49" s="2079" t="s">
        <v>900</v>
      </c>
      <c r="F49" s="2634" t="s">
        <v>124</v>
      </c>
      <c r="G49" s="2635"/>
      <c r="H49" s="2636" t="s">
        <v>901</v>
      </c>
      <c r="I49" s="2685"/>
      <c r="J49" s="667">
        <v>4</v>
      </c>
      <c r="K49" s="2681" t="str">
        <f>IF(项目基本情况!E8="房地产抵押价值","房地产抵押价值","抵押担保权已注销时的房地产抵押价值")</f>
        <v>房地产抵押价值</v>
      </c>
      <c r="L49" s="2681"/>
      <c r="M49" s="2684">
        <f ca="1">IF(项目基本情况!E8="房地产抵押价值",H107,H109)</f>
        <v>1252</v>
      </c>
      <c r="N49" s="2684"/>
      <c r="O49" s="2684"/>
    </row>
    <row r="50" ht="25.5" customHeight="1" spans="1:15">
      <c r="A50" s="2637"/>
      <c r="B50" s="2051" t="s">
        <v>902</v>
      </c>
      <c r="C50" s="2051"/>
      <c r="D50" s="2638"/>
      <c r="E50" s="2094"/>
      <c r="F50" s="2634"/>
      <c r="G50" s="2639"/>
      <c r="H50" s="2640" t="s">
        <v>903</v>
      </c>
      <c r="I50" s="2685"/>
      <c r="J50" s="2680" t="s">
        <v>904</v>
      </c>
      <c r="K50" s="2680"/>
      <c r="L50" s="2680"/>
      <c r="M50" s="2680"/>
      <c r="N50" s="2680"/>
      <c r="O50" s="2680"/>
    </row>
    <row r="51" ht="20.45" customHeight="1" spans="1:15">
      <c r="A51" s="2641"/>
      <c r="B51" s="2051" t="s">
        <v>905</v>
      </c>
      <c r="C51" s="2051"/>
      <c r="D51" s="2069"/>
      <c r="E51" s="2083"/>
      <c r="F51" s="2634"/>
      <c r="G51" s="2642"/>
      <c r="H51" s="2640" t="s">
        <v>906</v>
      </c>
      <c r="I51" s="2685"/>
      <c r="J51" s="2681" t="s">
        <v>907</v>
      </c>
      <c r="K51" s="2681" t="s">
        <v>908</v>
      </c>
      <c r="L51" s="2681"/>
      <c r="M51" s="2681" t="s">
        <v>909</v>
      </c>
      <c r="N51" s="2681" t="s">
        <v>910</v>
      </c>
      <c r="O51" s="2681" t="s">
        <v>911</v>
      </c>
    </row>
    <row r="52" ht="24" customHeight="1" spans="1:15">
      <c r="A52" s="2643" t="s">
        <v>912</v>
      </c>
      <c r="B52" s="2051" t="s">
        <v>913</v>
      </c>
      <c r="C52" s="2051"/>
      <c r="D52" s="2069">
        <f ca="1">ROUND(D45*'数据-取费表'!B41/(1+'数据-取费表'!C42),0)</f>
        <v>66</v>
      </c>
      <c r="E52" s="2073" t="s">
        <v>914</v>
      </c>
      <c r="F52" s="2644">
        <f>'数据-取费表'!B41</f>
        <v>0.055</v>
      </c>
      <c r="G52" s="2645"/>
      <c r="H52" s="2188"/>
      <c r="I52" s="2686"/>
      <c r="J52" s="667">
        <v>1</v>
      </c>
      <c r="K52" s="667" t="s">
        <v>915</v>
      </c>
      <c r="L52" s="667"/>
      <c r="M52" s="2687" t="b">
        <f ca="1">D48</f>
        <v>0</v>
      </c>
      <c r="N52" s="667" t="str">
        <f>E48</f>
        <v>销售额×税（费）率</v>
      </c>
      <c r="O52" s="2688">
        <f>F48</f>
        <v>0.055</v>
      </c>
    </row>
    <row r="53" ht="12" customHeight="1" spans="1:15">
      <c r="A53" s="2643" t="s">
        <v>916</v>
      </c>
      <c r="B53" s="2050" t="s">
        <v>917</v>
      </c>
      <c r="C53" s="2646"/>
      <c r="D53" s="2069">
        <f ca="1">ROUND(D45*'数据-取费表'!B41/(1+'数据-取费表'!C42),0)</f>
        <v>66</v>
      </c>
      <c r="E53" s="2073" t="s">
        <v>914</v>
      </c>
      <c r="F53" s="2644">
        <f>'数据-取费表'!B41</f>
        <v>0.055</v>
      </c>
      <c r="G53" s="2645"/>
      <c r="H53" s="2188"/>
      <c r="I53" s="2686"/>
      <c r="J53" s="667">
        <v>2</v>
      </c>
      <c r="K53" s="667" t="s">
        <v>918</v>
      </c>
      <c r="L53" s="667"/>
      <c r="M53" s="2687">
        <f ca="1" t="shared" ref="M53:O54" si="0">D55</f>
        <v>1</v>
      </c>
      <c r="N53" s="667" t="str">
        <f t="shared" si="0"/>
        <v>销售额×税（费）率</v>
      </c>
      <c r="O53" s="2688" t="str">
        <f t="shared" si="0"/>
        <v>免征</v>
      </c>
    </row>
    <row r="54" ht="12" customHeight="1" spans="1:15">
      <c r="A54" s="2643" t="s">
        <v>919</v>
      </c>
      <c r="B54" s="2050" t="s">
        <v>920</v>
      </c>
      <c r="C54" s="2646"/>
      <c r="D54" s="2069">
        <f ca="1">C68</f>
        <v>66</v>
      </c>
      <c r="E54" s="2083" t="s">
        <v>921</v>
      </c>
      <c r="F54" s="2644">
        <f>'数据-取费表'!B41</f>
        <v>0.055</v>
      </c>
      <c r="G54" s="2645"/>
      <c r="H54" s="2647"/>
      <c r="I54" s="2686"/>
      <c r="J54" s="667">
        <v>3</v>
      </c>
      <c r="K54" s="667" t="s">
        <v>922</v>
      </c>
      <c r="L54" s="667"/>
      <c r="M54" s="2687">
        <f ca="1" t="shared" si="0"/>
        <v>710</v>
      </c>
      <c r="N54" s="667" t="str">
        <f t="shared" si="0"/>
        <v>增值额×税（费）率</v>
      </c>
      <c r="O54" s="2689" t="str">
        <f t="shared" si="0"/>
        <v>免征</v>
      </c>
    </row>
    <row r="55" ht="24" customHeight="1" spans="1:15">
      <c r="A55" s="2643" t="s">
        <v>923</v>
      </c>
      <c r="B55" s="2073"/>
      <c r="C55" s="2073"/>
      <c r="D55" s="2173">
        <f ca="1">IF(H55="个人住宅",0,ROUND(D45*I55,0))</f>
        <v>1</v>
      </c>
      <c r="E55" s="2073" t="s">
        <v>924</v>
      </c>
      <c r="F55" s="2644" t="str">
        <f>IF(H55="正常",I55,"免征")</f>
        <v>免征</v>
      </c>
      <c r="G55" s="2645"/>
      <c r="H55" s="2632"/>
      <c r="I55" s="2690">
        <f>'数据-取费表'!B49</f>
        <v>0.0005</v>
      </c>
      <c r="J55" s="667">
        <f>IF(H59="非个人房产","",4)</f>
        <v>4</v>
      </c>
      <c r="K55" s="667" t="str">
        <f>IF(H59="非个人房产","——","个人所得税")</f>
        <v>个人所得税</v>
      </c>
      <c r="L55" s="667"/>
      <c r="M55" s="2691">
        <f ca="1">D59</f>
        <v>12</v>
      </c>
      <c r="N55" s="648" t="str">
        <f>E59</f>
        <v>差额计税</v>
      </c>
      <c r="O55" s="2692">
        <f>F59</f>
        <v>0.01</v>
      </c>
    </row>
    <row r="56" ht="24.75" spans="1:15">
      <c r="A56" s="2643" t="s">
        <v>925</v>
      </c>
      <c r="B56" s="2073"/>
      <c r="C56" s="2073"/>
      <c r="D56" s="2173">
        <f ca="1">IF(H56="个人住宅",D57,D58)</f>
        <v>710</v>
      </c>
      <c r="E56" s="2073" t="s">
        <v>926</v>
      </c>
      <c r="F56" s="2644" t="str">
        <f>IF(H56="正常",F58,"免征")</f>
        <v>免征</v>
      </c>
      <c r="G56" s="2648" t="s">
        <v>927</v>
      </c>
      <c r="H56" s="2649"/>
      <c r="I56" s="2660"/>
      <c r="J56" s="667" t="str">
        <f>IF(项目基本情况!K6="上海银行",IF(J55="",4,J55+1),"")</f>
        <v/>
      </c>
      <c r="K56" s="2173" t="str">
        <f>IF(项目基本情况!K6="上海银行","其他处置费用","")</f>
        <v/>
      </c>
      <c r="L56" s="2438"/>
      <c r="M56" s="2687" t="str">
        <f ca="1">IF(项目基本情况!K6="上海银行",M69,"")</f>
        <v/>
      </c>
      <c r="N56" s="2173" t="str">
        <f>IF(项目基本情况!K6="上海银行","包含处置中涉及的律师、诉讼、拍卖、评估等费用","")</f>
        <v/>
      </c>
      <c r="O56" s="2023"/>
    </row>
    <row r="57" ht="13.5" spans="1:16">
      <c r="A57" s="2643" t="s">
        <v>898</v>
      </c>
      <c r="B57" s="2050" t="s">
        <v>928</v>
      </c>
      <c r="C57" s="2646"/>
      <c r="D57" s="2633">
        <v>0</v>
      </c>
      <c r="E57" s="2079" t="s">
        <v>900</v>
      </c>
      <c r="F57" s="2017"/>
      <c r="G57" s="2645"/>
      <c r="H57" s="2650"/>
      <c r="I57" s="2660"/>
      <c r="J57" s="667">
        <f>IF(AND(J55="",J56=""),4,IF(项目基本情况!K6="上海银行",结果表!J56+1,结果表!J55+1))</f>
        <v>5</v>
      </c>
      <c r="K57" s="667" t="s">
        <v>929</v>
      </c>
      <c r="L57" s="2693" t="s">
        <v>930</v>
      </c>
      <c r="M57" s="2694"/>
      <c r="N57" s="2695">
        <f ca="1">SUMIF(M52:M56,"&lt;9e307")</f>
        <v>723</v>
      </c>
      <c r="O57" s="2696"/>
      <c r="P57" s="2697">
        <f ca="1">N57/M49</f>
        <v>0.577476038338658</v>
      </c>
    </row>
    <row r="58" ht="24.75" spans="1:15">
      <c r="A58" s="2643" t="s">
        <v>912</v>
      </c>
      <c r="B58" s="2050" t="s">
        <v>931</v>
      </c>
      <c r="C58" s="2051"/>
      <c r="D58" s="2173">
        <f ca="1">IF(H58="转让取得",C81,C97)</f>
        <v>710</v>
      </c>
      <c r="E58" s="2073" t="s">
        <v>926</v>
      </c>
      <c r="F58" s="2017" t="s">
        <v>124</v>
      </c>
      <c r="G58" s="2645"/>
      <c r="H58" s="2649"/>
      <c r="I58" s="2660"/>
      <c r="J58" s="667"/>
      <c r="K58" s="667"/>
      <c r="L58" s="2693" t="s">
        <v>932</v>
      </c>
      <c r="M58" s="2698"/>
      <c r="N58" s="2699" t="str">
        <f ca="1">NUMBERSTRING(INT(N57*10000),2)&amp;"元整"</f>
        <v>柒佰贰拾叁万元整</v>
      </c>
      <c r="O58" s="2700"/>
    </row>
    <row r="59" ht="24.75" spans="1:15">
      <c r="A59" s="2651" t="s">
        <v>933</v>
      </c>
      <c r="B59" s="2652"/>
      <c r="C59" s="2652"/>
      <c r="D59" s="2653">
        <f ca="1">IF(H59="非个人房产","——",IF(H59="个人住宅（满五唯一有凭证）",0,IF(H59="个人其他（无凭证）",ROUND(D45/(1+'数据-取费表'!C42)*F59,0),ROUND(C67*F59,0))))</f>
        <v>12</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927</v>
      </c>
      <c r="H59" s="2657"/>
      <c r="I59" s="2701" t="s">
        <v>934</v>
      </c>
      <c r="J59" s="648">
        <f>J57+1</f>
        <v>6</v>
      </c>
      <c r="K59" s="667" t="s">
        <v>935</v>
      </c>
      <c r="L59" s="667" t="s">
        <v>930</v>
      </c>
      <c r="M59" s="2702"/>
      <c r="N59" s="2703">
        <f ca="1">M49-N57</f>
        <v>529</v>
      </c>
      <c r="O59" s="2704"/>
    </row>
    <row r="60" ht="12" customHeight="1" spans="1:15">
      <c r="A60" s="2658"/>
      <c r="B60" s="2508"/>
      <c r="C60" s="2508"/>
      <c r="D60" s="2508"/>
      <c r="E60" s="2659"/>
      <c r="F60" s="2660"/>
      <c r="G60" s="2660"/>
      <c r="H60" s="2661"/>
      <c r="I60" s="1054"/>
      <c r="J60" s="653"/>
      <c r="K60" s="667"/>
      <c r="L60" s="2693" t="s">
        <v>932</v>
      </c>
      <c r="M60" s="2698"/>
      <c r="N60" s="2699" t="str">
        <f ca="1">NUMBERSTRING(INT(N59*10000),2)&amp;"元整"</f>
        <v>伍佰贰拾玖万元整</v>
      </c>
      <c r="O60" s="2700"/>
    </row>
    <row r="61" ht="14.25" spans="1:15">
      <c r="A61" s="2662" t="s">
        <v>936</v>
      </c>
      <c r="B61" s="2662"/>
      <c r="C61" s="2662"/>
      <c r="D61" s="2662"/>
      <c r="E61" s="2662"/>
      <c r="F61" s="2660"/>
      <c r="G61" s="2660"/>
      <c r="H61" s="2661"/>
      <c r="I61" s="1054"/>
      <c r="J61" s="667">
        <f>J59+1</f>
        <v>7</v>
      </c>
      <c r="K61" s="667" t="s">
        <v>937</v>
      </c>
      <c r="L61" s="667"/>
      <c r="M61" s="2705"/>
      <c r="N61" s="2706">
        <f ca="1">ROUND(N59*10000/'数据-汇总表'!E3,0)</f>
        <v>14149</v>
      </c>
      <c r="O61" s="2707"/>
    </row>
    <row r="62" ht="13.5" spans="1:9">
      <c r="A62" s="2663" t="s">
        <v>938</v>
      </c>
      <c r="B62" s="618"/>
      <c r="C62" s="618"/>
      <c r="D62" s="618" t="s">
        <v>939</v>
      </c>
      <c r="E62" s="2664" t="s">
        <v>893</v>
      </c>
      <c r="F62" s="2660"/>
      <c r="G62" s="2660"/>
      <c r="H62" s="2661"/>
      <c r="I62" s="1054"/>
    </row>
    <row r="63" ht="13.5" spans="1:35">
      <c r="A63" s="2665" t="s">
        <v>940</v>
      </c>
      <c r="B63" s="678" t="s">
        <v>941</v>
      </c>
      <c r="C63" s="2666">
        <f ca="1">ROUND((C64+C65)/(1+'数据-取费表'!C42),0)</f>
        <v>1192</v>
      </c>
      <c r="D63" s="678"/>
      <c r="E63" s="2667"/>
      <c r="F63" s="2660"/>
      <c r="G63" s="2660"/>
      <c r="H63" s="2661"/>
      <c r="I63" s="1054"/>
      <c r="J63" s="2708" t="s">
        <v>942</v>
      </c>
      <c r="K63" s="2708" t="s">
        <v>943</v>
      </c>
      <c r="L63" s="2708">
        <f ca="1">IF(M49&gt;10000,M49*0.5%,IF(AND(M49&gt;1000,M49&lt;=10000),M49*1%,IF(AND(M49&gt;100,M49&lt;=1000),M49*3%,IF(AND(M49&gt;10,M49&lt;=100),M49*5%,M49*8%))))</f>
        <v>12.52</v>
      </c>
      <c r="M63" s="2017">
        <f ca="1">ROUND(L63,1)</f>
        <v>12.5</v>
      </c>
      <c r="N63" s="2709"/>
      <c r="Z63" s="2505"/>
      <c r="AI63" s="2506"/>
    </row>
    <row r="64" ht="14.25" customHeight="1" spans="1:35">
      <c r="A64" s="2668" t="s">
        <v>944</v>
      </c>
      <c r="B64" s="601" t="s">
        <v>945</v>
      </c>
      <c r="C64" s="2669">
        <f ca="1">D45</f>
        <v>1252</v>
      </c>
      <c r="D64" s="601" t="s">
        <v>124</v>
      </c>
      <c r="E64" s="2670"/>
      <c r="F64" s="2660"/>
      <c r="G64" s="2660"/>
      <c r="H64" s="2661"/>
      <c r="I64" s="1054"/>
      <c r="J64" s="2708"/>
      <c r="K64" s="2708" t="s">
        <v>946</v>
      </c>
      <c r="L64" s="2708">
        <f ca="1">IF(M49&gt;2000,M49*0.5%,IF(AND(M49&gt;1000,M49&lt;=2000),M49*0.6%,IF(AND(M49&gt;500,M49&lt;=1000),M49*0.7%,IF(AND(M49&gt;200,M49&lt;=500),M49*0.8%,IF(AND(M49&gt;100,M49&lt;=200),M49*0.9%,IF(AND(M49&gt;50,M49&lt;=100),M49*1%,IF(AND(M49&gt;20,M49&lt;=50),M49*1.5%,IF(AND(M49&gt;10,M49&lt;=20),M49*2%,IF(AND(M49&gt;1,M49&lt;=10),M49*2.5%)))))))))</f>
        <v>7.512</v>
      </c>
      <c r="M64" s="2017">
        <f ca="1" t="shared" ref="M64:M65" si="1">ROUND(L64,1)</f>
        <v>7.5</v>
      </c>
      <c r="N64" s="2188" t="s">
        <v>947</v>
      </c>
      <c r="Z64" s="2505"/>
      <c r="AI64" s="2506"/>
    </row>
    <row r="65" ht="14.25" customHeight="1" spans="1:35">
      <c r="A65" s="2668" t="s">
        <v>948</v>
      </c>
      <c r="B65" s="601" t="s">
        <v>949</v>
      </c>
      <c r="C65" s="2711"/>
      <c r="D65" s="601"/>
      <c r="E65" s="2670"/>
      <c r="F65" s="2660"/>
      <c r="G65" s="2660"/>
      <c r="H65" s="2661"/>
      <c r="I65" s="1054"/>
      <c r="J65" s="2708"/>
      <c r="K65" s="2708" t="s">
        <v>950</v>
      </c>
      <c r="L65" s="2708">
        <f ca="1">IF(M49&gt;1000,M49*0.1%,IF(AND(M49&gt;500,M49&lt;=1000),M49*0.5%,IF(AND(M49&gt;50,M49&lt;=500),M49*1%,IF(AND(M49&gt;1,M49&lt;=50),M49*1.5%))))</f>
        <v>1.252</v>
      </c>
      <c r="M65" s="2017">
        <f ca="1" t="shared" si="1"/>
        <v>1.3</v>
      </c>
      <c r="N65" s="2188" t="s">
        <v>947</v>
      </c>
      <c r="Z65" s="2505"/>
      <c r="AI65" s="2506"/>
    </row>
    <row r="66" ht="14.25" customHeight="1" spans="1:35">
      <c r="A66" s="2665" t="s">
        <v>951</v>
      </c>
      <c r="B66" s="2712" t="s">
        <v>952</v>
      </c>
      <c r="C66" s="2713"/>
      <c r="D66" s="2712" t="s">
        <v>124</v>
      </c>
      <c r="E66" s="2714" t="s">
        <v>953</v>
      </c>
      <c r="F66" s="2660"/>
      <c r="G66" s="2660"/>
      <c r="H66" s="2661"/>
      <c r="I66" s="1054"/>
      <c r="J66" s="2708"/>
      <c r="K66" s="2708" t="s">
        <v>954</v>
      </c>
      <c r="L66" s="2708">
        <f ca="1">M49*0.5%</f>
        <v>6.26</v>
      </c>
      <c r="M66" s="2017">
        <f ca="1">IF(L66&gt;0.5,0.5,ROUND(L66,0))</f>
        <v>0.5</v>
      </c>
      <c r="N66" s="2188" t="s">
        <v>955</v>
      </c>
      <c r="Z66" s="2505"/>
      <c r="AI66" s="2506"/>
    </row>
    <row r="67" ht="14.25" customHeight="1" spans="1:35">
      <c r="A67" s="2665" t="s">
        <v>956</v>
      </c>
      <c r="B67" s="2712" t="s">
        <v>957</v>
      </c>
      <c r="C67" s="2715">
        <f ca="1">C63-C66</f>
        <v>1192</v>
      </c>
      <c r="D67" s="601" t="s">
        <v>124</v>
      </c>
      <c r="E67" s="2670"/>
      <c r="F67" s="2660"/>
      <c r="G67" s="2660"/>
      <c r="H67" s="2661"/>
      <c r="I67" s="1054"/>
      <c r="J67" s="2708"/>
      <c r="K67" s="2708" t="s">
        <v>958</v>
      </c>
      <c r="L67" s="2708">
        <f ca="1">IF(M49&gt;=10000,(8.25+(M49-10000)*0.01%),IF(AND(M49&gt;=8000,M49&lt;10000),(7.85+(M49-8000)*0.02%),IF(AND(M49&gt;=5000,M49&lt;8000),(6.65+(M49-5000)*0.04%),IF(AND(M49&gt;=2000,M49&lt;5000),(4.25+(PM49-2000)*0.08%),IF(AND(M49&gt;=1000,M49&lt;2000),(2.75+(M49-1000)*0.15%),IF(AND(M49&gt;=100,M49&lt;1000),(0.5+(M49-100)*0.25%),IF(AND(M49&gt;0,M49&lt;100),M49*0.5%)))))))</f>
        <v>3.128</v>
      </c>
      <c r="M67" s="2017">
        <f ca="1">ROUND(L67*0.9,1)</f>
        <v>2.8</v>
      </c>
      <c r="N67" s="2709"/>
      <c r="Z67" s="2505"/>
      <c r="AI67" s="2506"/>
    </row>
    <row r="68" ht="14.25" customHeight="1" spans="1:35">
      <c r="A68" s="2716" t="s">
        <v>959</v>
      </c>
      <c r="B68" s="2717" t="s">
        <v>960</v>
      </c>
      <c r="C68" s="2718">
        <f ca="1">IF(C67&lt;=0,0,ROUND(C67*D68,0))</f>
        <v>66</v>
      </c>
      <c r="D68" s="876">
        <f>'数据-取费表'!B41</f>
        <v>0.055</v>
      </c>
      <c r="E68" s="2719"/>
      <c r="F68" s="2660"/>
      <c r="G68" s="2660"/>
      <c r="H68" s="2661"/>
      <c r="I68" s="1054"/>
      <c r="J68" s="2708"/>
      <c r="K68" s="2708" t="s">
        <v>961</v>
      </c>
      <c r="L68" s="2708">
        <f ca="1">IF(M49&gt;10000,M49*0.5%,IF(AND(M49&gt;5000,M49&lt;=10000),M49*1%,IF(AND(M49&gt;1000,M49&lt;=5000),M49*2%,IF(AND(M49&gt;200,M49&lt;=1000),M49*3%,M49*5%))))</f>
        <v>25.04</v>
      </c>
      <c r="M68" s="2017">
        <f ca="1">ROUND(L68,1)</f>
        <v>25</v>
      </c>
      <c r="N68" s="2709"/>
      <c r="Z68" s="2505"/>
      <c r="AI68" s="2506"/>
    </row>
    <row r="69" s="2503" customFormat="1" ht="16.5" customHeight="1" spans="1:34">
      <c r="A69" s="2720"/>
      <c r="B69" s="2721"/>
      <c r="C69" s="2722"/>
      <c r="D69" s="792"/>
      <c r="E69" s="2723"/>
      <c r="F69" s="2659"/>
      <c r="G69" s="2659"/>
      <c r="H69" s="2607"/>
      <c r="I69" s="2508"/>
      <c r="J69" s="2708"/>
      <c r="K69" s="2708" t="s">
        <v>962</v>
      </c>
      <c r="L69" s="2708"/>
      <c r="M69" s="2017">
        <f ca="1">ROUND(SUM(M63:M68),0)</f>
        <v>50</v>
      </c>
      <c r="N69" s="2821">
        <f ca="1">M69/M49</f>
        <v>0.0399361022364217</v>
      </c>
      <c r="O69" s="1010"/>
      <c r="P69" s="1010"/>
      <c r="Q69" s="1010"/>
      <c r="R69" s="1010"/>
      <c r="S69" s="1010"/>
      <c r="T69" s="1010"/>
      <c r="U69" s="1010"/>
      <c r="V69" s="1010"/>
      <c r="W69" s="1010"/>
      <c r="X69" s="1010"/>
      <c r="Y69" s="1010"/>
      <c r="Z69" s="2505"/>
      <c r="AA69" s="2505"/>
      <c r="AB69" s="2505"/>
      <c r="AC69" s="2505"/>
      <c r="AD69" s="2505"/>
      <c r="AE69" s="2505"/>
      <c r="AF69" s="2505"/>
      <c r="AG69" s="2505"/>
      <c r="AH69" s="2505"/>
    </row>
    <row r="70" s="2504" customFormat="1" ht="15" spans="1:35">
      <c r="A70" s="2724" t="s">
        <v>963</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25" spans="1:35">
      <c r="A71" s="2663" t="s">
        <v>938</v>
      </c>
      <c r="B71" s="618"/>
      <c r="C71" s="618"/>
      <c r="D71" s="618" t="s">
        <v>939</v>
      </c>
      <c r="E71" s="2726" t="s">
        <v>893</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25" spans="1:35">
      <c r="A72" s="2665" t="s">
        <v>940</v>
      </c>
      <c r="B72" s="2712" t="s">
        <v>964</v>
      </c>
      <c r="C72" s="2715">
        <f ca="1">ROUND(D45/(1+'数据-取费表'!C42),0)</f>
        <v>1192</v>
      </c>
      <c r="D72" s="601" t="s">
        <v>124</v>
      </c>
      <c r="E72" s="2050"/>
      <c r="F72" s="2051"/>
      <c r="G72" s="2051"/>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25" spans="1:35">
      <c r="A73" s="2665" t="s">
        <v>951</v>
      </c>
      <c r="B73" s="2626" t="s">
        <v>965</v>
      </c>
      <c r="C73" s="2715">
        <f ca="1">C74+C78</f>
        <v>6</v>
      </c>
      <c r="D73" s="601" t="s">
        <v>124</v>
      </c>
      <c r="E73" s="2050"/>
      <c r="F73" s="2051"/>
      <c r="G73" s="2051"/>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4" spans="1:35">
      <c r="A74" s="2668" t="s">
        <v>944</v>
      </c>
      <c r="B74" s="601" t="s">
        <v>966</v>
      </c>
      <c r="C74" s="601">
        <f>ROUND(IF(G77="2016年5月1日后购买",C75/(1+'数据-取费表'!C42)+C76+C77,C75+C76+C77),0)</f>
        <v>0</v>
      </c>
      <c r="D74" s="601" t="s">
        <v>124</v>
      </c>
      <c r="E74" s="2050"/>
      <c r="F74" s="2051"/>
      <c r="G74" s="2051"/>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14.25" spans="1:35">
      <c r="A75" s="2668" t="s">
        <v>967</v>
      </c>
      <c r="B75" s="601" t="s">
        <v>968</v>
      </c>
      <c r="C75" s="2730"/>
      <c r="D75" s="601" t="s">
        <v>124</v>
      </c>
      <c r="E75" s="2731" t="s">
        <v>969</v>
      </c>
      <c r="F75" s="2732"/>
      <c r="G75" s="2731" t="s">
        <v>970</v>
      </c>
      <c r="H75" s="2733"/>
      <c r="I75" s="895"/>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971</v>
      </c>
      <c r="B76" s="2734" t="s">
        <v>972</v>
      </c>
      <c r="C76" s="601">
        <f>IF(F75="购房发票",ROUND(C75*H75*D76,0),0)</f>
        <v>0</v>
      </c>
      <c r="D76" s="2735">
        <v>0.05</v>
      </c>
      <c r="E76" s="2050" t="s">
        <v>973</v>
      </c>
      <c r="F76" s="2051"/>
      <c r="G76" s="2051"/>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974</v>
      </c>
      <c r="B77" s="601" t="s">
        <v>975</v>
      </c>
      <c r="C77" s="601">
        <f>ROUND(IF(G77="个人住宅",0,IF(G77="2016年5月1日前购买",C75*D77,C75*D77/(1+'数据-取费表'!C42))),0)</f>
        <v>0</v>
      </c>
      <c r="D77" s="2737">
        <f>'数据-取费表'!B48+'数据-取费表'!B49</f>
        <v>0.0305</v>
      </c>
      <c r="E77" s="2173" t="s">
        <v>976</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948</v>
      </c>
      <c r="B78" s="601" t="s">
        <v>977</v>
      </c>
      <c r="C78" s="2740">
        <f ca="1">ROUND(D45*D78/(1+'数据-取费表'!C42),0)</f>
        <v>6</v>
      </c>
      <c r="D78" s="2741">
        <f>'数据-取费表'!B43</f>
        <v>0.005</v>
      </c>
      <c r="E78" s="2742" t="s">
        <v>978</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25" spans="1:35">
      <c r="A79" s="2665" t="s">
        <v>956</v>
      </c>
      <c r="B79" s="2712" t="s">
        <v>979</v>
      </c>
      <c r="C79" s="2715">
        <f ca="1">C72-C73</f>
        <v>1186</v>
      </c>
      <c r="D79" s="601" t="s">
        <v>124</v>
      </c>
      <c r="E79" s="2050"/>
      <c r="F79" s="2051"/>
      <c r="G79" s="2051"/>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4" spans="1:35">
      <c r="A80" s="2665" t="s">
        <v>959</v>
      </c>
      <c r="B80" s="2712" t="s">
        <v>980</v>
      </c>
      <c r="C80" s="2745">
        <f ca="1">IF(C79&lt;=0,0,C79/C73)</f>
        <v>197.666666666667</v>
      </c>
      <c r="D80" s="601" t="s">
        <v>124</v>
      </c>
      <c r="E80" s="2173" t="str">
        <f ca="1">IF(C80&gt;=200%,"增值额超过扣除项目金额200%",IF(C80&gt;=100%,"增值额超过扣除项目金额100%，未超过200%",IF(C80&gt;=50%,"增值额超过扣除项目金额50%，未超过100%",IF(C80&lt;50%,"增值额未超过扣除项目金额50%"))))</f>
        <v>增值额超过扣除项目金额200%</v>
      </c>
      <c r="F80" s="2051"/>
      <c r="G80" s="2051"/>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4.75" spans="1:35">
      <c r="A81" s="2716" t="s">
        <v>981</v>
      </c>
      <c r="B81" s="2717" t="s">
        <v>982</v>
      </c>
      <c r="C81" s="2746">
        <f ca="1">ROUND(IF(C79&lt;=0,0,IF(C80&gt;=200%,C79*60%-C73*35%,IF(C80&gt;=100%,C79*50%-C73*15%,IF(C80&gt;=50%,C79*40%-C73*5%,IF(C80&lt;50%,C79*30%,0))))),0)</f>
        <v>710</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776"/>
      <c r="D82" s="776"/>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5" spans="1:35">
      <c r="A83" s="2724" t="s">
        <v>983</v>
      </c>
      <c r="B83" s="2725"/>
      <c r="C83" s="2725"/>
      <c r="D83" s="2725"/>
      <c r="E83" s="2725"/>
      <c r="F83" s="2725"/>
      <c r="G83" s="2725"/>
      <c r="H83" s="2725"/>
      <c r="I83" s="895"/>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25" spans="1:35">
      <c r="A84" s="2663" t="s">
        <v>938</v>
      </c>
      <c r="B84" s="618"/>
      <c r="C84" s="618"/>
      <c r="D84" s="618" t="s">
        <v>939</v>
      </c>
      <c r="E84" s="2726" t="s">
        <v>893</v>
      </c>
      <c r="F84" s="2727"/>
      <c r="G84" s="2727"/>
      <c r="H84" s="2754"/>
      <c r="I84" s="895"/>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25" spans="1:35">
      <c r="A85" s="2665" t="s">
        <v>940</v>
      </c>
      <c r="B85" s="2712" t="s">
        <v>964</v>
      </c>
      <c r="C85" s="2715">
        <f ca="1">ROUND(D45/(1+'数据-取费表'!C42),0)</f>
        <v>1192</v>
      </c>
      <c r="D85" s="601" t="s">
        <v>124</v>
      </c>
      <c r="E85" s="2050"/>
      <c r="F85" s="2051"/>
      <c r="G85" s="2051"/>
      <c r="H85" s="2755"/>
      <c r="I85" s="895"/>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25" spans="1:35">
      <c r="A86" s="2665" t="s">
        <v>951</v>
      </c>
      <c r="B86" s="2626" t="s">
        <v>965</v>
      </c>
      <c r="C86" s="2715">
        <f ca="1">IF(H88="仅含出让金",C87+C90+C91+C92+C93+C94,C87+C91+C92+C93+C94)</f>
        <v>6</v>
      </c>
      <c r="D86" s="2756"/>
      <c r="E86" s="2050"/>
      <c r="F86" s="2051"/>
      <c r="G86" s="2051"/>
      <c r="H86" s="2755"/>
      <c r="I86" s="895"/>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25" spans="1:35">
      <c r="A87" s="2668" t="s">
        <v>944</v>
      </c>
      <c r="B87" s="601" t="s">
        <v>984</v>
      </c>
      <c r="C87" s="2740">
        <f>C88+C89</f>
        <v>0</v>
      </c>
      <c r="D87" s="2741"/>
      <c r="E87" s="2742"/>
      <c r="F87" s="2743"/>
      <c r="G87" s="2743"/>
      <c r="H87" s="2744"/>
      <c r="I87" s="895"/>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14.25" spans="1:35">
      <c r="A88" s="2668" t="s">
        <v>967</v>
      </c>
      <c r="B88" s="601" t="s">
        <v>985</v>
      </c>
      <c r="C88" s="2757"/>
      <c r="D88" s="2741"/>
      <c r="E88" s="2758" t="s">
        <v>986</v>
      </c>
      <c r="F88" s="2743"/>
      <c r="G88" s="2759" t="s">
        <v>987</v>
      </c>
      <c r="H88" s="2760"/>
      <c r="I88" s="895"/>
      <c r="J88" s="2827" t="s">
        <v>988</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25" spans="1:35">
      <c r="A89" s="2668" t="s">
        <v>971</v>
      </c>
      <c r="B89" s="601" t="s">
        <v>975</v>
      </c>
      <c r="C89" s="2740">
        <f>ROUND(C88*D89,0)</f>
        <v>0</v>
      </c>
      <c r="D89" s="2741">
        <f>'数据-取费表'!B48+'数据-取费表'!B49</f>
        <v>0.0305</v>
      </c>
      <c r="E89" s="2758" t="s">
        <v>989</v>
      </c>
      <c r="F89" s="2743"/>
      <c r="G89" s="2743"/>
      <c r="H89" s="2744"/>
      <c r="I89" s="895"/>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25" spans="1:35">
      <c r="A90" s="2668" t="s">
        <v>948</v>
      </c>
      <c r="B90" s="601" t="s">
        <v>990</v>
      </c>
      <c r="C90" s="2757"/>
      <c r="D90" s="2741"/>
      <c r="E90" s="2758" t="str">
        <f>IF(H88="-","土地取得成本中已包含该笔费用"," ")</f>
        <v> </v>
      </c>
      <c r="F90" s="2743"/>
      <c r="G90" s="2761" t="s">
        <v>991</v>
      </c>
      <c r="H90" s="2762"/>
      <c r="I90" s="895"/>
      <c r="J90" s="2827" t="s">
        <v>992</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993</v>
      </c>
      <c r="B91" s="601" t="s">
        <v>994</v>
      </c>
      <c r="C91" s="2740">
        <f ca="1">IF(H91="——",成本法!C33,I91)</f>
        <v>0</v>
      </c>
      <c r="D91" s="2741"/>
      <c r="E91" s="2742" t="s">
        <v>995</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996</v>
      </c>
      <c r="B92" s="601" t="s">
        <v>997</v>
      </c>
      <c r="C92" s="2740">
        <f ca="1">ROUND((C87+C90+C91)*D92,0)</f>
        <v>0</v>
      </c>
      <c r="D92" s="2764"/>
      <c r="E92" s="2742" t="s">
        <v>998</v>
      </c>
      <c r="F92" s="2743"/>
      <c r="G92" s="2743"/>
      <c r="H92" s="2744"/>
      <c r="I92" s="895"/>
      <c r="J92" s="2829" t="s">
        <v>999</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1000</v>
      </c>
      <c r="B93" s="601" t="s">
        <v>977</v>
      </c>
      <c r="C93" s="2740">
        <f ca="1">ROUND(D45*D93/(1+'数据-取费表'!C42),0)</f>
        <v>6</v>
      </c>
      <c r="D93" s="2741">
        <f>'数据-取费表'!B43</f>
        <v>0.005</v>
      </c>
      <c r="E93" s="2742" t="s">
        <v>978</v>
      </c>
      <c r="F93" s="2743"/>
      <c r="G93" s="2743"/>
      <c r="H93" s="2744"/>
      <c r="I93" s="895"/>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1001</v>
      </c>
      <c r="B94" s="601" t="s">
        <v>1002</v>
      </c>
      <c r="C94" s="2757">
        <f ca="1">ROUND((C87+C90+C91)*D94,0)</f>
        <v>0</v>
      </c>
      <c r="D94" s="2741">
        <v>0.2</v>
      </c>
      <c r="E94" s="2765" t="s">
        <v>1003</v>
      </c>
      <c r="F94" s="2766"/>
      <c r="G94" s="2766"/>
      <c r="H94" s="2767"/>
      <c r="I94" s="895"/>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25" spans="1:35">
      <c r="A95" s="2665" t="s">
        <v>956</v>
      </c>
      <c r="B95" s="2712" t="s">
        <v>979</v>
      </c>
      <c r="C95" s="2715">
        <f ca="1">ROUND(C85-C86,0)</f>
        <v>1186</v>
      </c>
      <c r="D95" s="601" t="s">
        <v>124</v>
      </c>
      <c r="E95" s="2050"/>
      <c r="F95" s="2051"/>
      <c r="G95" s="2051"/>
      <c r="H95" s="2755"/>
      <c r="I95" s="895"/>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4" spans="1:35">
      <c r="A96" s="2665" t="s">
        <v>959</v>
      </c>
      <c r="B96" s="2712" t="s">
        <v>980</v>
      </c>
      <c r="C96" s="2745">
        <f ca="1">IF(C95&lt;=0,0,C95/C86)</f>
        <v>197.666666666667</v>
      </c>
      <c r="D96" s="601" t="s">
        <v>124</v>
      </c>
      <c r="E96" s="2173" t="str">
        <f ca="1">IF(C96&gt;=200%,"增值额超过扣除项目金额200%",IF(C96&gt;=100%,"增值额超过扣除项目金额100%，未超过200%",IF(C96&gt;=50%,"增值额超过扣除项目金额50%，未超过100%",IF(C96&lt;50%,"增值额未超过扣除项目金额50%"))))</f>
        <v>增值额超过扣除项目金额200%</v>
      </c>
      <c r="F96" s="2051"/>
      <c r="G96" s="2051"/>
      <c r="H96" s="2755"/>
      <c r="I96" s="895"/>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4.75" spans="1:35">
      <c r="A97" s="2716" t="s">
        <v>981</v>
      </c>
      <c r="B97" s="2717" t="s">
        <v>982</v>
      </c>
      <c r="C97" s="2746">
        <f ca="1">ROUND(IF(C95&lt;=0,0,IF(C96&gt;=200%,C95*60%-C86*35%,IF(C96&gt;=100%,C95*50%-C86*15%,IF(C96&gt;=50%,C95*40%-C86*5%,IF(C96&lt;50%,C95*30%,0))))),0)</f>
        <v>710</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895"/>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054"/>
    </row>
    <row r="99" customHeight="1" spans="1:9">
      <c r="A99" s="2609" t="s">
        <v>1004</v>
      </c>
      <c r="B99" s="2508"/>
      <c r="C99" s="2508"/>
      <c r="D99" s="2508"/>
      <c r="E99" s="2659"/>
      <c r="F99" s="2659"/>
      <c r="G99" s="2659"/>
      <c r="H99" s="2607"/>
      <c r="I99" s="1054"/>
    </row>
    <row r="100" ht="18.75" customHeight="1" spans="1:9">
      <c r="A100" s="2769" t="s">
        <v>1005</v>
      </c>
      <c r="B100" s="2770"/>
      <c r="C100" s="2770"/>
      <c r="D100" s="2771"/>
      <c r="E100" s="2770" t="s">
        <v>1006</v>
      </c>
      <c r="F100" s="2770"/>
      <c r="G100" s="2770"/>
      <c r="H100" s="2771"/>
      <c r="I100" s="1054"/>
    </row>
    <row r="101" ht="18.75" customHeight="1" spans="1:9">
      <c r="A101" s="2772" t="s">
        <v>1007</v>
      </c>
      <c r="B101" s="2773"/>
      <c r="C101" s="2774" t="str">
        <f>C4</f>
        <v>比较法-办公</v>
      </c>
      <c r="D101" s="2775" t="str">
        <f>D4</f>
        <v>收益法 (元)</v>
      </c>
      <c r="E101" s="2776" t="s">
        <v>1008</v>
      </c>
      <c r="F101" s="2777"/>
      <c r="G101" s="2778" t="s">
        <v>1009</v>
      </c>
      <c r="H101" s="2779">
        <f ca="1">H118</f>
        <v>1252</v>
      </c>
      <c r="I101" s="1054"/>
    </row>
    <row r="102" ht="18.75" customHeight="1" spans="1:9">
      <c r="A102" s="2780" t="s">
        <v>1010</v>
      </c>
      <c r="B102" s="2781" t="s">
        <v>1009</v>
      </c>
      <c r="C102" s="2774">
        <f ca="1">IF(D32="楼面单价",ROUND(C19,0),C19)</f>
        <v>1482</v>
      </c>
      <c r="D102" s="2775">
        <f ca="1">IF(D32="楼面单价",ROUND(D19,0),D19)</f>
        <v>716</v>
      </c>
      <c r="E102" s="2776"/>
      <c r="F102" s="2777"/>
      <c r="G102" s="2778" t="s">
        <v>99</v>
      </c>
      <c r="H102" s="2645">
        <f ca="1">I118</f>
        <v>33496</v>
      </c>
      <c r="I102" s="1054"/>
    </row>
    <row r="103" ht="42.75" customHeight="1" spans="1:9">
      <c r="A103" s="2780"/>
      <c r="B103" s="2781" t="s">
        <v>99</v>
      </c>
      <c r="C103" s="2782">
        <f ca="1">C20</f>
        <v>39650</v>
      </c>
      <c r="D103" s="2783">
        <f ca="1">D20</f>
        <v>19138</v>
      </c>
      <c r="E103" s="2784" t="s">
        <v>1011</v>
      </c>
      <c r="F103" s="2785"/>
      <c r="G103" s="2786" t="s">
        <v>102</v>
      </c>
      <c r="H103" s="2779">
        <f>IF(D36="正常操作",H104+H105+H106,H105+H106)</f>
        <v>0</v>
      </c>
      <c r="I103" s="1054"/>
    </row>
    <row r="104" ht="18.75" customHeight="1" spans="1:9">
      <c r="A104" s="2780" t="s">
        <v>1012</v>
      </c>
      <c r="B104" s="2787" t="s">
        <v>1009</v>
      </c>
      <c r="C104" s="2788">
        <f ca="1">H118</f>
        <v>1252</v>
      </c>
      <c r="D104" s="2789"/>
      <c r="E104" s="2591" t="s">
        <v>1013</v>
      </c>
      <c r="F104" s="2790"/>
      <c r="G104" s="2786" t="s">
        <v>102</v>
      </c>
      <c r="H104" s="2791">
        <f>IF(D36="同一抵押权人同一抵押物续贷",C36&amp;"（续贷，未扣减，详见特别提示）",C36)</f>
        <v>0</v>
      </c>
      <c r="I104" s="1054"/>
    </row>
    <row r="105" ht="18.75" customHeight="1" spans="1:9">
      <c r="A105" s="2792"/>
      <c r="B105" s="2793" t="s">
        <v>99</v>
      </c>
      <c r="C105" s="2794">
        <f ca="1">I118</f>
        <v>33496</v>
      </c>
      <c r="D105" s="2795"/>
      <c r="E105" s="2591" t="s">
        <v>1014</v>
      </c>
      <c r="F105" s="2790"/>
      <c r="G105" s="2786" t="s">
        <v>102</v>
      </c>
      <c r="H105" s="2796">
        <f>C37</f>
        <v>0</v>
      </c>
      <c r="I105" s="1054"/>
    </row>
    <row r="106" ht="18.75" customHeight="1" spans="1:9">
      <c r="A106" s="2508" t="s">
        <v>1015</v>
      </c>
      <c r="B106" s="2508"/>
      <c r="C106" s="2508"/>
      <c r="D106" s="2508"/>
      <c r="E106" s="2797" t="s">
        <v>1016</v>
      </c>
      <c r="F106" s="2790"/>
      <c r="G106" s="2786" t="s">
        <v>102</v>
      </c>
      <c r="H106" s="2796">
        <f>C38</f>
        <v>0</v>
      </c>
      <c r="I106" s="1054"/>
    </row>
    <row r="107" ht="18.75" customHeight="1" spans="1:9">
      <c r="A107" s="1054"/>
      <c r="B107" s="1054"/>
      <c r="C107" s="1054"/>
      <c r="D107" s="1054"/>
      <c r="E107" s="2798" t="str">
        <f>IF(项目基本情况!E8="已注销","——","3.房地产抵押价值")</f>
        <v>3.房地产抵押价值</v>
      </c>
      <c r="F107" s="2777"/>
      <c r="G107" s="2778" t="s">
        <v>1009</v>
      </c>
      <c r="H107" s="2779">
        <f ca="1">IF(E107="——","——",H101-H103)</f>
        <v>1252</v>
      </c>
      <c r="I107" s="1054"/>
    </row>
    <row r="108" ht="18.75" customHeight="1" spans="1:9">
      <c r="A108" s="1054"/>
      <c r="B108" s="1054"/>
      <c r="C108" s="1054"/>
      <c r="D108" s="1054"/>
      <c r="E108" s="2798"/>
      <c r="F108" s="2777"/>
      <c r="G108" s="2778" t="s">
        <v>99</v>
      </c>
      <c r="H108" s="2645">
        <f ca="1">IF(H107=H101,H102,ROUND(H107*10000/'数据-汇总表'!E3,0))</f>
        <v>33496</v>
      </c>
      <c r="I108" s="1054"/>
    </row>
    <row r="109" ht="18.75" customHeight="1" spans="1:9">
      <c r="A109" s="1054"/>
      <c r="B109" s="1054"/>
      <c r="C109" s="1054"/>
      <c r="D109" s="1054"/>
      <c r="E109" s="2798" t="str">
        <f>IF(项目基本情况!E8="已注销及未注销","4.抵押担保权已注销时的房地产抵押价值",IF(项目基本情况!E8="已注销","3.抵押担保权已注销时的房地产抵押价值","——"))</f>
        <v>——</v>
      </c>
      <c r="F109" s="2777"/>
      <c r="G109" s="2778" t="s">
        <v>1009</v>
      </c>
      <c r="H109" s="2799" t="str">
        <f ca="1">IF(E109="——","——",H101-H105-H106)</f>
        <v>——</v>
      </c>
      <c r="I109" s="1054"/>
    </row>
    <row r="110" ht="18.75" customHeight="1" spans="1:9">
      <c r="A110" s="1054"/>
      <c r="B110" s="1054"/>
      <c r="C110" s="1054"/>
      <c r="D110" s="1054"/>
      <c r="E110" s="2798"/>
      <c r="F110" s="2777"/>
      <c r="G110" s="2778" t="s">
        <v>99</v>
      </c>
      <c r="H110" s="2645" t="str">
        <f ca="1">IF(H109="——","——",ROUND(H109*10000/'数据-汇总表'!E3,0))</f>
        <v>——</v>
      </c>
      <c r="I110" s="1054"/>
    </row>
    <row r="111" ht="18.75" customHeight="1" spans="1:9">
      <c r="A111" s="1054"/>
      <c r="B111" s="1054"/>
      <c r="C111" s="1054"/>
      <c r="D111" s="1054"/>
      <c r="E111" s="2800" t="str">
        <f>IF(项目基本情况!E9="抵押净值",IF(OR(项目基本情况!E8="已注销",项目基本情况!E8="房地产抵押价值"),"4.抵押净值","5.抵押净值"),"——")</f>
        <v>——</v>
      </c>
      <c r="F111" s="2801"/>
      <c r="G111" s="2778" t="s">
        <v>1009</v>
      </c>
      <c r="H111" s="2779" t="str">
        <f ca="1">IF(E111="——","——",N59)</f>
        <v>——</v>
      </c>
      <c r="I111" s="1054"/>
    </row>
    <row r="112" ht="18.75" customHeight="1" spans="1:9">
      <c r="A112" s="1054"/>
      <c r="B112" s="1054"/>
      <c r="C112" s="1054"/>
      <c r="D112" s="1054"/>
      <c r="E112" s="2802"/>
      <c r="F112" s="2803"/>
      <c r="G112" s="2804" t="s">
        <v>99</v>
      </c>
      <c r="H112" s="2805" t="str">
        <f ca="1">IF(E111="——","——",N61)</f>
        <v>——</v>
      </c>
      <c r="I112" s="1054"/>
    </row>
    <row r="113" ht="18.75" customHeight="1" spans="1:9">
      <c r="A113" s="1054"/>
      <c r="B113" s="1054"/>
      <c r="C113" s="1054"/>
      <c r="D113" s="1054"/>
      <c r="E113" s="2806" t="s">
        <v>1015</v>
      </c>
      <c r="F113" s="2806"/>
      <c r="G113" s="2806"/>
      <c r="H113" s="2806"/>
      <c r="I113" s="1054"/>
    </row>
    <row r="114" ht="3.75" customHeight="1" spans="1:9">
      <c r="A114" s="2508"/>
      <c r="B114" s="2508"/>
      <c r="C114" s="2508"/>
      <c r="D114" s="2508"/>
      <c r="E114" s="2658"/>
      <c r="F114" s="2658"/>
      <c r="G114" s="2658"/>
      <c r="H114" s="2658"/>
      <c r="I114" s="2508"/>
    </row>
    <row r="115" ht="18.75" customHeight="1" spans="1:9">
      <c r="A115" s="2807" t="s">
        <v>1017</v>
      </c>
      <c r="B115" s="2808"/>
      <c r="C115" s="2808"/>
      <c r="D115" s="2808"/>
      <c r="E115" s="2808"/>
      <c r="F115" s="2808"/>
      <c r="G115" s="2808"/>
      <c r="H115" s="2808"/>
      <c r="I115" s="2830"/>
    </row>
    <row r="116" ht="27" customHeight="1" spans="1:9">
      <c r="A116" s="2521" t="s">
        <v>1018</v>
      </c>
      <c r="B116" s="2809" t="s">
        <v>1019</v>
      </c>
      <c r="C116" s="2809" t="s">
        <v>1020</v>
      </c>
      <c r="D116" s="2810" t="s">
        <v>1021</v>
      </c>
      <c r="E116" s="2811"/>
      <c r="F116" s="2812" t="s">
        <v>1022</v>
      </c>
      <c r="G116" s="2812"/>
      <c r="H116" s="2521" t="s">
        <v>1023</v>
      </c>
      <c r="I116" s="2521"/>
    </row>
    <row r="117" ht="18.75" customHeight="1" spans="1:9">
      <c r="A117" s="2521"/>
      <c r="B117" s="2813"/>
      <c r="C117" s="2813"/>
      <c r="D117" s="2521" t="s">
        <v>1024</v>
      </c>
      <c r="E117" s="2521" t="s">
        <v>852</v>
      </c>
      <c r="F117" s="2521" t="s">
        <v>1024</v>
      </c>
      <c r="G117" s="2521" t="s">
        <v>852</v>
      </c>
      <c r="H117" s="2521" t="s">
        <v>1024</v>
      </c>
      <c r="I117" s="2521" t="s">
        <v>852</v>
      </c>
    </row>
    <row r="118" ht="24.75" customHeight="1" spans="1:9">
      <c r="A118" s="2814" t="str">
        <f>项目基本情况!S2</f>
        <v>北京市房地产</v>
      </c>
      <c r="B118" s="2521">
        <f>M18</f>
        <v>373.87</v>
      </c>
      <c r="C118" s="2521">
        <f>M19</f>
        <v>0</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1252</v>
      </c>
      <c r="I118" s="2521">
        <f ca="1">ROUND(IF(D32="楼面单价",C32,H118*10000/B118),0)</f>
        <v>33496</v>
      </c>
    </row>
    <row r="119" ht="18.75" customHeight="1" spans="1:9">
      <c r="A119" s="2521" t="s">
        <v>1025</v>
      </c>
      <c r="B119" s="2521"/>
      <c r="C119" s="2521"/>
      <c r="D119" s="2815" t="e">
        <f ca="1">NUMBERSTRING(INT(D118*10000),2)&amp;"元整"</f>
        <v>#REF!</v>
      </c>
      <c r="E119" s="2816"/>
      <c r="F119" s="2815" t="e">
        <f ca="1">NUMBERSTRING(INT(F118*10000),2)&amp;"元整"</f>
        <v>#REF!</v>
      </c>
      <c r="G119" s="2816"/>
      <c r="H119" s="2815" t="str">
        <f ca="1">NUMBERSTRING(INT(H118*10000),2)&amp;"元整"</f>
        <v>壹仟贰佰伍拾贰万元整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1025</v>
      </c>
      <c r="B121" s="2820"/>
      <c r="C121" s="2816"/>
      <c r="D121" s="2815" t="str">
        <f>IF(D120=0,"零元整",NUMBERSTRING(INT(D120*10000),2)&amp;"元整")</f>
        <v>零元整</v>
      </c>
      <c r="E121" s="2820"/>
      <c r="F121" s="2820"/>
      <c r="G121" s="2820"/>
      <c r="H121" s="2820"/>
      <c r="I121" s="2816"/>
      <c r="AA121" s="1010"/>
    </row>
    <row r="122" ht="18.75" customHeight="1" spans="1:27">
      <c r="A122" s="2801" t="str">
        <f>IF(项目基本情况!B9="房地产市场价值","",MID(E107,3,LEN(E107)-2))</f>
        <v>房地产抵押价值</v>
      </c>
      <c r="B122" s="2801"/>
      <c r="C122" s="2801"/>
      <c r="D122" s="2817">
        <f ca="1">H107</f>
        <v>1252</v>
      </c>
      <c r="E122" s="2818"/>
      <c r="F122" s="2818"/>
      <c r="G122" s="2818"/>
      <c r="H122" s="2818"/>
      <c r="I122" s="2819"/>
      <c r="AA122" s="1010"/>
    </row>
    <row r="123" ht="18.75" customHeight="1" spans="1:27">
      <c r="A123" s="2521" t="s">
        <v>1025</v>
      </c>
      <c r="B123" s="2521"/>
      <c r="C123" s="2521"/>
      <c r="D123" s="2815" t="str">
        <f ca="1">NUMBERSTRING(INT(D122*10000),2)&amp;"元整"</f>
        <v>壹仟贰佰伍拾贰万元整</v>
      </c>
      <c r="E123" s="2820"/>
      <c r="F123" s="2820"/>
      <c r="G123" s="2820"/>
      <c r="H123" s="2820"/>
      <c r="I123" s="2816"/>
      <c r="AA123" s="1010"/>
    </row>
    <row r="124" ht="18.75" customHeight="1" spans="1:27">
      <c r="A124" s="2801" t="str">
        <f>IF(项目基本情况!B9="房地产市场价值","",MID(E109,3,LEN(E109)-2))</f>
        <v/>
      </c>
      <c r="B124" s="2801"/>
      <c r="C124" s="2801"/>
      <c r="D124" s="2817" t="str">
        <f ca="1">H109</f>
        <v>——</v>
      </c>
      <c r="E124" s="2818"/>
      <c r="F124" s="2818"/>
      <c r="G124" s="2818"/>
      <c r="H124" s="2818"/>
      <c r="I124" s="2819"/>
      <c r="AA124" s="1010"/>
    </row>
    <row r="125" ht="18.75" customHeight="1" spans="1:27">
      <c r="A125" s="2521" t="s">
        <v>1025</v>
      </c>
      <c r="B125" s="2521"/>
      <c r="C125" s="2521"/>
      <c r="D125" s="2815" t="e">
        <f ca="1">NUMBERSTRING(INT(D124*10000),2)&amp;"元整"</f>
        <v>#VALUE!</v>
      </c>
      <c r="E125" s="2820"/>
      <c r="F125" s="2820"/>
      <c r="G125" s="2820"/>
      <c r="H125" s="2820"/>
      <c r="I125" s="2816"/>
      <c r="AA125" s="1010"/>
    </row>
    <row r="126" ht="18.75" customHeight="1" spans="1:27">
      <c r="A126" s="2801" t="str">
        <f>IF(项目基本情况!B9="房地产市场价值","",MID(E111,3,LEN(E111)-2))</f>
        <v/>
      </c>
      <c r="B126" s="2801"/>
      <c r="C126" s="2801"/>
      <c r="D126" s="2817" t="str">
        <f ca="1">H111</f>
        <v>——</v>
      </c>
      <c r="E126" s="2818"/>
      <c r="F126" s="2818"/>
      <c r="G126" s="2818"/>
      <c r="H126" s="2818"/>
      <c r="I126" s="2819"/>
      <c r="AA126" s="1010"/>
    </row>
    <row r="127" ht="18.75" customHeight="1" spans="1:27">
      <c r="A127" s="2521" t="s">
        <v>1025</v>
      </c>
      <c r="B127" s="2521"/>
      <c r="C127" s="2521"/>
      <c r="D127" s="2815" t="e">
        <f ca="1">NUMBERSTRING(INT(D126*10000),2)&amp;"元整"</f>
        <v>#VALUE!</v>
      </c>
      <c r="E127" s="2820"/>
      <c r="F127" s="2820"/>
      <c r="G127" s="2820"/>
      <c r="H127" s="2820"/>
      <c r="I127" s="2816"/>
      <c r="AA127" s="1010"/>
    </row>
    <row r="128" customHeight="1" spans="1:27">
      <c r="A128" s="2138" t="s">
        <v>113</v>
      </c>
      <c r="B128" s="2138"/>
      <c r="C128" s="2138"/>
      <c r="D128" s="2138"/>
      <c r="E128" s="2138"/>
      <c r="F128" s="2138"/>
      <c r="G128" s="2138"/>
      <c r="H128" s="2138"/>
      <c r="I128" s="2138"/>
      <c r="AA128" s="1010"/>
    </row>
    <row r="129" customHeight="1" spans="1:27">
      <c r="A129" s="2832" t="s">
        <v>1026</v>
      </c>
      <c r="B129" s="2833"/>
      <c r="C129" s="2834" t="s">
        <v>1027</v>
      </c>
      <c r="D129" s="2835"/>
      <c r="E129" s="2835"/>
      <c r="F129" s="2835"/>
      <c r="G129" s="2835"/>
      <c r="H129" s="2836"/>
      <c r="I129" s="2851"/>
      <c r="AA129" s="1010"/>
    </row>
    <row r="130" customHeight="1" spans="1:27">
      <c r="A130" s="2837">
        <v>1</v>
      </c>
      <c r="B130" s="2838"/>
      <c r="C130" s="2838"/>
      <c r="D130" s="2839"/>
      <c r="E130" s="2839"/>
      <c r="F130" s="2839"/>
      <c r="G130" s="2839"/>
      <c r="H130" s="2840"/>
      <c r="I130" s="2852"/>
      <c r="AA130" s="1010"/>
    </row>
    <row r="131" customHeight="1" spans="1:27">
      <c r="A131" s="2837">
        <v>2</v>
      </c>
      <c r="B131" s="2838"/>
      <c r="C131" s="2838"/>
      <c r="D131" s="2839"/>
      <c r="E131" s="2839"/>
      <c r="F131" s="2839"/>
      <c r="G131" s="2839"/>
      <c r="H131" s="2840"/>
      <c r="I131" s="2852"/>
      <c r="AA131" s="1010"/>
    </row>
    <row r="132" customHeight="1" spans="1:27">
      <c r="A132" s="2837">
        <v>3</v>
      </c>
      <c r="B132" s="2838"/>
      <c r="C132" s="2838"/>
      <c r="D132" s="2839"/>
      <c r="E132" s="2839"/>
      <c r="F132" s="2839"/>
      <c r="G132" s="2839"/>
      <c r="H132" s="2840"/>
      <c r="I132" s="2852"/>
      <c r="AA132" s="1010"/>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1010"/>
    </row>
    <row r="135" customHeight="1" spans="1:9">
      <c r="A135" s="1010"/>
      <c r="B135" s="1010"/>
      <c r="C135" s="1010"/>
      <c r="D135" s="1010"/>
      <c r="E135" s="1010"/>
      <c r="F135" s="2845" t="s">
        <v>1028</v>
      </c>
      <c r="G135" s="2846"/>
      <c r="H135" s="2846"/>
      <c r="I135" s="2854" t="s">
        <v>1029</v>
      </c>
    </row>
    <row r="136" customHeight="1" spans="1:9">
      <c r="A136" s="1010"/>
      <c r="B136" s="2847"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6"/>
      <c r="C138" s="2846"/>
      <c r="D138" s="2846"/>
      <c r="E138" s="2846"/>
      <c r="F138" s="2846"/>
      <c r="G138" s="2846"/>
      <c r="H138" s="2846"/>
      <c r="I138" s="2854" t="s">
        <v>1031</v>
      </c>
    </row>
    <row r="139" customHeight="1" spans="1:9">
      <c r="A139" s="1010"/>
      <c r="B139" s="2847" t="s">
        <v>1032</v>
      </c>
      <c r="C139" s="1010"/>
      <c r="D139" s="1010"/>
      <c r="E139" s="1010"/>
      <c r="F139" s="1010"/>
      <c r="G139" s="1010"/>
      <c r="H139" s="1010"/>
      <c r="I139" s="1010"/>
    </row>
    <row r="140" customHeight="1" spans="1:9">
      <c r="A140" s="1010"/>
      <c r="B140" s="2847"/>
      <c r="C140" s="1010"/>
      <c r="D140" s="1010"/>
      <c r="E140" s="1010"/>
      <c r="F140" s="1010"/>
      <c r="G140" s="1010"/>
      <c r="H140" s="1010"/>
      <c r="I140" s="1010"/>
    </row>
    <row r="141" customHeight="1" spans="1:9">
      <c r="A141" s="1010"/>
      <c r="B141" s="2846"/>
      <c r="C141" s="2846"/>
      <c r="D141" s="2846"/>
      <c r="E141" s="2846"/>
      <c r="F141" s="2846"/>
      <c r="G141" s="2846"/>
      <c r="H141" s="2846"/>
      <c r="I141" s="2854" t="s">
        <v>1031</v>
      </c>
    </row>
    <row r="142" customHeight="1" spans="1:9">
      <c r="A142" s="1010"/>
      <c r="B142" s="2847"/>
      <c r="C142" s="2848"/>
      <c r="D142" s="2849"/>
      <c r="E142" s="2849"/>
      <c r="F142" s="2850"/>
      <c r="G142" s="1010"/>
      <c r="H142" s="1010"/>
      <c r="I142" s="1010"/>
    </row>
    <row r="143" s="1007" customFormat="1" customHeight="1" spans="1:35">
      <c r="A143" s="1010"/>
      <c r="B143" s="2847"/>
      <c r="C143" s="2848"/>
      <c r="D143" s="2849"/>
      <c r="E143" s="2849"/>
      <c r="F143" s="285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87"/>
      <c r="C1" s="400"/>
      <c r="D1" s="400"/>
      <c r="E1" s="400"/>
      <c r="F1" s="400"/>
      <c r="G1" s="2489">
        <f>MATCH(B1,'数据-取费表'!A6:A16,0)+5</f>
        <v>7</v>
      </c>
    </row>
    <row r="2" s="390" customFormat="1" ht="18" customHeight="1" spans="1:7">
      <c r="A2" s="402" t="s">
        <v>1034</v>
      </c>
      <c r="B2" s="403">
        <f ca="1">IF(D2="——",C52,C52-E2)</f>
        <v>212</v>
      </c>
      <c r="C2" s="401" t="s">
        <v>1035</v>
      </c>
      <c r="D2" s="2491" t="s">
        <v>124</v>
      </c>
      <c r="E2" s="2492" t="e">
        <f ca="1">SUMIF(INDIRECT("'"&amp;G2&amp;"'"&amp;"!A:A"),"承租人权益价值",INDIRECT("'"&amp;G2&amp;"'"&amp;"!c:c"))</f>
        <v>#REF!</v>
      </c>
      <c r="F2" s="2493" t="s">
        <v>1035</v>
      </c>
      <c r="G2" s="2494"/>
    </row>
    <row r="3" s="390" customFormat="1" ht="18" customHeight="1" spans="1:7">
      <c r="A3" s="405" t="s">
        <v>1036</v>
      </c>
      <c r="B3" s="406">
        <f ca="1">ROUND(B2*10000/(IF(B1="",'数据-汇总表'!E3,INDIRECT("'数据-取费表'!k"&amp;$G$1))),0)</f>
        <v>5670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95"/>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499"/>
      <c r="H9" s="2500"/>
      <c r="I9" s="2501" t="s">
        <v>1051</v>
      </c>
    </row>
    <row r="10" s="392" customFormat="1" ht="13.5" customHeight="1" spans="1:7">
      <c r="A10" s="425" t="s">
        <v>1052</v>
      </c>
      <c r="B10" s="426" t="s">
        <v>1053</v>
      </c>
      <c r="C10" s="427">
        <f ca="1">ROUND(D10*E10/10000,0)</f>
        <v>7</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373.87</v>
      </c>
      <c r="E19" s="412">
        <f>'数据-取费表'!B31</f>
        <v>200</v>
      </c>
      <c r="F19" s="437"/>
      <c r="G19" s="2495"/>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1</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9</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186</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168</v>
      </c>
      <c r="D34" s="418"/>
      <c r="E34" s="421"/>
      <c r="F34" s="467">
        <f ca="1">IF('数据-取费表'!B24=0,1,IF(B1="",'数据-取费表'!N16,INDIRECT("'数据-取费表'!n"&amp;$G$1)))</f>
        <v>1</v>
      </c>
      <c r="G34" s="420" t="s">
        <v>1102</v>
      </c>
    </row>
    <row r="35" ht="13.5" customHeight="1" spans="1:7">
      <c r="A35" s="446" t="s">
        <v>1045</v>
      </c>
      <c r="B35" s="416" t="s">
        <v>1103</v>
      </c>
      <c r="C35" s="421">
        <f ca="1">ROUND(C34*F35,0)</f>
        <v>8</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7</v>
      </c>
      <c r="D37" s="418">
        <f ca="1">D19</f>
        <v>373.87</v>
      </c>
      <c r="E37" s="459">
        <f>'数据-取费表'!B35</f>
        <v>200</v>
      </c>
      <c r="F37" s="468"/>
      <c r="G37" s="470" t="s">
        <v>1108</v>
      </c>
    </row>
    <row r="38" ht="13.5" customHeight="1" spans="1:7">
      <c r="A38" s="446" t="s">
        <v>1109</v>
      </c>
      <c r="B38" s="416" t="s">
        <v>975</v>
      </c>
      <c r="C38" s="421">
        <f ca="1">ROUND(C34*F38,0)</f>
        <v>3</v>
      </c>
      <c r="D38" s="421"/>
      <c r="E38" s="421"/>
      <c r="F38" s="468">
        <f>'数据-取费表'!B36</f>
        <v>0.02</v>
      </c>
      <c r="G38" s="420" t="s">
        <v>1104</v>
      </c>
    </row>
    <row r="39" s="392" customFormat="1" ht="13.5" customHeight="1" spans="1:7">
      <c r="A39" s="410" t="s">
        <v>1070</v>
      </c>
      <c r="B39" s="411" t="s">
        <v>1073</v>
      </c>
      <c r="C39" s="438">
        <f ca="1">ROUND(C33*F20,0)</f>
        <v>4</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6</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6</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29</v>
      </c>
      <c r="D45" s="441">
        <f ca="1">C47</f>
        <v>0.003</v>
      </c>
      <c r="E45" s="442" t="s">
        <v>1111</v>
      </c>
      <c r="F45" s="456">
        <f ca="1">F27</f>
        <v>0.15</v>
      </c>
      <c r="G45" s="457" t="s">
        <v>1114</v>
      </c>
    </row>
    <row r="46" s="392" customFormat="1" ht="13.5" customHeight="1" spans="1:7">
      <c r="A46" s="446" t="s">
        <v>1043</v>
      </c>
      <c r="B46" s="458" t="s">
        <v>1115</v>
      </c>
      <c r="C46" s="459">
        <f ca="1">ROUND((C33+C39)*F27,0)</f>
        <v>29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98">
        <f>ROUND(F30/(1+'数据-取费表'!C42),4)</f>
        <v>0.0524</v>
      </c>
      <c r="D48" s="442" t="s">
        <v>1111</v>
      </c>
      <c r="E48" s="438"/>
      <c r="F48" s="445">
        <f>F30</f>
        <v>0.055</v>
      </c>
      <c r="G48" s="443" t="s">
        <v>1117</v>
      </c>
    </row>
    <row r="49" ht="16.5" customHeight="1" spans="1:7">
      <c r="A49" s="410" t="s">
        <v>1094</v>
      </c>
      <c r="B49" s="411" t="s">
        <v>1118</v>
      </c>
      <c r="C49" s="438">
        <f ca="1">ROUND((C33+C39+C41+C45)/(1-C40-D41-D45-C48),0)</f>
        <v>244</v>
      </c>
      <c r="D49" s="438"/>
      <c r="E49" s="438"/>
      <c r="F49" s="476"/>
      <c r="G49" s="443" t="s">
        <v>1119</v>
      </c>
    </row>
    <row r="50" s="394" customFormat="1" ht="24" spans="1:7">
      <c r="A50" s="410" t="s">
        <v>1120</v>
      </c>
      <c r="B50" s="411" t="s">
        <v>1121</v>
      </c>
      <c r="C50" s="438"/>
      <c r="D50" s="438"/>
      <c r="E50" s="438"/>
      <c r="F50" s="476">
        <f>IF('数据-取费表'!B24=0,'数据-取费表'!N16,1)</f>
        <v>0.83</v>
      </c>
      <c r="G50" s="457" t="s">
        <v>1122</v>
      </c>
    </row>
    <row r="51" ht="16.5" customHeight="1" spans="1:7">
      <c r="A51" s="410" t="s">
        <v>1123</v>
      </c>
      <c r="B51" s="411" t="s">
        <v>1124</v>
      </c>
      <c r="C51" s="438">
        <f ca="1">ROUND(C49*F50,0)</f>
        <v>203</v>
      </c>
      <c r="D51" s="438"/>
      <c r="E51" s="438"/>
      <c r="F51" s="476"/>
      <c r="G51" s="443" t="s">
        <v>1125</v>
      </c>
    </row>
    <row r="52" s="391" customFormat="1" ht="16.5" spans="1:7">
      <c r="A52" s="477" t="s">
        <v>1126</v>
      </c>
      <c r="B52" s="478"/>
      <c r="C52" s="479">
        <f ca="1">C31+C51</f>
        <v>212</v>
      </c>
      <c r="D52" s="478"/>
      <c r="E52" s="478"/>
      <c r="F52" s="478"/>
      <c r="G52" s="480"/>
    </row>
    <row r="55" ht="15" spans="2:3">
      <c r="B55" s="481" t="s">
        <v>1127</v>
      </c>
      <c r="C55" s="482"/>
    </row>
    <row r="56" spans="2:3">
      <c r="B56" s="483" t="s">
        <v>1128</v>
      </c>
      <c r="C56" s="485">
        <f ca="1">1-C57</f>
        <v>0.042</v>
      </c>
    </row>
    <row r="57" spans="2:3">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2.7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87"/>
      <c r="C1" s="2488" t="s">
        <v>1130</v>
      </c>
      <c r="D1" s="400"/>
      <c r="E1" s="400"/>
      <c r="F1" s="400"/>
      <c r="G1" s="2489">
        <f>MATCH(B1,'数据-取费表'!A6:A16,0)+5</f>
        <v>7</v>
      </c>
      <c r="H1" s="2337" t="str">
        <f>IF(ISERROR(FIND("住宅",B1)),"非住宅","住宅")</f>
        <v>非住宅</v>
      </c>
    </row>
    <row r="2" s="390" customFormat="1" ht="18" customHeight="1" spans="1:7">
      <c r="A2" s="402" t="s">
        <v>1034</v>
      </c>
      <c r="B2" s="2490">
        <f ca="1">ROUND(IF(D2="——",C52/10000,C52/10000-E2),4)</f>
        <v>222.9595</v>
      </c>
      <c r="C2" s="401" t="s">
        <v>1035</v>
      </c>
      <c r="D2" s="2491" t="s">
        <v>124</v>
      </c>
      <c r="E2" s="2492" t="e">
        <f ca="1">SUMIF(INDIRECT("'"&amp;G2&amp;"'"&amp;"!A:A"),"承租人权益价值",INDIRECT("'"&amp;G2&amp;"'"&amp;"!c:c"))</f>
        <v>#REF!</v>
      </c>
      <c r="F2" s="2493" t="s">
        <v>1035</v>
      </c>
      <c r="G2" s="2494"/>
    </row>
    <row r="3" s="390" customFormat="1" ht="18" customHeight="1" spans="1:7">
      <c r="A3" s="405" t="s">
        <v>1036</v>
      </c>
      <c r="B3" s="406">
        <f ca="1">ROUND(B2*10000/(IF(B1="",'数据-汇总表'!E3,INDIRECT("'数据-取费表'!k"&amp;$G$1))),0)</f>
        <v>5964</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74774</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IF(G8="已包含在土地购买价格中",0,C9+C10)</f>
        <v>74774</v>
      </c>
      <c r="D8" s="423"/>
      <c r="E8" s="421"/>
      <c r="F8" s="422"/>
      <c r="G8" s="2495"/>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74774</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74774</v>
      </c>
      <c r="D19" s="436">
        <f ca="1">D9+D10</f>
        <v>373.87</v>
      </c>
      <c r="E19" s="412">
        <f>'数据-取费表'!B31</f>
        <v>200</v>
      </c>
      <c r="F19" s="437"/>
      <c r="G19" s="2495"/>
    </row>
    <row r="20" s="392" customFormat="1" ht="13.5" customHeight="1" spans="1:7">
      <c r="A20" s="410" t="s">
        <v>1072</v>
      </c>
      <c r="B20" s="411" t="s">
        <v>1073</v>
      </c>
      <c r="C20" s="438">
        <f ca="1">ROUND((C5+C19)*F20,0)</f>
        <v>2991</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6">
        <f ca="1">ROUND(SUM(C23:C25),0)</f>
        <v>9602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497">
        <f ca="1">ROUND(IF('数据-取费表'!B22&lt;=1,C5*F22*'数据-取费表'!B22,C5*(POWER((1+F22),'数据-取费表'!B22)-1)),0)</f>
        <v>4754</v>
      </c>
      <c r="D23" s="448"/>
      <c r="E23" s="448"/>
      <c r="F23" s="449"/>
      <c r="G23" s="450" t="s">
        <v>1082</v>
      </c>
    </row>
    <row r="24" s="392" customFormat="1" ht="13.5" customHeight="1" spans="1:7">
      <c r="A24" s="446" t="s">
        <v>1045</v>
      </c>
      <c r="B24" s="416" t="s">
        <v>1083</v>
      </c>
      <c r="C24" s="2497">
        <f ca="1">ROUND(IF('数据-取费表'!B22&lt;=1,C19*F22*('数据-取费表'!B19/2+'数据-取费表'!B20),C19*(POWER((1+F22),('数据-取费表'!B19/2+'数据-取费表'!B20))-1)),0)</f>
        <v>4754</v>
      </c>
      <c r="D24" s="448"/>
      <c r="E24" s="448"/>
      <c r="F24" s="449"/>
      <c r="G24" s="450" t="s">
        <v>1084</v>
      </c>
    </row>
    <row r="25" s="392" customFormat="1" ht="24" spans="1:7">
      <c r="A25" s="446" t="s">
        <v>1047</v>
      </c>
      <c r="B25" s="416" t="s">
        <v>1085</v>
      </c>
      <c r="C25" s="2497">
        <f ca="1">ROUND(IF('数据-取费表'!B22&lt;=1,C20*F22*'数据-取费表'!B22/2,C20*(POWER((1+F22),'数据-取费表'!B22/2)-1)),0)</f>
        <v>94</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22881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22881</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200240</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1874958</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1682415</v>
      </c>
      <c r="D34" s="418"/>
      <c r="E34" s="421"/>
      <c r="F34" s="467"/>
      <c r="G34" s="420"/>
    </row>
    <row r="35" ht="13.5" customHeight="1" spans="1:7">
      <c r="A35" s="446" t="s">
        <v>1045</v>
      </c>
      <c r="B35" s="416" t="s">
        <v>1103</v>
      </c>
      <c r="C35" s="421">
        <f ca="1">ROUND(C34*F35,0)</f>
        <v>84121</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74774</v>
      </c>
      <c r="D37" s="418">
        <f ca="1">D19</f>
        <v>373.87</v>
      </c>
      <c r="E37" s="459">
        <f>'数据-取费表'!B35</f>
        <v>200</v>
      </c>
      <c r="F37" s="468"/>
      <c r="G37" s="470"/>
    </row>
    <row r="38" ht="13.5" customHeight="1" spans="1:7">
      <c r="A38" s="446" t="s">
        <v>1109</v>
      </c>
      <c r="B38" s="416" t="s">
        <v>975</v>
      </c>
      <c r="C38" s="421">
        <f ca="1">ROUND(C34*F38,0)</f>
        <v>33648</v>
      </c>
      <c r="D38" s="421"/>
      <c r="E38" s="421"/>
      <c r="F38" s="468">
        <f>'数据-取费表'!B36</f>
        <v>0.02</v>
      </c>
      <c r="G38" s="420" t="s">
        <v>1104</v>
      </c>
    </row>
    <row r="39" s="392" customFormat="1" ht="13.5" customHeight="1" spans="1:7">
      <c r="A39" s="410" t="s">
        <v>1070</v>
      </c>
      <c r="B39" s="411" t="s">
        <v>1073</v>
      </c>
      <c r="C39" s="438">
        <f ca="1">ROUND(C33*F20,0)</f>
        <v>37499</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59860</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58686</v>
      </c>
      <c r="D42" s="448"/>
      <c r="E42" s="448"/>
      <c r="F42" s="449"/>
      <c r="G42" s="472" t="s">
        <v>1133</v>
      </c>
    </row>
    <row r="43" ht="13.5" customHeight="1" spans="1:7">
      <c r="A43" s="446" t="s">
        <v>1045</v>
      </c>
      <c r="B43" s="416" t="s">
        <v>1083</v>
      </c>
      <c r="C43" s="448">
        <f ca="1">ROUND(IF('数据-取费表'!B22&lt;=1,C39*F22*'数据-取费表'!B20/2,C39*(POWER((1+F22),'数据-取费表'!B20/2)-1)),0)</f>
        <v>1174</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286869</v>
      </c>
      <c r="D45" s="441">
        <f ca="1">C47</f>
        <v>0.003</v>
      </c>
      <c r="E45" s="442" t="s">
        <v>1111</v>
      </c>
      <c r="F45" s="456">
        <f ca="1">F27</f>
        <v>0.15</v>
      </c>
      <c r="G45" s="457" t="s">
        <v>1114</v>
      </c>
    </row>
    <row r="46" s="392" customFormat="1" ht="13.5" customHeight="1" spans="1:7">
      <c r="A46" s="446" t="s">
        <v>1043</v>
      </c>
      <c r="B46" s="458" t="s">
        <v>1115</v>
      </c>
      <c r="C46" s="459">
        <f ca="1">ROUND((C33+C39)*F27,0)</f>
        <v>286869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2445006</v>
      </c>
      <c r="D49" s="438"/>
      <c r="E49" s="438"/>
      <c r="F49" s="476"/>
      <c r="G49" s="443" t="s">
        <v>1119</v>
      </c>
    </row>
    <row r="50" s="394" customFormat="1" spans="1:7">
      <c r="A50" s="410" t="s">
        <v>1120</v>
      </c>
      <c r="B50" s="411" t="s">
        <v>1121</v>
      </c>
      <c r="C50" s="438"/>
      <c r="D50" s="438"/>
      <c r="E50" s="438"/>
      <c r="F50" s="476">
        <f>IF('数据-取费表'!B24=0,'数据-取费表'!N16,1)</f>
        <v>0.83</v>
      </c>
      <c r="G50" s="457"/>
    </row>
    <row r="51" ht="16.5" customHeight="1" spans="1:7">
      <c r="A51" s="410" t="s">
        <v>1123</v>
      </c>
      <c r="B51" s="411" t="s">
        <v>1135</v>
      </c>
      <c r="C51" s="438">
        <f ca="1">ROUND(C49*F50,0)</f>
        <v>2029355</v>
      </c>
      <c r="D51" s="438"/>
      <c r="E51" s="438"/>
      <c r="F51" s="476"/>
      <c r="G51" s="443" t="s">
        <v>1125</v>
      </c>
    </row>
    <row r="52" s="391" customFormat="1" ht="16.5" spans="1:7">
      <c r="A52" s="477" t="s">
        <v>1126</v>
      </c>
      <c r="B52" s="478"/>
      <c r="C52" s="479">
        <f ca="1">C31+C51</f>
        <v>2229595</v>
      </c>
      <c r="D52" s="478"/>
      <c r="E52" s="478"/>
      <c r="F52" s="478"/>
      <c r="G52" s="480"/>
    </row>
    <row r="55" ht="15" spans="2:3">
      <c r="B55" s="481" t="s">
        <v>1127</v>
      </c>
      <c r="C55" s="482"/>
    </row>
    <row r="56" spans="2:3">
      <c r="B56" s="483" t="s">
        <v>1128</v>
      </c>
      <c r="C56" s="485">
        <f ca="1">1-C57</f>
        <v>0.09</v>
      </c>
    </row>
    <row r="57" spans="2:3">
      <c r="B57" s="483" t="s">
        <v>1129</v>
      </c>
      <c r="C57" s="484">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1" customWidth="1"/>
    <col min="3" max="3" width="10.375" style="2402" customWidth="1"/>
    <col min="4" max="4" width="9.875" style="2401" customWidth="1"/>
    <col min="5" max="5" width="9.5" style="1107"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ht="20.25" spans="1:11">
      <c r="A1" s="398" t="s">
        <v>1136</v>
      </c>
      <c r="B1" s="2096"/>
      <c r="C1" s="2403"/>
      <c r="D1" s="2404"/>
      <c r="E1" s="2405"/>
      <c r="F1" s="2405"/>
      <c r="G1" s="2406"/>
      <c r="H1" s="2405"/>
      <c r="I1" s="2405"/>
      <c r="J1" s="2405"/>
      <c r="K1" s="2474">
        <f>MATCH(C1,'数据-取费表'!A6:A16,0)+5</f>
        <v>7</v>
      </c>
    </row>
    <row r="2" ht="18" customHeight="1" spans="1:11">
      <c r="A2" s="402" t="s">
        <v>1034</v>
      </c>
      <c r="B2" s="406">
        <f ca="1">C32</f>
        <v>-8</v>
      </c>
      <c r="C2" s="2407" t="s">
        <v>1137</v>
      </c>
      <c r="D2" s="2407"/>
      <c r="E2" s="2405"/>
      <c r="F2" s="2405"/>
      <c r="G2" s="2405"/>
      <c r="H2" s="2405"/>
      <c r="I2" s="2405"/>
      <c r="J2" s="2405"/>
      <c r="K2" s="2405"/>
    </row>
    <row r="3" ht="18" customHeight="1" spans="1:11">
      <c r="A3" s="405" t="s">
        <v>1036</v>
      </c>
      <c r="B3" s="406">
        <f ca="1">ROUND(B2*10000/IF(C1="",'数据-汇总表'!E3,INDIRECT("'数据-取费表'!K"&amp;$K$1)),0)</f>
        <v>-214</v>
      </c>
      <c r="C3" s="2407" t="s">
        <v>1138</v>
      </c>
      <c r="D3" s="2407"/>
      <c r="E3" s="2405"/>
      <c r="F3" s="2405"/>
      <c r="G3" s="2405"/>
      <c r="H3" s="2405"/>
      <c r="I3" s="2405"/>
      <c r="J3" s="2405"/>
      <c r="K3" s="2405"/>
    </row>
    <row r="4" s="2392" customFormat="1" ht="16.5" customHeight="1" spans="1:11">
      <c r="A4" s="2408" t="s">
        <v>1139</v>
      </c>
      <c r="B4" s="2409"/>
      <c r="C4" s="2410">
        <f>SUM(C8:K8)</f>
        <v>0</v>
      </c>
      <c r="D4" s="2409"/>
      <c r="E4" s="2409"/>
      <c r="F4" s="2409"/>
      <c r="G4" s="2409"/>
      <c r="H4" s="2409"/>
      <c r="I4" s="2409"/>
      <c r="J4" s="2409"/>
      <c r="K4" s="2475"/>
    </row>
    <row r="5" s="2393" customFormat="1" ht="15" spans="1:33">
      <c r="A5" s="2411" t="s">
        <v>1140</v>
      </c>
      <c r="B5" s="2412" t="s">
        <v>1141</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944</v>
      </c>
      <c r="B6" s="2059" t="s">
        <v>1142</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948</v>
      </c>
      <c r="B7" s="2059" t="s">
        <v>505</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993</v>
      </c>
      <c r="B8" s="2418" t="s">
        <v>1143</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1144</v>
      </c>
      <c r="B9" s="2409"/>
      <c r="C9" s="2409"/>
      <c r="D9" s="2409"/>
      <c r="E9" s="2409"/>
      <c r="F9" s="2409"/>
      <c r="G9" s="2409"/>
      <c r="H9" s="2409"/>
      <c r="I9" s="2409"/>
      <c r="J9" s="2409"/>
      <c r="K9" s="2475"/>
    </row>
    <row r="10" s="2395" customFormat="1" ht="13.5" customHeight="1" spans="1:11">
      <c r="A10" s="2411" t="s">
        <v>1140</v>
      </c>
      <c r="B10" s="2421" t="s">
        <v>1141</v>
      </c>
      <c r="C10" s="2422" t="s">
        <v>1145</v>
      </c>
      <c r="D10" s="2423" t="s">
        <v>1146</v>
      </c>
      <c r="E10" s="2423" t="s">
        <v>1147</v>
      </c>
      <c r="F10" s="2423" t="s">
        <v>1148</v>
      </c>
      <c r="G10" s="2421"/>
      <c r="H10" s="2424"/>
      <c r="I10" s="2424"/>
      <c r="J10" s="2424"/>
      <c r="K10" s="2481"/>
    </row>
    <row r="11" s="2396" customFormat="1" ht="13.5" customHeight="1" spans="1:11">
      <c r="A11" s="2425" t="s">
        <v>1049</v>
      </c>
      <c r="B11" s="2426" t="s">
        <v>1149</v>
      </c>
      <c r="C11" s="2427">
        <f ca="1">IF(C1="",'数据-取费表'!P16,INDIRECT("'数据-取费表'!p"&amp;$K$1)+INDIRECT("'数据-取费表'!ar"&amp;$K$1))</f>
        <v>0</v>
      </c>
      <c r="D11" s="2428"/>
      <c r="E11" s="2062"/>
      <c r="F11" s="2429">
        <f ca="1">1-IF('数据-取费表'!B24=0,1,IF(C1="",'数据-取费表'!N16,INDIRECT("'数据-取费表'!n"&amp;$K$1)))</f>
        <v>0</v>
      </c>
      <c r="G11" s="2421"/>
      <c r="H11" s="2424"/>
      <c r="I11" s="2424"/>
      <c r="J11" s="2424"/>
      <c r="K11" s="2481"/>
    </row>
    <row r="12" s="2396" customFormat="1" ht="13.5" customHeight="1" spans="1:11">
      <c r="A12" s="2425" t="s">
        <v>1052</v>
      </c>
      <c r="B12" s="2426" t="s">
        <v>1150</v>
      </c>
      <c r="C12" s="1065">
        <f ca="1">ROUND(C11*F12,0)</f>
        <v>0</v>
      </c>
      <c r="D12" s="2428"/>
      <c r="E12" s="2062"/>
      <c r="F12" s="2429">
        <f>'数据-取费表'!B33</f>
        <v>0.05</v>
      </c>
      <c r="G12" s="2421" t="s">
        <v>1151</v>
      </c>
      <c r="H12" s="2424"/>
      <c r="I12" s="2424"/>
      <c r="J12" s="2424"/>
      <c r="K12" s="2481"/>
    </row>
    <row r="13" s="2396" customFormat="1" ht="13.5" customHeight="1" spans="1:11">
      <c r="A13" s="2425" t="s">
        <v>1152</v>
      </c>
      <c r="B13" s="2426" t="s">
        <v>1153</v>
      </c>
      <c r="C13" s="1065">
        <f ca="1">ROUND(IF(C1="",SUMIF('数据-取费表'!C:C,"住宅",'数据-取费表'!P:P)*F13,IF(INDIRECT("'数据-取费表'!c"&amp;$K$1)="住宅",INDIRECT("'数据-取费表'!P"&amp;$K$1)*F13,0)),0)</f>
        <v>0</v>
      </c>
      <c r="D13" s="2430"/>
      <c r="E13" s="2062"/>
      <c r="F13" s="2429">
        <f>'数据-取费表'!B34</f>
        <v>0</v>
      </c>
      <c r="G13" s="2421" t="s">
        <v>1154</v>
      </c>
      <c r="H13" s="2424"/>
      <c r="I13" s="2424"/>
      <c r="J13" s="2424"/>
      <c r="K13" s="2481"/>
    </row>
    <row r="14" s="2397" customFormat="1" ht="13.5" customHeight="1" spans="1:33">
      <c r="A14" s="2425" t="s">
        <v>1155</v>
      </c>
      <c r="B14" s="2426" t="s">
        <v>1156</v>
      </c>
      <c r="C14" s="1065">
        <f ca="1">ROUND(D14*E14*F11/10000,0)</f>
        <v>0</v>
      </c>
      <c r="D14" s="2430">
        <f ca="1">IF(C1="",'数据-汇总表'!E3,INDIRECT("'数据-取费表'!K"&amp;$K$1)+INDIRECT("'数据-取费表'!S"&amp;$K$1))</f>
        <v>373.87</v>
      </c>
      <c r="E14" s="1065">
        <f>'数据-取费表'!B35</f>
        <v>200</v>
      </c>
      <c r="F14" s="2431"/>
      <c r="G14" s="2421" t="s">
        <v>1157</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1158</v>
      </c>
      <c r="B15" s="2426" t="s">
        <v>1159</v>
      </c>
      <c r="C15" s="2432">
        <f ca="1">ROUND(C11*F15,0)</f>
        <v>0</v>
      </c>
      <c r="D15" s="2433"/>
      <c r="E15" s="2432"/>
      <c r="F15" s="2429">
        <f>'数据-取费表'!B36</f>
        <v>0.02</v>
      </c>
      <c r="G15" s="2059" t="s">
        <v>1160</v>
      </c>
      <c r="H15" s="2174"/>
      <c r="I15" s="2174"/>
      <c r="J15" s="2174"/>
      <c r="K15" s="2175"/>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967</v>
      </c>
      <c r="B16" s="2426" t="s">
        <v>1161</v>
      </c>
      <c r="C16" s="2432">
        <f ca="1">SUM(C11:C15)</f>
        <v>0</v>
      </c>
      <c r="D16" s="2433"/>
      <c r="E16" s="2432"/>
      <c r="F16" s="2429"/>
      <c r="G16" s="2059"/>
      <c r="H16" s="2434"/>
      <c r="I16" s="2174"/>
      <c r="J16" s="2174"/>
      <c r="K16" s="2175"/>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971</v>
      </c>
      <c r="B17" s="2426" t="s">
        <v>1162</v>
      </c>
      <c r="C17" s="1065">
        <f ca="1">ROUND(D17*E17/10000,0)</f>
        <v>0</v>
      </c>
      <c r="D17" s="2430">
        <f ca="1">D14</f>
        <v>373.87</v>
      </c>
      <c r="E17" s="1065">
        <f>'数据-取费表'!B32</f>
        <v>0</v>
      </c>
      <c r="F17" s="2433"/>
      <c r="G17" s="2059" t="s">
        <v>1163</v>
      </c>
      <c r="H17" s="2434"/>
      <c r="I17" s="2174"/>
      <c r="J17" s="2174"/>
      <c r="K17" s="2175"/>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1164</v>
      </c>
      <c r="B18" s="2426" t="s">
        <v>1165</v>
      </c>
      <c r="C18" s="1065">
        <f ca="1">C19+C20-IF(C1="",'数据-取费表'!B29,IF(G18="已全部缴纳",C19+C20,H18))</f>
        <v>7</v>
      </c>
      <c r="D18" s="2430"/>
      <c r="E18" s="1065"/>
      <c r="F18" s="2431"/>
      <c r="G18" s="2435"/>
      <c r="H18" s="2436"/>
      <c r="I18" s="2482" t="s">
        <v>1166</v>
      </c>
      <c r="J18" s="2174"/>
      <c r="K18" s="2175"/>
    </row>
    <row r="19" s="2396" customFormat="1" ht="13.5" customHeight="1" spans="1:11">
      <c r="A19" s="2425" t="s">
        <v>1049</v>
      </c>
      <c r="B19" s="2426" t="s">
        <v>492</v>
      </c>
      <c r="C19" s="1065">
        <f ca="1">ROUND(D19*E19/10000,0)</f>
        <v>0</v>
      </c>
      <c r="D19" s="2430">
        <f ca="1">IF(C1="",'数据-汇总表'!E5,IF(INDIRECT("'数据-取费表'!c"&amp;$K$1)="住宅",INDIRECT("'数据-取费表'!k"&amp;$K$1),0))</f>
        <v>0</v>
      </c>
      <c r="E19" s="1065">
        <f>'数据-取费表'!B27</f>
        <v>0</v>
      </c>
      <c r="F19" s="2431"/>
      <c r="G19" s="2173"/>
      <c r="H19" s="2437"/>
      <c r="I19" s="2438"/>
      <c r="J19" s="2438"/>
      <c r="K19" s="2483"/>
    </row>
    <row r="20" s="2396" customFormat="1" ht="13.5" customHeight="1" spans="1:11">
      <c r="A20" s="2425" t="s">
        <v>1052</v>
      </c>
      <c r="B20" s="2426" t="s">
        <v>1167</v>
      </c>
      <c r="C20" s="1065">
        <f ca="1">ROUND(D20*E20/10000,0)</f>
        <v>7</v>
      </c>
      <c r="D20" s="2430">
        <f ca="1">IF(C1="",'数据-汇总表'!E6,IF(INDIRECT("'数据-取费表'!c"&amp;$K$1)="住宅",INDIRECT("'数据-取费表'!s"&amp;$K$1),INDIRECT("'数据-取费表'!k"&amp;$K$1)+INDIRECT("'数据-取费表'!s"&amp;$K$1)))</f>
        <v>373.87</v>
      </c>
      <c r="E20" s="1065">
        <f>'数据-取费表'!B28</f>
        <v>200</v>
      </c>
      <c r="F20" s="2431"/>
      <c r="G20" s="2173"/>
      <c r="H20" s="2438"/>
      <c r="I20" s="2438"/>
      <c r="J20" s="2438"/>
      <c r="K20" s="2483"/>
    </row>
    <row r="21" s="2396" customFormat="1" ht="13.5" customHeight="1" spans="1:11">
      <c r="A21" s="2414" t="s">
        <v>944</v>
      </c>
      <c r="B21" s="2439" t="s">
        <v>1168</v>
      </c>
      <c r="C21" s="2440">
        <f ca="1">C16+C17+C18</f>
        <v>7</v>
      </c>
      <c r="D21" s="2441"/>
      <c r="E21" s="2442"/>
      <c r="F21" s="2442"/>
      <c r="G21" s="2059" t="s">
        <v>1169</v>
      </c>
      <c r="H21" s="2174"/>
      <c r="I21" s="2174"/>
      <c r="J21" s="2174"/>
      <c r="K21" s="2175"/>
    </row>
    <row r="22" s="2396" customFormat="1" ht="13.5" customHeight="1" spans="1:11">
      <c r="A22" s="2414" t="s">
        <v>948</v>
      </c>
      <c r="B22" s="2439" t="s">
        <v>1170</v>
      </c>
      <c r="C22" s="2440">
        <f ca="1">ROUND(C21*F22,0)</f>
        <v>0</v>
      </c>
      <c r="D22" s="2442"/>
      <c r="E22" s="2442"/>
      <c r="F22" s="2443">
        <f>'数据-取费表'!B37</f>
        <v>0.02</v>
      </c>
      <c r="G22" s="2421" t="s">
        <v>1171</v>
      </c>
      <c r="H22" s="2424"/>
      <c r="I22" s="2424"/>
      <c r="J22" s="2424"/>
      <c r="K22" s="2481"/>
    </row>
    <row r="23" s="2396" customFormat="1" ht="13.5" customHeight="1" spans="1:11">
      <c r="A23" s="2414" t="s">
        <v>993</v>
      </c>
      <c r="B23" s="2439" t="s">
        <v>1172</v>
      </c>
      <c r="C23" s="2440">
        <f ca="1">ROUND(C4*F23*F11,0)</f>
        <v>0</v>
      </c>
      <c r="D23" s="2442"/>
      <c r="E23" s="2442"/>
      <c r="F23" s="2443">
        <f>'数据-取费表'!B38</f>
        <v>0.02</v>
      </c>
      <c r="G23" s="2421" t="s">
        <v>1173</v>
      </c>
      <c r="H23" s="2424"/>
      <c r="I23" s="2424"/>
      <c r="J23" s="2424"/>
      <c r="K23" s="2481"/>
    </row>
    <row r="24" s="2396" customFormat="1" ht="13.5" customHeight="1" spans="1:11">
      <c r="A24" s="2414" t="s">
        <v>996</v>
      </c>
      <c r="B24" s="2439" t="s">
        <v>1174</v>
      </c>
      <c r="C24" s="2444">
        <f>ROUND(F24/(1+'数据-取费表'!C42),4)</f>
        <v>0.029</v>
      </c>
      <c r="D24" s="2442" t="s">
        <v>1175</v>
      </c>
      <c r="E24" s="2442"/>
      <c r="F24" s="2443">
        <f>IF(项目基本情况!B8="出让",0,'数据-取费表'!B48+'数据-取费表'!B49)</f>
        <v>0.0305</v>
      </c>
      <c r="G24" s="2421" t="s">
        <v>1176</v>
      </c>
      <c r="H24" s="2445"/>
      <c r="I24" s="2445"/>
      <c r="J24" s="2445"/>
      <c r="K24" s="2484"/>
    </row>
    <row r="25" s="2396" customFormat="1" ht="13.5" customHeight="1" spans="1:11">
      <c r="A25" s="2414" t="s">
        <v>1000</v>
      </c>
      <c r="B25" s="2441" t="s">
        <v>1177</v>
      </c>
      <c r="C25" s="2446">
        <f ca="1">C27</f>
        <v>0</v>
      </c>
      <c r="D25" s="2444">
        <f ca="1">C26</f>
        <v>0</v>
      </c>
      <c r="E25" s="2447" t="s">
        <v>1175</v>
      </c>
      <c r="F25" s="2448">
        <f ca="1">'数据-取费表'!B40</f>
        <v>0.0313</v>
      </c>
      <c r="G25" s="2059"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967</v>
      </c>
      <c r="B26" s="2449" t="s">
        <v>1178</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174"/>
      <c r="I26" s="2174"/>
      <c r="J26" s="2174"/>
      <c r="K26" s="2175"/>
    </row>
    <row r="27" s="2398" customFormat="1" ht="13.5" customHeight="1" spans="1:11">
      <c r="A27" s="2425" t="s">
        <v>971</v>
      </c>
      <c r="B27" s="2449" t="s">
        <v>1179</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174"/>
      <c r="I27" s="2174"/>
      <c r="J27" s="2174"/>
      <c r="K27" s="2175"/>
    </row>
    <row r="28" s="2399" customFormat="1" ht="13.5" customHeight="1" spans="1:11">
      <c r="A28" s="2414" t="s">
        <v>1001</v>
      </c>
      <c r="B28" s="2456" t="s">
        <v>1180</v>
      </c>
      <c r="C28" s="2457">
        <f ca="1">C30</f>
        <v>1</v>
      </c>
      <c r="D28" s="2444">
        <f ca="1">C29</f>
        <v>0</v>
      </c>
      <c r="E28" s="2447" t="s">
        <v>1175</v>
      </c>
      <c r="F28" s="1402">
        <f ca="1">IF(C1="",'数据-取费表'!Q16,INDIRECT("'数据-取费表'!q"&amp;$K$1))</f>
        <v>0.15</v>
      </c>
      <c r="G28" s="2458"/>
      <c r="H28" s="2445"/>
      <c r="I28" s="2445"/>
      <c r="J28" s="2445"/>
      <c r="K28" s="2484"/>
    </row>
    <row r="29" s="2400" customFormat="1" ht="13.5" customHeight="1" spans="1:11">
      <c r="A29" s="2425" t="s">
        <v>967</v>
      </c>
      <c r="B29" s="2459" t="s">
        <v>1181</v>
      </c>
      <c r="C29" s="2451">
        <f ca="1">ROUND((1+C24)*F28*'数据-取费表'!B24/'数据-取费表'!B20,4)</f>
        <v>0</v>
      </c>
      <c r="D29" s="2451"/>
      <c r="E29" s="2452"/>
      <c r="F29" s="2460"/>
      <c r="G29" s="2059" t="s">
        <v>1182</v>
      </c>
      <c r="H29" s="2174"/>
      <c r="I29" s="2174"/>
      <c r="J29" s="2174"/>
      <c r="K29" s="2175"/>
    </row>
    <row r="30" s="2400" customFormat="1" ht="13.5" customHeight="1" spans="1:11">
      <c r="A30" s="2425" t="s">
        <v>971</v>
      </c>
      <c r="B30" s="2459" t="s">
        <v>1183</v>
      </c>
      <c r="C30" s="2461">
        <f ca="1">ROUND((C21+C22+C23)*F28,0)</f>
        <v>1</v>
      </c>
      <c r="D30" s="2451"/>
      <c r="E30" s="2452"/>
      <c r="F30" s="2460"/>
      <c r="G30" s="2059"/>
      <c r="H30" s="2174"/>
      <c r="I30" s="2174"/>
      <c r="J30" s="2174"/>
      <c r="K30" s="2175"/>
    </row>
    <row r="31" s="2396" customFormat="1" ht="13.5" customHeight="1" spans="1:11">
      <c r="A31" s="2462" t="s">
        <v>1184</v>
      </c>
      <c r="B31" s="2463" t="s">
        <v>1185</v>
      </c>
      <c r="C31" s="2464">
        <f>ROUND(C4*F31/(1+'数据-取费表'!C42),0)</f>
        <v>0</v>
      </c>
      <c r="D31" s="2465"/>
      <c r="E31" s="2466"/>
      <c r="F31" s="2467">
        <f>'数据-取费表'!B41</f>
        <v>0.055</v>
      </c>
      <c r="G31" s="2468" t="s">
        <v>1186</v>
      </c>
      <c r="H31" s="2469"/>
      <c r="I31" s="2469"/>
      <c r="J31" s="2469"/>
      <c r="K31" s="2485"/>
    </row>
    <row r="32" s="2395" customFormat="1" ht="13.5" customHeight="1" spans="1:11">
      <c r="A32" s="2470" t="s">
        <v>1187</v>
      </c>
      <c r="B32" s="2471"/>
      <c r="C32" s="2472">
        <f ca="1">ROUND((C4-C21-C22-C23-C25-C28-C31)/(1+C24+D25+D28),0)</f>
        <v>-8</v>
      </c>
      <c r="D32" s="2471"/>
      <c r="E32" s="2471"/>
      <c r="F32" s="2471"/>
      <c r="G32" s="2473" t="s">
        <v>1188</v>
      </c>
      <c r="H32" s="2471"/>
      <c r="I32" s="2471"/>
      <c r="J32" s="2471"/>
      <c r="K32" s="24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c r="D1" s="1988" t="s">
        <v>124</v>
      </c>
      <c r="E1" s="1989" t="s">
        <v>1190</v>
      </c>
      <c r="F1" s="1990">
        <f ca="1">J53</f>
        <v>0</v>
      </c>
      <c r="G1" s="1991">
        <f>MATCH(C1,'数据-取费表'!A6:A16,0)+5</f>
        <v>7</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2384" t="e">
        <f ca="1">C40+J29+L46</f>
        <v>#DIV/0!</v>
      </c>
      <c r="C2" s="1994" t="s">
        <v>1192</v>
      </c>
      <c r="D2" s="1994"/>
      <c r="E2" s="1996"/>
      <c r="F2" s="1997"/>
      <c r="G2" s="1998"/>
      <c r="H2" s="1999"/>
      <c r="I2" s="1999"/>
      <c r="J2" s="1999"/>
      <c r="K2" s="2161"/>
      <c r="L2" s="1999"/>
      <c r="M2" s="1999"/>
    </row>
    <row r="3" ht="18" customHeight="1" spans="1:13">
      <c r="A3" s="2000" t="s">
        <v>1193</v>
      </c>
      <c r="B3" s="2001">
        <f ca="1">IF(ISERROR(B2*10000/F43),0,ROUND(B2*10000/F43,0))</f>
        <v>0</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0</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ROUND(F6*F8*F7*(1-F9)/10000,0)</f>
        <v>0</v>
      </c>
      <c r="D6" s="2016" t="s">
        <v>1204</v>
      </c>
      <c r="E6" s="2017" t="s">
        <v>1205</v>
      </c>
      <c r="F6" s="2018">
        <f ca="1">INDIRECT("'数据-取费表'!u"&amp;$G$1)</f>
        <v>0</v>
      </c>
      <c r="G6" s="816"/>
      <c r="H6" s="2013" t="s">
        <v>944</v>
      </c>
      <c r="I6" s="2014" t="s">
        <v>1203</v>
      </c>
      <c r="J6" s="2091">
        <f ca="1">ROUND(M6*M8*M7*(1-M9)/10000,0)</f>
        <v>0</v>
      </c>
      <c r="K6" s="2016" t="s">
        <v>1206</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0</v>
      </c>
      <c r="G7" s="816"/>
      <c r="H7" s="2024"/>
      <c r="I7" s="2020"/>
      <c r="J7" s="2025"/>
      <c r="K7" s="2022"/>
      <c r="L7" s="2017" t="s">
        <v>1207</v>
      </c>
      <c r="M7" s="2018">
        <f ca="1">F7</f>
        <v>0</v>
      </c>
    </row>
    <row r="8" ht="18" customHeight="1" spans="1:13">
      <c r="A8" s="2024"/>
      <c r="B8" s="2020"/>
      <c r="C8" s="2025"/>
      <c r="D8" s="2022"/>
      <c r="E8" s="2017" t="s">
        <v>1208</v>
      </c>
      <c r="F8" s="2018">
        <f ca="1">INDIRECT("'数据-取费表'!ai"&amp;$G$1)</f>
        <v>0</v>
      </c>
      <c r="G8" s="816"/>
      <c r="H8" s="2024"/>
      <c r="I8" s="2020"/>
      <c r="J8" s="2025"/>
      <c r="K8" s="2022"/>
      <c r="L8" s="2017" t="s">
        <v>1208</v>
      </c>
      <c r="M8" s="2018">
        <f ca="1">INDIRECT("'数据-取费表'!ai"&amp;$G$1)</f>
        <v>0</v>
      </c>
    </row>
    <row r="9" ht="18" customHeight="1" spans="1:13">
      <c r="A9" s="2024"/>
      <c r="B9" s="2026"/>
      <c r="C9" s="2025"/>
      <c r="D9" s="2022"/>
      <c r="E9" s="2017" t="s">
        <v>1209</v>
      </c>
      <c r="F9" s="2027">
        <f ca="1">INDIRECT("'数据-取费表'!w"&amp;$G$1)</f>
        <v>0</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0</v>
      </c>
      <c r="D10" s="2029" t="s">
        <v>1211</v>
      </c>
      <c r="E10" s="2030" t="s">
        <v>1212</v>
      </c>
      <c r="F10" s="2031"/>
      <c r="G10" s="816"/>
      <c r="H10" s="2013" t="s">
        <v>948</v>
      </c>
      <c r="I10" s="2028" t="s">
        <v>1210</v>
      </c>
      <c r="J10" s="2091">
        <f ca="1">ROUND(IF(M10="押一",J6/12*M11,IF(M10="押二",J6/12*2*M11,IF(M10="押三",J6/12*3*M11,J11*M11))),0)</f>
        <v>0</v>
      </c>
      <c r="K10" s="2029" t="s">
        <v>1211</v>
      </c>
      <c r="L10" s="2030" t="s">
        <v>1212</v>
      </c>
      <c r="M10" s="2031"/>
    </row>
    <row r="11" ht="18" customHeight="1" spans="1:13">
      <c r="A11" s="2032"/>
      <c r="B11" s="2033" t="s">
        <v>1213</v>
      </c>
      <c r="C11" s="2034"/>
      <c r="D11" s="2385"/>
      <c r="E11" s="2030" t="s">
        <v>1214</v>
      </c>
      <c r="F11" s="2035">
        <f ca="1">'数据-取费表'!B39</f>
        <v>0.015</v>
      </c>
      <c r="G11" s="816"/>
      <c r="H11" s="2036"/>
      <c r="I11" s="2033" t="s">
        <v>1213</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0</v>
      </c>
      <c r="D13" s="2046" t="s">
        <v>1217</v>
      </c>
      <c r="E13" s="2046" t="s">
        <v>1218</v>
      </c>
      <c r="F13" s="2047">
        <f ca="1">INDIRECT("'数据-取费表'!y"&amp;$G$1)</f>
        <v>0</v>
      </c>
      <c r="G13" s="816"/>
      <c r="H13" s="2043">
        <v>2</v>
      </c>
      <c r="I13" s="2044" t="s">
        <v>1216</v>
      </c>
      <c r="J13" s="2170">
        <f ca="1">ROUND(J14*J15,0)</f>
        <v>0</v>
      </c>
      <c r="K13" s="2069" t="s">
        <v>1217</v>
      </c>
      <c r="L13" s="2171"/>
      <c r="M13" s="2172"/>
    </row>
    <row r="14" ht="18" customHeight="1" spans="1:13">
      <c r="A14" s="2048" t="s">
        <v>967</v>
      </c>
      <c r="B14" s="2017" t="s">
        <v>1219</v>
      </c>
      <c r="C14" s="2049">
        <f ca="1">INDIRECT("'数据-取费表'!m"&amp;$G$1)+INDIRECT("'数据-取费表'!t"&amp;$G$1)</f>
        <v>0</v>
      </c>
      <c r="D14" s="2050" t="s">
        <v>1220</v>
      </c>
      <c r="E14" s="2051"/>
      <c r="F14" s="2052"/>
      <c r="G14" s="816"/>
      <c r="H14" s="2048" t="s">
        <v>944</v>
      </c>
      <c r="I14" s="2017" t="s">
        <v>1221</v>
      </c>
      <c r="J14" s="1065">
        <f ca="1">C29</f>
        <v>0</v>
      </c>
      <c r="K14" s="2173"/>
      <c r="L14" s="2174"/>
      <c r="M14" s="2175"/>
    </row>
    <row r="15" s="1984" customFormat="1" ht="18" customHeight="1" spans="1:37">
      <c r="A15" s="2048" t="s">
        <v>971</v>
      </c>
      <c r="B15" s="2017" t="s">
        <v>1150</v>
      </c>
      <c r="C15" s="1065">
        <f ca="1">ROUND(C14*F15,0)</f>
        <v>0</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ROUND(INDIRECT("'数据-取费表'!m"&amp;$G$1)*F16,0)</f>
        <v>0</v>
      </c>
      <c r="D16" s="2017" t="s">
        <v>1222</v>
      </c>
      <c r="E16" s="2017" t="s">
        <v>1223</v>
      </c>
      <c r="F16" s="2057">
        <f ca="1">IF(INDIRECT("'数据-取费表'!c"&amp;$G$1)="住宅",'数据-取费表'!B34,0)</f>
        <v>0</v>
      </c>
      <c r="G16" s="816"/>
      <c r="H16" s="2043" t="s">
        <v>1224</v>
      </c>
      <c r="I16" s="2044" t="s">
        <v>1225</v>
      </c>
      <c r="J16" s="2045">
        <f ca="1">ROUND(J17+J22+J23+J24,0)</f>
        <v>0</v>
      </c>
      <c r="K16" s="2069" t="s">
        <v>1226</v>
      </c>
      <c r="L16" s="2070"/>
      <c r="M16" s="2012"/>
    </row>
    <row r="17" s="1984" customFormat="1" ht="18" customHeight="1" spans="1:37">
      <c r="A17" s="2048" t="s">
        <v>1227</v>
      </c>
      <c r="B17" s="2017" t="s">
        <v>1228</v>
      </c>
      <c r="C17" s="1065">
        <f ca="1">ROUND(F17*(F43+INDIRECT("'数据-取费表'!S"&amp;$G$1))/10000,0)</f>
        <v>0</v>
      </c>
      <c r="D17" s="2017" t="s">
        <v>1229</v>
      </c>
      <c r="E17" s="2017" t="s">
        <v>1230</v>
      </c>
      <c r="F17" s="2058">
        <f>'数据-取费表'!B35</f>
        <v>200</v>
      </c>
      <c r="G17" s="2055"/>
      <c r="H17" s="2048" t="s">
        <v>944</v>
      </c>
      <c r="I17" s="2017" t="s">
        <v>1231</v>
      </c>
      <c r="J17" s="2072">
        <f ca="1">ROUND(IF(AND(项目基本情况!B11="自然人",项目基本情况!B10="北京市"),J6*M17/(1+'数据-取费表'!C42),J18+J19+J20),2)</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0</v>
      </c>
      <c r="D18" s="2017" t="s">
        <v>1222</v>
      </c>
      <c r="E18" s="2017" t="s">
        <v>1223</v>
      </c>
      <c r="F18" s="2057">
        <f>'数据-取费表'!B36</f>
        <v>0.02</v>
      </c>
      <c r="G18" s="2055"/>
      <c r="H18" s="2048" t="s">
        <v>967</v>
      </c>
      <c r="I18" s="2017" t="s">
        <v>1235</v>
      </c>
      <c r="J18" s="1065">
        <f ca="1">ROUND(J6*M18/(1+'数据-取费表'!C42),2)</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0</v>
      </c>
      <c r="D19" s="2059" t="s">
        <v>1238</v>
      </c>
      <c r="E19" s="1067"/>
      <c r="F19" s="2058"/>
      <c r="G19" s="816"/>
      <c r="H19" s="2048" t="s">
        <v>971</v>
      </c>
      <c r="I19" s="2017" t="s">
        <v>1239</v>
      </c>
      <c r="J19" s="1065">
        <f ca="1">IF(K19="按租金收入计税",ROUND(J6*M19/(1+'数据-取费表'!C42),2),ROUND(C29*M19*0.7,2))</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0</v>
      </c>
      <c r="D20" s="2060" t="s">
        <v>1242</v>
      </c>
      <c r="E20" s="2017" t="s">
        <v>1223</v>
      </c>
      <c r="F20" s="2057">
        <f>'数据-取费表'!B37</f>
        <v>0.02</v>
      </c>
      <c r="G20" s="2055"/>
      <c r="H20" s="2048" t="s">
        <v>974</v>
      </c>
      <c r="I20" s="2016" t="s">
        <v>1243</v>
      </c>
      <c r="J20" s="2078">
        <f ca="1">ROUND(M20*M21/10000,2)</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ROUND(J14*M22,2)</f>
        <v>0</v>
      </c>
      <c r="K22" s="2073" t="s">
        <v>1252</v>
      </c>
      <c r="L22" s="2017" t="s">
        <v>1223</v>
      </c>
      <c r="M22" s="2085">
        <f ca="1">INDIRECT("'数据-取费表'!Ak"&amp;$G$1)</f>
        <v>0</v>
      </c>
    </row>
    <row r="23" s="1984" customFormat="1" ht="18" customHeight="1" spans="1:37">
      <c r="A23" s="2048" t="s">
        <v>967</v>
      </c>
      <c r="B23" s="2017" t="s">
        <v>1253</v>
      </c>
      <c r="C23" s="1065">
        <f ca="1">IF('数据-取费表'!B22&lt;=1,ROUND(C19*F24*F23/2,0)+ROUND(C20*F24*F23/2,0),ROUND(C19*(POWER((1+F24),F23/2)-1),0)+ROUND(C20*(POWER((1+F24),F23/2)-1),0))</f>
        <v>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ROUND(J13*M23,2)</f>
        <v>0</v>
      </c>
      <c r="K23" s="2073" t="s">
        <v>1256</v>
      </c>
      <c r="L23" s="2017" t="s">
        <v>1223</v>
      </c>
      <c r="M23" s="2086">
        <f ca="1">INDIRECT("'数据-取费表'!Al"&amp;$G$1)</f>
        <v>0</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ROUND(J5*M24,2)</f>
        <v>0</v>
      </c>
      <c r="K24" s="2066" t="s">
        <v>1259</v>
      </c>
      <c r="L24" s="2041" t="s">
        <v>1223</v>
      </c>
      <c r="M24" s="2042">
        <f ca="1">INDIRECT("'数据-取费表'!Am"&amp;$G$1)</f>
        <v>0</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24" customHeight="1" spans="1:13">
      <c r="A25" s="2048" t="s">
        <v>1000</v>
      </c>
      <c r="B25" s="2017" t="s">
        <v>1260</v>
      </c>
      <c r="C25" s="1065"/>
      <c r="D25" s="2059" t="s">
        <v>1261</v>
      </c>
      <c r="E25" s="1067"/>
      <c r="F25" s="2058"/>
      <c r="G25" s="816"/>
      <c r="H25" s="2043" t="s">
        <v>1262</v>
      </c>
      <c r="I25" s="2087" t="s">
        <v>1263</v>
      </c>
      <c r="J25" s="2045">
        <f ca="1">J5-J16</f>
        <v>0</v>
      </c>
      <c r="K25" s="2088" t="s">
        <v>1264</v>
      </c>
      <c r="L25" s="2089"/>
      <c r="M25" s="2090"/>
    </row>
    <row r="26" spans="1:13">
      <c r="A26" s="2048" t="s">
        <v>967</v>
      </c>
      <c r="B26" s="2017" t="s">
        <v>1265</v>
      </c>
      <c r="C26" s="1065">
        <f ca="1">ROUND((C19+C20)*F26,0)</f>
        <v>0</v>
      </c>
      <c r="D26" s="2060" t="s">
        <v>1266</v>
      </c>
      <c r="E26" s="2030" t="s">
        <v>1267</v>
      </c>
      <c r="F26" s="2027">
        <f ca="1">INDIRECT("'数据-取费表'!q"&amp;$G$1)</f>
        <v>0</v>
      </c>
      <c r="G26" s="816"/>
      <c r="H26" s="2007" t="s">
        <v>1268</v>
      </c>
      <c r="I26" s="2008" t="s">
        <v>1269</v>
      </c>
      <c r="J26" s="2091">
        <f ca="1">IF(J5&lt;&gt;0,ROUND(J25*(1-((1+M28)/(1+M26))^M27)/(M26-M28),0),0)</f>
        <v>0</v>
      </c>
      <c r="K26" s="2079" t="s">
        <v>1270</v>
      </c>
      <c r="L26" s="2017" t="s">
        <v>1271</v>
      </c>
      <c r="M26" s="2027">
        <f ca="1">INDIRECT("'数据-取费表'!I"&amp;$G$1)</f>
        <v>0</v>
      </c>
    </row>
    <row r="27" ht="18" customHeight="1" spans="1:13">
      <c r="A27" s="2048" t="s">
        <v>971</v>
      </c>
      <c r="B27" s="2017" t="s">
        <v>1272</v>
      </c>
      <c r="C27" s="1065">
        <f ca="1">ROUND(F21*F26,4)</f>
        <v>0</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0</v>
      </c>
      <c r="D29" s="2066"/>
      <c r="E29" s="2041"/>
      <c r="F29" s="2067"/>
      <c r="G29" s="2055"/>
      <c r="H29" s="2068" t="s">
        <v>1280</v>
      </c>
      <c r="I29" s="2098" t="s">
        <v>1281</v>
      </c>
      <c r="J29" s="2099">
        <f ca="1">ROUND(J26/(1+F40)^F41,0)</f>
        <v>0</v>
      </c>
      <c r="K29" s="2100" t="s">
        <v>1282</v>
      </c>
      <c r="L29" s="2101"/>
      <c r="M29" s="2102">
        <f ca="1">INDIRECT("'数据-取费表'!k"&amp;$G$1)</f>
        <v>0</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0</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ROUND(IF(AND(项目基本情况!B11="自然人",项目基本情况!B10="北京市"),C6*F31/(1+'数据-取费表'!C42),C32+C33+C34),2)</f>
        <v>0</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IF(项目基本情况!B11="自然人","——",ROUND(C6*F32/(1+'数据-取费表'!C42),2))</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IF(项目基本情况!B11="自然人","——",IF(D33="按租金收入计税",ROUND(C6*F33/(1+'数据-取费表'!C42),2),IF(D33="按房产原值计税",ROUND(C29*F33*0.7,2),INDIRECT("'数据-取费表'!Aj"&amp;$G$1))))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IF(项目基本情况!B11="自然人","——",ROUND(F34*F35/10000,2))</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ROUND(C29*F36,2)</f>
        <v>0</v>
      </c>
      <c r="D36" s="2073" t="s">
        <v>1284</v>
      </c>
      <c r="E36" s="2017" t="s">
        <v>1223</v>
      </c>
      <c r="F36" s="2085">
        <f ca="1">INDIRECT("'数据-取费表'!Ak"&amp;$G$1)</f>
        <v>0</v>
      </c>
      <c r="G36" s="816"/>
      <c r="H36" s="2077"/>
      <c r="I36" s="2180"/>
      <c r="J36" s="2181"/>
      <c r="K36" s="2188"/>
      <c r="L36" s="2077"/>
      <c r="M36" s="2077"/>
    </row>
    <row r="37" ht="18" customHeight="1" spans="1:13">
      <c r="A37" s="2048" t="s">
        <v>993</v>
      </c>
      <c r="B37" s="2017" t="s">
        <v>1255</v>
      </c>
      <c r="C37" s="1065">
        <f ca="1">ROUND(C13*F37,2)</f>
        <v>0</v>
      </c>
      <c r="D37" s="2073" t="s">
        <v>1256</v>
      </c>
      <c r="E37" s="2017" t="s">
        <v>1223</v>
      </c>
      <c r="F37" s="2086">
        <f ca="1">INDIRECT("'数据-取费表'!Al"&amp;$G$1)</f>
        <v>0</v>
      </c>
      <c r="G37" s="816"/>
      <c r="H37" s="2077"/>
      <c r="I37" s="2180"/>
      <c r="J37" s="2181"/>
      <c r="K37" s="2188"/>
      <c r="L37" s="2077"/>
      <c r="M37" s="2077"/>
    </row>
    <row r="38" ht="18" customHeight="1" spans="1:13">
      <c r="A38" s="2056" t="s">
        <v>996</v>
      </c>
      <c r="B38" s="2041" t="s">
        <v>1241</v>
      </c>
      <c r="C38" s="2065">
        <f ca="1">ROUND(C5*F38,2)</f>
        <v>0</v>
      </c>
      <c r="D38" s="2066" t="s">
        <v>1259</v>
      </c>
      <c r="E38" s="2041" t="s">
        <v>1223</v>
      </c>
      <c r="F38" s="2042">
        <f ca="1">INDIRECT("'数据-取费表'!Am"&amp;$G$1)</f>
        <v>0</v>
      </c>
      <c r="G38" s="816"/>
      <c r="H38" s="2077"/>
      <c r="I38" s="2180"/>
      <c r="J38" s="2181"/>
      <c r="K38" s="2189"/>
      <c r="L38" s="2077"/>
      <c r="M38" s="2077"/>
    </row>
    <row r="39" ht="24.6" customHeight="1" spans="1:13">
      <c r="A39" s="2043" t="s">
        <v>1262</v>
      </c>
      <c r="B39" s="2087" t="s">
        <v>1263</v>
      </c>
      <c r="C39" s="2045">
        <f ca="1">C5-C30</f>
        <v>0</v>
      </c>
      <c r="D39" s="2088" t="s">
        <v>1264</v>
      </c>
      <c r="E39" s="2089"/>
      <c r="F39" s="2090"/>
      <c r="G39" s="816"/>
      <c r="H39" s="2077"/>
      <c r="I39" s="2180"/>
      <c r="J39" s="2181"/>
      <c r="K39" s="2189"/>
      <c r="L39" s="2077"/>
      <c r="M39" s="2077"/>
    </row>
    <row r="40" ht="18" customHeight="1" spans="1:13">
      <c r="A40" s="2007" t="s">
        <v>1268</v>
      </c>
      <c r="B40" s="2008" t="s">
        <v>1285</v>
      </c>
      <c r="C40" s="2091" t="e">
        <f ca="1">ROUND(C39*(1-((1+F42)/(1+F40))^F41)/(F40-F42),0)</f>
        <v>#DIV/0!</v>
      </c>
      <c r="D40" s="2079" t="s">
        <v>1270</v>
      </c>
      <c r="E40" s="2017" t="s">
        <v>1271</v>
      </c>
      <c r="F40" s="2027">
        <f ca="1">INDIRECT("'数据-取费表'!I"&amp;$G$1)</f>
        <v>0</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0</v>
      </c>
      <c r="G41" s="816"/>
      <c r="H41" s="2096"/>
      <c r="I41" s="2180"/>
      <c r="J41" s="2181"/>
      <c r="K41" s="2188"/>
      <c r="L41" s="2096"/>
      <c r="M41" s="2096"/>
    </row>
    <row r="42" ht="18" customHeight="1" spans="1:13">
      <c r="A42" s="2032"/>
      <c r="B42" s="2097"/>
      <c r="C42" s="2045"/>
      <c r="D42" s="2083"/>
      <c r="E42" s="2017" t="s">
        <v>1278</v>
      </c>
      <c r="F42" s="2027">
        <f ca="1">INDIRECT("'数据-取费表'!v"&amp;$G$1)</f>
        <v>0</v>
      </c>
      <c r="G42" s="816"/>
      <c r="H42" s="2096"/>
      <c r="I42" s="2180"/>
      <c r="J42" s="2181"/>
      <c r="K42" s="2188"/>
      <c r="L42" s="2096"/>
      <c r="M42" s="2096"/>
    </row>
    <row r="43" ht="18" customHeight="1" spans="1:13">
      <c r="A43" s="2068" t="s">
        <v>1280</v>
      </c>
      <c r="B43" s="2098" t="s">
        <v>1286</v>
      </c>
      <c r="C43" s="2099" t="e">
        <f ca="1">ROUND(C40*10000/F43,0)</f>
        <v>#DIV/0!</v>
      </c>
      <c r="D43" s="2100" t="s">
        <v>1287</v>
      </c>
      <c r="E43" s="2101" t="s">
        <v>1288</v>
      </c>
      <c r="F43" s="2102">
        <f ca="1">INDIRECT("'数据-取费表'!k"&amp;$G$1)</f>
        <v>0</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3"/>
      <c r="B45" s="2103"/>
      <c r="C45" s="2104"/>
      <c r="D45" s="2103"/>
      <c r="E45" s="2103"/>
      <c r="F45" s="2103"/>
      <c r="J45" s="1099"/>
      <c r="O45" s="2391" t="s">
        <v>1289</v>
      </c>
      <c r="P45" s="2092"/>
      <c r="Q45" s="2092"/>
      <c r="R45" s="2092"/>
    </row>
    <row r="46" s="816" customFormat="1" ht="13.5" spans="1:18">
      <c r="A46" s="2108" t="s">
        <v>1290</v>
      </c>
      <c r="C46" s="2109" t="e">
        <f ca="1">C68-C40</f>
        <v>#DIV/0!</v>
      </c>
      <c r="D46" s="2110" t="str">
        <f>C2</f>
        <v>万元</v>
      </c>
      <c r="E46" s="2103"/>
      <c r="F46" s="2103"/>
      <c r="I46" s="2192" t="s">
        <v>1291</v>
      </c>
      <c r="J46" s="2193"/>
      <c r="K46" s="2194"/>
      <c r="L46" s="2195" t="e">
        <f ca="1">IF(M47="住宅",0,IF(L48&gt;J51,L60,J60))</f>
        <v>#DIV/0!</v>
      </c>
      <c r="O46" s="2196" t="s">
        <v>1292</v>
      </c>
      <c r="P46" s="2197" t="s">
        <v>1293</v>
      </c>
      <c r="Q46" s="2244" t="s">
        <v>1294</v>
      </c>
      <c r="R46" s="2244" t="s">
        <v>1295</v>
      </c>
    </row>
    <row r="47" s="816" customFormat="1" ht="13.5" spans="1:18">
      <c r="A47" s="2111" t="s">
        <v>1196</v>
      </c>
      <c r="B47" s="2112" t="s">
        <v>1197</v>
      </c>
      <c r="C47" s="2386" t="s">
        <v>1198</v>
      </c>
      <c r="D47" s="2112" t="s">
        <v>1199</v>
      </c>
      <c r="E47" s="2113" t="s">
        <v>1200</v>
      </c>
      <c r="F47" s="1058"/>
      <c r="G47" s="2114"/>
      <c r="I47" s="2198" t="s">
        <v>1296</v>
      </c>
      <c r="J47" s="2199"/>
      <c r="K47" s="2200" t="s">
        <v>1297</v>
      </c>
      <c r="L47" s="2201">
        <f ca="1">INDIRECT("'数据-取费表'!d"&amp;$G$1)</f>
        <v>0</v>
      </c>
      <c r="M47" s="2202" t="str">
        <f>IF(ISNUMBER(FIND("住宅",C1)),"住宅","非住宅")</f>
        <v>非住宅</v>
      </c>
      <c r="O47" s="2203" t="s">
        <v>1049</v>
      </c>
      <c r="P47" s="2204" t="s">
        <v>1298</v>
      </c>
      <c r="Q47" s="2245" t="e">
        <f ca="1">C40+J29</f>
        <v>#DIV/0!</v>
      </c>
      <c r="R47" s="2245" t="s">
        <v>1299</v>
      </c>
    </row>
    <row r="48" s="816" customFormat="1" ht="26.25" spans="1:18">
      <c r="A48" s="2115" t="s">
        <v>1300</v>
      </c>
      <c r="B48" s="2008" t="s">
        <v>1201</v>
      </c>
      <c r="C48" s="1066">
        <f ca="1">C49+C53+C55</f>
        <v>0</v>
      </c>
      <c r="D48" s="2116"/>
      <c r="E48" s="2117"/>
      <c r="F48" s="2118"/>
      <c r="G48" s="2114"/>
      <c r="H48" s="2119"/>
      <c r="I48" s="2205" t="s">
        <v>1301</v>
      </c>
      <c r="J48" s="2206"/>
      <c r="K48" s="2207" t="s">
        <v>1302</v>
      </c>
      <c r="L48" s="2208">
        <f ca="1">INDIRECT("'数据-取费表'!f"&amp;$G$1)</f>
        <v>0</v>
      </c>
      <c r="O48" s="2203" t="s">
        <v>1052</v>
      </c>
      <c r="P48" s="2204" t="s">
        <v>1303</v>
      </c>
      <c r="Q48" s="2245" t="e">
        <f ca="1">J60</f>
        <v>#DIV/0!</v>
      </c>
      <c r="R48" s="2245" t="s">
        <v>1304</v>
      </c>
    </row>
    <row r="49" s="816" customFormat="1" ht="13.5" spans="1:18">
      <c r="A49" s="2120" t="s">
        <v>1305</v>
      </c>
      <c r="B49" s="2121" t="s">
        <v>1306</v>
      </c>
      <c r="C49" s="2122">
        <f ca="1">ROUND(F49*F51*F50*(1-F52)/10000,0)</f>
        <v>0</v>
      </c>
      <c r="D49" s="2123" t="s">
        <v>1206</v>
      </c>
      <c r="E49" s="2124" t="s">
        <v>1307</v>
      </c>
      <c r="F49" s="2125"/>
      <c r="G49" s="2126"/>
      <c r="H49" s="2119"/>
      <c r="I49" s="2205" t="s">
        <v>1308</v>
      </c>
      <c r="J49" s="2209"/>
      <c r="K49" s="2207" t="s">
        <v>1309</v>
      </c>
      <c r="L49" s="2210"/>
      <c r="O49" s="2211" t="s">
        <v>1310</v>
      </c>
      <c r="P49" s="2204" t="s">
        <v>1311</v>
      </c>
      <c r="Q49" s="2245">
        <f ca="1">C29</f>
        <v>0</v>
      </c>
      <c r="R49" s="2245" t="s">
        <v>1299</v>
      </c>
    </row>
    <row r="50" s="816" customFormat="1" ht="13.5" spans="1:18">
      <c r="A50" s="2127"/>
      <c r="B50" s="2128"/>
      <c r="C50" s="2387"/>
      <c r="D50" s="2130"/>
      <c r="E50" s="2131" t="s">
        <v>1207</v>
      </c>
      <c r="F50" s="2132">
        <f ca="1">F7</f>
        <v>0</v>
      </c>
      <c r="H50" s="2119"/>
      <c r="I50" s="2205" t="s">
        <v>1312</v>
      </c>
      <c r="J50" s="2212">
        <f>SUMPRODUCT((I63:I65=J47)*(J62:L62=J48)*(J63:L65))</f>
        <v>0</v>
      </c>
      <c r="K50" s="2207" t="s">
        <v>1313</v>
      </c>
      <c r="L50" s="2210"/>
      <c r="M50" s="2213"/>
      <c r="O50" s="2211" t="s">
        <v>1314</v>
      </c>
      <c r="P50" s="2204" t="s">
        <v>1315</v>
      </c>
      <c r="Q50" s="2246" t="e">
        <f ca="1">J58</f>
        <v>#DIV/0!</v>
      </c>
      <c r="R50" s="2245"/>
    </row>
    <row r="51" s="816" customFormat="1" ht="13.5" spans="1:18">
      <c r="A51" s="2133"/>
      <c r="B51" s="2128"/>
      <c r="C51" s="2129"/>
      <c r="D51" s="2130"/>
      <c r="E51" s="2134" t="s">
        <v>1208</v>
      </c>
      <c r="F51" s="2018">
        <f ca="1">F8</f>
        <v>0</v>
      </c>
      <c r="I51" s="2214" t="s">
        <v>1316</v>
      </c>
      <c r="J51" s="2215">
        <f>IF(J49="",J50,J49+J50-YEAR('数据-取费表'!B2))</f>
        <v>0</v>
      </c>
      <c r="K51" s="2216" t="s">
        <v>1317</v>
      </c>
      <c r="L51" s="2217">
        <f ca="1">ROUND(-PV(INDIRECT("'数据-取费表'!h"&amp;$G$1),J51,(C39-C13*C76),0),0)</f>
        <v>0</v>
      </c>
      <c r="M51" s="2218"/>
      <c r="O51" s="2211" t="s">
        <v>1318</v>
      </c>
      <c r="P51" s="2204" t="s">
        <v>1319</v>
      </c>
      <c r="Q51" s="2246">
        <f>J52</f>
        <v>0</v>
      </c>
      <c r="R51" s="2245"/>
    </row>
    <row r="52" s="816" customFormat="1" ht="13.5" spans="1:18">
      <c r="A52" s="2133"/>
      <c r="B52" s="2128"/>
      <c r="C52" s="2129"/>
      <c r="D52" s="2130"/>
      <c r="E52" s="2134" t="s">
        <v>1209</v>
      </c>
      <c r="F52" s="2135"/>
      <c r="I52" s="2219" t="s">
        <v>1320</v>
      </c>
      <c r="J52" s="2220"/>
      <c r="K52" s="2219" t="s">
        <v>1321</v>
      </c>
      <c r="L52" s="2220"/>
      <c r="O52" s="2211" t="s">
        <v>1322</v>
      </c>
      <c r="P52" s="2204" t="s">
        <v>1323</v>
      </c>
      <c r="Q52" s="2245">
        <f ca="1">J53</f>
        <v>0</v>
      </c>
      <c r="R52" s="2245" t="s">
        <v>1324</v>
      </c>
    </row>
    <row r="53" s="816" customFormat="1" ht="24.75" spans="1:18">
      <c r="A53" s="2388" t="s">
        <v>1325</v>
      </c>
      <c r="B53" s="2389" t="s">
        <v>1210</v>
      </c>
      <c r="C53" s="1064">
        <f ca="1">ROUND(IF(F53="押一",C49/12*F11,IF(F53="押二",C49/12*2*F11,IF(F53="押三",C49/12*3*F11,C54*F11))),0)</f>
        <v>0</v>
      </c>
      <c r="D53" s="2029" t="s">
        <v>1211</v>
      </c>
      <c r="E53" s="2030" t="s">
        <v>1212</v>
      </c>
      <c r="F53" s="2031"/>
      <c r="I53" s="2221" t="s">
        <v>1326</v>
      </c>
      <c r="J53" s="2222">
        <f ca="1">IF(M47="住宅",IF(D1="——",MAX(J51,L48),MAX(J51,L48-'数据-取费表'!B24)),IF(D1="——",MIN(J51,L48),MIN(J51,L48-'数据-取费表'!B24)))</f>
        <v>0</v>
      </c>
      <c r="K53" s="2223" t="s">
        <v>1327</v>
      </c>
      <c r="L53" s="2224"/>
      <c r="O53" s="2203" t="s">
        <v>1152</v>
      </c>
      <c r="P53" s="2204" t="s">
        <v>1328</v>
      </c>
      <c r="Q53" s="2245" t="e">
        <f ca="1">Q47+Q48</f>
        <v>#DIV/0!</v>
      </c>
      <c r="R53" s="2245" t="s">
        <v>1329</v>
      </c>
    </row>
    <row r="54" s="816" customFormat="1" ht="13.5" spans="1:18">
      <c r="A54" s="2390"/>
      <c r="B54" s="2033" t="s">
        <v>1213</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t="e">
        <f ca="1">ROUND(IF(J47="钢混",J57/J50,1-(1-2%)*(J50-J57)/J50),3)</f>
        <v>#DIV/0!</v>
      </c>
      <c r="K55" s="2230" t="s">
        <v>1332</v>
      </c>
      <c r="L55" s="2231"/>
      <c r="O55" s="2196" t="s">
        <v>1292</v>
      </c>
      <c r="P55" s="2197" t="s">
        <v>1293</v>
      </c>
      <c r="Q55" s="2244" t="s">
        <v>1294</v>
      </c>
      <c r="R55" s="2244" t="s">
        <v>1295</v>
      </c>
    </row>
    <row r="56" s="816" customFormat="1" ht="25.5" spans="1:18">
      <c r="A56" s="2140">
        <v>2</v>
      </c>
      <c r="B56" s="2141" t="s">
        <v>1216</v>
      </c>
      <c r="C56" s="438">
        <f ca="1">C13</f>
        <v>0</v>
      </c>
      <c r="D56" s="2142"/>
      <c r="E56" s="2143"/>
      <c r="F56" s="2139"/>
      <c r="I56" s="2232" t="s">
        <v>1333</v>
      </c>
      <c r="J56" s="2233"/>
      <c r="K56" s="2205" t="s">
        <v>1334</v>
      </c>
      <c r="L56" s="2208">
        <f ca="1">IF(L48&lt;J51,"——",L48-J53)</f>
        <v>0</v>
      </c>
      <c r="O56" s="2203" t="s">
        <v>1049</v>
      </c>
      <c r="P56" s="2204" t="s">
        <v>1298</v>
      </c>
      <c r="Q56" s="2245" t="e">
        <f ca="1">C40+J29</f>
        <v>#DIV/0!</v>
      </c>
      <c r="R56" s="2245" t="s">
        <v>1299</v>
      </c>
    </row>
    <row r="57" s="816" customFormat="1" ht="24.75" spans="1:18">
      <c r="A57" s="2144"/>
      <c r="B57" s="2145" t="s">
        <v>1279</v>
      </c>
      <c r="C57" s="448">
        <f ca="1">C29</f>
        <v>0</v>
      </c>
      <c r="D57" s="2146"/>
      <c r="E57" s="2147"/>
      <c r="F57" s="2148"/>
      <c r="I57" s="2234" t="s">
        <v>1335</v>
      </c>
      <c r="J57" s="2235">
        <f ca="1">IF(OR(M47="住宅",J51&lt;L48,J56="是"),"——",J51-L48)</f>
        <v>0</v>
      </c>
      <c r="K57" s="2205" t="s">
        <v>1336</v>
      </c>
      <c r="L57" s="2208">
        <f ca="1">IF(L48&lt;J51,"——",IF(L55="比较法",L49,IF(L55="基准地价",L50,L51)))</f>
        <v>0</v>
      </c>
      <c r="O57" s="2203" t="s">
        <v>1052</v>
      </c>
      <c r="P57" s="2204" t="s">
        <v>1337</v>
      </c>
      <c r="Q57" s="2245" t="e">
        <f ca="1">L60</f>
        <v>#DIV/0!</v>
      </c>
      <c r="R57" s="2245" t="s">
        <v>1338</v>
      </c>
    </row>
    <row r="58" s="816" customFormat="1" ht="24.75" spans="1:18">
      <c r="A58" s="2149" t="s">
        <v>1224</v>
      </c>
      <c r="B58" s="2141" t="s">
        <v>1225</v>
      </c>
      <c r="C58" s="1064">
        <f ca="1">ROUND(C59+C64+C65+C66,0)</f>
        <v>0</v>
      </c>
      <c r="D58" s="2150" t="s">
        <v>1226</v>
      </c>
      <c r="E58" s="2151"/>
      <c r="F58" s="2118"/>
      <c r="I58" s="2234" t="s">
        <v>1339</v>
      </c>
      <c r="J58" s="2236" t="e">
        <f ca="1">IF(J55&lt;0.4,0.4,J55)</f>
        <v>#DIV/0!</v>
      </c>
      <c r="K58" s="2216" t="s">
        <v>1340</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IF(项目基本情况!B11="自然人","——",ROUND(C48*F60/(1+'数据-取费表'!C42),2))</f>
        <v>——</v>
      </c>
      <c r="D60" s="2153" t="s">
        <v>1236</v>
      </c>
      <c r="E60" s="2145" t="s">
        <v>1223</v>
      </c>
      <c r="F60" s="2064">
        <f t="shared" ref="F60:F66" si="0">F32</f>
        <v>0.055</v>
      </c>
      <c r="I60" s="2237" t="s">
        <v>1344</v>
      </c>
      <c r="J60" s="2238" t="e">
        <f ca="1">IF(OR(M47="住宅",J51&lt;L48,J56="是"),"0",ROUND(J59/(1+J52)^J53,0))</f>
        <v>#DIV/0!</v>
      </c>
      <c r="K60" s="2239" t="s">
        <v>1345</v>
      </c>
      <c r="L60" s="2238" t="e">
        <f ca="1">IF(OR(M47="住宅",L48&lt;J51),0,ROUND(L57*(L58/L59-1),0))</f>
        <v>#DIV/0!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IF(项目基本情况!B11="自然人","——",IF(D61="按租金收入计税",ROUND(C49*F61/(1+'数据-取费表'!C42),2),IF(D61="按房产原值计税",ROUND(C57*F61*0.7,2),INDIRECT("'数据-取费表'!Aj"&amp;$G$1))))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IF(项目基本情况!B11="自然人","——",ROUND(F62*F63/10000,2))</f>
        <v>——</v>
      </c>
      <c r="D62" s="2155" t="s">
        <v>1244</v>
      </c>
      <c r="E62" s="2145" t="s">
        <v>1245</v>
      </c>
      <c r="F62" s="2063">
        <f t="shared" si="0"/>
        <v>0</v>
      </c>
      <c r="I62" s="2240" t="s">
        <v>1349</v>
      </c>
      <c r="J62" s="2241" t="s">
        <v>1350</v>
      </c>
      <c r="K62" s="2241" t="s">
        <v>1351</v>
      </c>
      <c r="L62" s="2241" t="s">
        <v>1352</v>
      </c>
      <c r="M62" s="2242" t="s">
        <v>1353</v>
      </c>
      <c r="O62" s="2203" t="s">
        <v>1152</v>
      </c>
      <c r="P62" s="2204" t="s">
        <v>1328</v>
      </c>
      <c r="Q62" s="2245" t="e">
        <f ca="1">Q56+Q57</f>
        <v>#DIV/0!</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ROUND(C57*F64,2)</f>
        <v>0</v>
      </c>
      <c r="D64" s="2153" t="s">
        <v>1284</v>
      </c>
      <c r="E64" s="2145" t="s">
        <v>1223</v>
      </c>
      <c r="F64" s="2085">
        <f ca="1" t="shared" si="0"/>
        <v>0</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ROUND(C56*F65,2)</f>
        <v>0</v>
      </c>
      <c r="D65" s="2153" t="s">
        <v>1256</v>
      </c>
      <c r="E65" s="2145" t="s">
        <v>1223</v>
      </c>
      <c r="F65" s="2086">
        <f ca="1" t="shared" si="0"/>
        <v>0</v>
      </c>
      <c r="I65" s="2240" t="s">
        <v>1357</v>
      </c>
      <c r="J65" s="2241">
        <v>40</v>
      </c>
      <c r="K65" s="2241">
        <v>30</v>
      </c>
      <c r="L65" s="2241">
        <v>50</v>
      </c>
      <c r="M65" s="2243">
        <v>0.02</v>
      </c>
      <c r="O65" s="2203" t="s">
        <v>1049</v>
      </c>
      <c r="P65" s="2204" t="s">
        <v>1298</v>
      </c>
      <c r="Q65" s="2245" t="e">
        <f ca="1">C40+J29</f>
        <v>#DIV/0!</v>
      </c>
      <c r="R65" s="2245" t="s">
        <v>1299</v>
      </c>
    </row>
    <row r="66" s="816" customFormat="1" ht="17.25" spans="1:18">
      <c r="A66" s="2048" t="s">
        <v>996</v>
      </c>
      <c r="B66" s="2145" t="s">
        <v>1241</v>
      </c>
      <c r="C66" s="1065">
        <f ca="1">ROUND(C48*F66,2)</f>
        <v>0</v>
      </c>
      <c r="D66" s="2153" t="s">
        <v>1259</v>
      </c>
      <c r="E66" s="2145" t="s">
        <v>1223</v>
      </c>
      <c r="F66" s="2027">
        <f ca="1" t="shared" si="0"/>
        <v>0</v>
      </c>
      <c r="O66" s="2203" t="s">
        <v>1052</v>
      </c>
      <c r="P66" s="2204" t="s">
        <v>1337</v>
      </c>
      <c r="Q66" s="2245" t="e">
        <f ca="1">L60</f>
        <v>#DIV/0!</v>
      </c>
      <c r="R66" s="2245" t="s">
        <v>1338</v>
      </c>
    </row>
    <row r="67" s="816" customFormat="1" ht="17.25" spans="1:18">
      <c r="A67" s="2140" t="s">
        <v>1262</v>
      </c>
      <c r="B67" s="2247" t="s">
        <v>1263</v>
      </c>
      <c r="C67" s="1064">
        <f ca="1">C48-C58</f>
        <v>0</v>
      </c>
      <c r="D67" s="2152" t="s">
        <v>1264</v>
      </c>
      <c r="E67" s="2248"/>
      <c r="F67" s="2249"/>
      <c r="O67" s="2211" t="s">
        <v>1310</v>
      </c>
      <c r="P67" s="2204" t="s">
        <v>1341</v>
      </c>
      <c r="Q67" s="2269">
        <f ca="1">L51</f>
        <v>0</v>
      </c>
      <c r="R67" s="2245" t="s">
        <v>1358</v>
      </c>
    </row>
    <row r="68" s="816" customFormat="1" ht="17.25" spans="1:18">
      <c r="A68" s="2250" t="s">
        <v>1268</v>
      </c>
      <c r="B68" s="2251" t="s">
        <v>1285</v>
      </c>
      <c r="C68" s="2091" t="e">
        <f ca="1">ROUND(C67*(1-((1+F70)/(1+F68))^F69)/(F68-F70),0)</f>
        <v>#DIV/0!</v>
      </c>
      <c r="D68" s="2155" t="s">
        <v>1270</v>
      </c>
      <c r="E68" s="2145" t="s">
        <v>1271</v>
      </c>
      <c r="F68" s="2027">
        <f ca="1">F40</f>
        <v>0</v>
      </c>
      <c r="O68" s="2211" t="s">
        <v>1314</v>
      </c>
      <c r="P68" s="2268" t="s">
        <v>1359</v>
      </c>
      <c r="Q68" s="2245">
        <f ca="1">ROUND(Q69-Q70*Q71,0)</f>
        <v>0</v>
      </c>
      <c r="R68" s="2245" t="s">
        <v>1360</v>
      </c>
    </row>
    <row r="69" s="816" customFormat="1" ht="13.5" spans="1:18">
      <c r="A69" s="2252"/>
      <c r="B69" s="2253"/>
      <c r="C69" s="2025"/>
      <c r="D69" s="2254" t="s">
        <v>1274</v>
      </c>
      <c r="E69" s="2145" t="s">
        <v>1275</v>
      </c>
      <c r="F69" s="2095">
        <f ca="1">F41</f>
        <v>0</v>
      </c>
      <c r="O69" s="2211" t="s">
        <v>1361</v>
      </c>
      <c r="P69" s="2268" t="s">
        <v>1362</v>
      </c>
      <c r="Q69" s="2245">
        <f ca="1">C39</f>
        <v>0</v>
      </c>
      <c r="R69" s="2245" t="s">
        <v>1299</v>
      </c>
    </row>
    <row r="70" s="816" customFormat="1" ht="13.5" spans="1:18">
      <c r="A70" s="2255"/>
      <c r="B70" s="2256"/>
      <c r="C70" s="2045"/>
      <c r="D70" s="2157"/>
      <c r="E70" s="2145" t="s">
        <v>1278</v>
      </c>
      <c r="F70" s="2135"/>
      <c r="O70" s="2211" t="s">
        <v>1363</v>
      </c>
      <c r="P70" s="2268" t="s">
        <v>1364</v>
      </c>
      <c r="Q70" s="2245">
        <f ca="1">C13</f>
        <v>0</v>
      </c>
      <c r="R70" s="2245" t="s">
        <v>1299</v>
      </c>
    </row>
    <row r="71" s="816" customFormat="1" ht="13.5" spans="1:18">
      <c r="A71" s="2257" t="s">
        <v>1280</v>
      </c>
      <c r="B71" s="2258" t="s">
        <v>1286</v>
      </c>
      <c r="C71" s="2099" t="e">
        <f ca="1">ROUND(C68*10000/F71,0)</f>
        <v>#DIV/0!</v>
      </c>
      <c r="D71" s="2259" t="s">
        <v>1287</v>
      </c>
      <c r="E71" s="2260" t="s">
        <v>1288</v>
      </c>
      <c r="F71" s="2102">
        <f ca="1">F43</f>
        <v>0</v>
      </c>
      <c r="O71" s="2211" t="s">
        <v>1365</v>
      </c>
      <c r="P71" s="2268" t="s">
        <v>1366</v>
      </c>
      <c r="Q71" s="2246">
        <f ca="1">C76</f>
        <v>0</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0</v>
      </c>
      <c r="D75" s="816"/>
      <c r="E75" s="816"/>
      <c r="F75" s="816"/>
      <c r="K75" s="2190"/>
      <c r="L75" s="816"/>
      <c r="O75" s="2203" t="s">
        <v>1152</v>
      </c>
      <c r="P75" s="2204" t="s">
        <v>1328</v>
      </c>
      <c r="Q75" s="2245" t="e">
        <f ca="1">Q65+Q66</f>
        <v>#DIV/0!</v>
      </c>
      <c r="R75" s="2245" t="s">
        <v>1329</v>
      </c>
    </row>
    <row r="76" spans="2:12">
      <c r="B76" s="592" t="s">
        <v>1370</v>
      </c>
      <c r="C76" s="2264">
        <f ca="1">INDIRECT("'数据-取费表'!j"&amp;$G$1)</f>
        <v>0</v>
      </c>
      <c r="I76" s="816"/>
      <c r="J76" s="816"/>
      <c r="K76" s="2190"/>
      <c r="L76" s="816"/>
    </row>
    <row r="77" spans="2:12">
      <c r="B77" s="2265" t="s">
        <v>1371</v>
      </c>
      <c r="C77" s="2266"/>
      <c r="I77" s="816"/>
      <c r="J77" s="816"/>
      <c r="K77" s="2190"/>
      <c r="L77" s="816"/>
    </row>
    <row r="78" spans="2:3">
      <c r="B78" s="481" t="s">
        <v>1372</v>
      </c>
      <c r="C78" s="2267"/>
    </row>
    <row r="79" spans="2:3">
      <c r="B79" s="2262" t="s">
        <v>1373</v>
      </c>
      <c r="C79" s="484" t="e">
        <f ca="1">1-C80</f>
        <v>#DIV/0!</v>
      </c>
    </row>
    <row r="80" spans="2:3">
      <c r="B80" s="2262"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 workbookViewId="0">
      <selection activeCell="I12" sqref="I1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1377</v>
      </c>
      <c r="C1" s="1611" t="s">
        <v>1378</v>
      </c>
      <c r="D1" s="1554" t="s">
        <v>646</v>
      </c>
      <c r="E1" s="1734" t="s">
        <v>1379</v>
      </c>
      <c r="F1" s="1556" t="s">
        <v>1380</v>
      </c>
      <c r="G1" s="1557" t="s">
        <v>1381</v>
      </c>
      <c r="H1" s="1558"/>
      <c r="I1" s="1558"/>
      <c r="J1" s="1558"/>
      <c r="K1" s="1609"/>
      <c r="L1" s="1610"/>
      <c r="M1" s="1611"/>
      <c r="N1" s="1611"/>
      <c r="O1" s="1611"/>
      <c r="P1" s="2313"/>
      <c r="Q1" s="1553"/>
      <c r="R1" s="1553"/>
      <c r="S1" s="1553"/>
      <c r="T1" s="1553"/>
      <c r="U1" s="1553"/>
      <c r="V1" s="1553"/>
      <c r="W1" s="1553"/>
      <c r="X1" s="1553"/>
      <c r="Y1" s="1553"/>
      <c r="Z1" s="1553"/>
      <c r="AA1" s="1553"/>
      <c r="AB1" s="1553"/>
      <c r="AC1" s="1618"/>
    </row>
    <row r="2" s="2303" customFormat="1" ht="28.5" customHeight="1" spans="1:29">
      <c r="A2" s="1559" t="s">
        <v>1034</v>
      </c>
      <c r="B2" s="2304">
        <f ca="1">IF(E1="项目模式",IF(C2="——",ROUND(C49*D3/10000,0),ROUND(C49*D3/10000,0)-D2),IF(E1="单套模式",IF(C2="——",ROUND(C49*D3/10000,4),ROUND(C49*D3/10000,4)-D2)))</f>
        <v>1406.2746</v>
      </c>
      <c r="C2" s="1561" t="s">
        <v>124</v>
      </c>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2314"/>
      <c r="L2" s="2315"/>
      <c r="M2" s="2316"/>
      <c r="N2" s="2316"/>
      <c r="O2" s="2316"/>
      <c r="P2" s="2317"/>
      <c r="Q2" s="2335"/>
      <c r="R2" s="2335"/>
      <c r="S2" s="2335"/>
      <c r="T2" s="2335"/>
      <c r="U2" s="2335"/>
      <c r="V2" s="2335"/>
      <c r="W2" s="2335"/>
      <c r="X2" s="2335"/>
      <c r="Y2" s="2335"/>
      <c r="Z2" s="2335"/>
      <c r="AA2" s="2335"/>
      <c r="AB2" s="2335"/>
      <c r="AC2" s="2336"/>
    </row>
    <row r="3" s="2303" customFormat="1" ht="28.5" customHeight="1" spans="1:29">
      <c r="A3" s="405" t="s">
        <v>1036</v>
      </c>
      <c r="B3" s="1565">
        <f ca="1">IF(C2="——",C49,ROUND(B2*10000/D3,0))</f>
        <v>37614</v>
      </c>
      <c r="C3" s="1564" t="s">
        <v>1382</v>
      </c>
      <c r="D3" s="1565">
        <f>IF(D1="",'数据-汇总表'!E3,SUMIF('数据-汇总表'!$C19:$C33,D1,'数据-汇总表'!$E19:$E33))</f>
        <v>373.87</v>
      </c>
      <c r="E3" s="1513"/>
      <c r="F3" s="2305"/>
      <c r="G3" s="1513"/>
      <c r="H3" s="1513"/>
      <c r="I3" s="1513"/>
      <c r="J3" s="1513"/>
      <c r="K3" s="2314"/>
      <c r="L3" s="2315"/>
      <c r="M3" s="2316"/>
      <c r="N3" s="2316"/>
      <c r="O3" s="2316"/>
      <c r="P3" s="2317"/>
      <c r="Q3" s="2335"/>
      <c r="R3" s="2335"/>
      <c r="S3" s="2335"/>
      <c r="T3" s="2335"/>
      <c r="U3" s="2335"/>
      <c r="V3" s="2335"/>
      <c r="W3" s="2335"/>
      <c r="X3" s="2335"/>
      <c r="Y3" s="2335"/>
      <c r="Z3" s="2335"/>
      <c r="AA3" s="2335"/>
      <c r="AB3" s="2335"/>
      <c r="AC3" s="2337"/>
    </row>
    <row r="4" ht="15" spans="1:29">
      <c r="A4" s="1151" t="s">
        <v>1383</v>
      </c>
      <c r="B4" s="1152"/>
      <c r="C4" s="1153" t="s">
        <v>1384</v>
      </c>
      <c r="D4" s="1154"/>
      <c r="E4" s="1155" t="s">
        <v>1385</v>
      </c>
      <c r="F4" s="1156"/>
      <c r="G4" s="1153" t="s">
        <v>1386</v>
      </c>
      <c r="H4" s="1154"/>
      <c r="I4" s="1153" t="s">
        <v>1387</v>
      </c>
      <c r="J4" s="1154"/>
      <c r="K4" s="2318"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1390</v>
      </c>
      <c r="D5" s="1160"/>
      <c r="E5" s="1161" t="s">
        <v>1391</v>
      </c>
      <c r="F5" s="1162"/>
      <c r="G5" s="1159" t="s">
        <v>1392</v>
      </c>
      <c r="H5" s="1160"/>
      <c r="I5" s="1159" t="s">
        <v>1393</v>
      </c>
      <c r="J5" s="1160"/>
      <c r="K5" s="231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2319"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f>C7</f>
        <v>45960</v>
      </c>
      <c r="F7" s="1174">
        <f>SUMIF(58:58,YEAR(E7)&amp;"-"&amp;MONTH(E7),59:59)</f>
        <v>100</v>
      </c>
      <c r="G7" s="1173">
        <f>C7</f>
        <v>45960</v>
      </c>
      <c r="H7" s="1172">
        <f>SUMIF(58:58,YEAR(G7)&amp;"-"&amp;MONTH(G7),59:59)</f>
        <v>100</v>
      </c>
      <c r="I7" s="1173">
        <f>C7</f>
        <v>45960</v>
      </c>
      <c r="J7" s="1172">
        <f>SUMIF(58:58,YEAR(I7)&amp;"-"&amp;MONTH(I7),59:59)</f>
        <v>100</v>
      </c>
      <c r="K7" s="2320"/>
      <c r="L7" s="1318"/>
      <c r="M7" s="1319"/>
      <c r="N7" s="1319"/>
      <c r="O7" s="1319"/>
      <c r="P7" s="1320"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1393">
        <f>D7/J7</f>
        <v>1</v>
      </c>
    </row>
    <row r="8" s="1132" customFormat="1" ht="15.75" spans="1:29">
      <c r="A8" s="1169" t="s">
        <v>1399</v>
      </c>
      <c r="B8" s="1170"/>
      <c r="C8" s="1176" t="s">
        <v>1400</v>
      </c>
      <c r="D8" s="1172">
        <v>100</v>
      </c>
      <c r="E8" s="2306" t="s">
        <v>1401</v>
      </c>
      <c r="F8" s="1174">
        <f>SUMIF(61:61,E8,62:62)-SUMIF(61:61,C8,62:62)+100</f>
        <v>105</v>
      </c>
      <c r="G8" s="2306" t="s">
        <v>1401</v>
      </c>
      <c r="H8" s="1172">
        <f>SUMIF(61:61,G8,62:62)-SUMIF(61:61,C8,62:62)+100</f>
        <v>105</v>
      </c>
      <c r="I8" s="2306" t="s">
        <v>1401</v>
      </c>
      <c r="J8" s="1172">
        <f>SUMIF(61:61,I8,62:62)-SUMIF(61:61,C8,62:62)+100</f>
        <v>105</v>
      </c>
      <c r="K8" s="2320"/>
      <c r="L8" s="1318"/>
      <c r="M8" s="1319"/>
      <c r="N8" s="1319"/>
      <c r="O8" s="1319"/>
      <c r="P8" s="1320" t="s">
        <v>1402</v>
      </c>
      <c r="Q8" s="1377"/>
      <c r="R8" s="1374" t="s">
        <v>1398</v>
      </c>
      <c r="S8" s="1375">
        <f t="shared" si="0"/>
        <v>105</v>
      </c>
      <c r="T8" s="1374" t="s">
        <v>1398</v>
      </c>
      <c r="U8" s="1375">
        <f t="shared" si="1"/>
        <v>105</v>
      </c>
      <c r="V8" s="1374" t="s">
        <v>1398</v>
      </c>
      <c r="W8" s="1375">
        <f t="shared" si="2"/>
        <v>105</v>
      </c>
      <c r="X8" s="1376"/>
      <c r="Y8" s="1320" t="s">
        <v>1402</v>
      </c>
      <c r="Z8" s="1377"/>
      <c r="AA8" s="1393">
        <f t="shared" ref="AA8:AA19" si="3">D8/F8</f>
        <v>0.952380952380952</v>
      </c>
      <c r="AB8" s="1393">
        <f t="shared" ref="AB8:AB19" si="4">D8/H8</f>
        <v>0.952380952380952</v>
      </c>
      <c r="AC8" s="1393">
        <f t="shared" ref="AC8:AC19" si="5">D8/J8</f>
        <v>0.952380952380952</v>
      </c>
    </row>
    <row r="9" s="1132" customFormat="1" spans="1:29">
      <c r="A9" s="1177" t="s">
        <v>1403</v>
      </c>
      <c r="B9" s="1178" t="s">
        <v>1404</v>
      </c>
      <c r="C9" s="1566"/>
      <c r="D9" s="1180">
        <v>100</v>
      </c>
      <c r="E9" s="1636"/>
      <c r="F9" s="1568">
        <f>SUMIF(63:63,E9,64:64)-SUMIF(63:63,C9,64:64)+100</f>
        <v>100</v>
      </c>
      <c r="G9" s="1567"/>
      <c r="H9" s="1180">
        <f>SUMIF(63:63,G9,64:64)-SUMIF(63:63,C9,64:64)+100</f>
        <v>100</v>
      </c>
      <c r="I9" s="1567"/>
      <c r="J9" s="1180">
        <f>SUMIF(63:63,I9,64:64)-SUMIF(63:63,C9,64:64)+100</f>
        <v>100</v>
      </c>
      <c r="K9" s="2320"/>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2320"/>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f>LOOKUP(E11,68:68,69:69)-LOOKUP(C11,68:68,69:69)+100</f>
        <v>100</v>
      </c>
      <c r="G11" s="1186"/>
      <c r="H11" s="1184">
        <f>LOOKUP(G11,68:68,69:69)-LOOKUP(C11,68:68,69:69)+100</f>
        <v>100</v>
      </c>
      <c r="I11" s="1186"/>
      <c r="J11" s="1184">
        <f>LOOKUP(I11,68:68,69:69)-LOOKUP(C11,68:68,69:69)+100</f>
        <v>100</v>
      </c>
      <c r="K11" s="2321"/>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2322"/>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2322"/>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2322"/>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81" spans="1:29">
      <c r="A15" s="1199" t="s">
        <v>1409</v>
      </c>
      <c r="B15" s="1520" t="s">
        <v>1410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323"/>
      <c r="L15" s="1329"/>
      <c r="M15" s="1313"/>
      <c r="N15" s="1313"/>
      <c r="O15" s="1313"/>
      <c r="P15" s="1745"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2324"/>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323"/>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2324"/>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2323"/>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324"/>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2323"/>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2325"/>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1415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323"/>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324"/>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1416</v>
      </c>
      <c r="C25" s="1587"/>
      <c r="D25" s="1194">
        <v>100</v>
      </c>
      <c r="E25" s="1237"/>
      <c r="F25" s="1194">
        <f>SUMIF(86:86,E25,87:87)-SUMIF(86:86,C25,87:87)+100</f>
        <v>100</v>
      </c>
      <c r="G25" s="2307"/>
      <c r="H25" s="1194">
        <f>SUMIF(86:86,G25,87:87)-SUMIF(86:86,C25,87:87)+100</f>
        <v>100</v>
      </c>
      <c r="I25" s="2307"/>
      <c r="J25" s="1194">
        <f>SUMIF(86:86,I25,87:87)-SUMIF(86:86,C25,87:87)+100</f>
        <v>100</v>
      </c>
      <c r="K25" s="2321"/>
      <c r="L25" s="1329"/>
      <c r="M25" s="1313"/>
      <c r="N25" s="1313"/>
      <c r="O25" s="1313"/>
      <c r="P25" s="1746"/>
      <c r="Q25" s="717" t="str">
        <f t="shared" ref="Q25:Q46" si="11">B25</f>
        <v>楼层-1</v>
      </c>
      <c r="R25" s="1379" t="s">
        <v>1398</v>
      </c>
      <c r="S25" s="1380">
        <f t="shared" ref="S25:S46" si="12">F25</f>
        <v>100</v>
      </c>
      <c r="T25" s="1379" t="s">
        <v>1398</v>
      </c>
      <c r="U25" s="1380">
        <f t="shared" ref="U25:U46" si="13">H25</f>
        <v>100</v>
      </c>
      <c r="V25" s="1379" t="s">
        <v>1398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1417</v>
      </c>
      <c r="C26" s="1587"/>
      <c r="D26" s="1194">
        <v>100</v>
      </c>
      <c r="E26" s="1237"/>
      <c r="F26" s="1194">
        <f>SUMIF(88:88,E26,89:89)-SUMIF(88:88,C26,89:89)+100</f>
        <v>100</v>
      </c>
      <c r="G26" s="2307"/>
      <c r="H26" s="1194">
        <f>SUMIF(88:88,G26,89:89)-SUMIF(88:88,C26,89:89)+100</f>
        <v>100</v>
      </c>
      <c r="I26" s="2307"/>
      <c r="J26" s="1194">
        <f>SUMIF(88:88,I26,89:89)-SUMIF(88:88,C26,89:89)+100</f>
        <v>100</v>
      </c>
      <c r="K26" s="2321"/>
      <c r="L26" s="1329"/>
      <c r="M26" s="1313"/>
      <c r="N26" s="1313"/>
      <c r="O26" s="1313"/>
      <c r="P26" s="1746"/>
      <c r="Q26" s="717" t="str">
        <f t="shared" si="11"/>
        <v>朝向</v>
      </c>
      <c r="R26" s="1379" t="s">
        <v>1398</v>
      </c>
      <c r="S26" s="1380">
        <f t="shared" si="12"/>
        <v>100</v>
      </c>
      <c r="T26" s="1379" t="s">
        <v>1398</v>
      </c>
      <c r="U26" s="1380">
        <f t="shared" si="13"/>
        <v>100</v>
      </c>
      <c r="V26" s="1379" t="s">
        <v>1398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2322"/>
      <c r="L27" s="1318"/>
      <c r="M27" s="1319"/>
      <c r="N27" s="1319"/>
      <c r="O27" s="1319"/>
      <c r="P27" s="1746"/>
      <c r="Q27" s="1378">
        <f t="shared" si="11"/>
        <v>111</v>
      </c>
      <c r="R27" s="1374" t="s">
        <v>1398</v>
      </c>
      <c r="S27" s="1375">
        <f t="shared" si="12"/>
        <v>100</v>
      </c>
      <c r="T27" s="1374" t="s">
        <v>1398</v>
      </c>
      <c r="U27" s="1375">
        <f t="shared" si="13"/>
        <v>100</v>
      </c>
      <c r="V27" s="1374" t="s">
        <v>1398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2275"/>
      <c r="H28" s="1194">
        <f>SUMIF(92:92,G28,93:93)-SUMIF(92:92,C28,93:93)+100</f>
        <v>100</v>
      </c>
      <c r="I28" s="1193"/>
      <c r="J28" s="1194">
        <f>SUMIF(92:92,I28,93:93)-SUMIF(92:92,C28,93:93)+100</f>
        <v>100</v>
      </c>
      <c r="K28" s="2322"/>
      <c r="L28" s="1329"/>
      <c r="M28" s="1313"/>
      <c r="N28" s="1313"/>
      <c r="O28" s="1313"/>
      <c r="P28" s="1746"/>
      <c r="Q28" s="717">
        <f t="shared" si="11"/>
        <v>111</v>
      </c>
      <c r="R28" s="1379" t="s">
        <v>1398</v>
      </c>
      <c r="S28" s="1380">
        <f t="shared" si="12"/>
        <v>100</v>
      </c>
      <c r="T28" s="1379" t="s">
        <v>1398</v>
      </c>
      <c r="U28" s="1380">
        <f t="shared" si="13"/>
        <v>100</v>
      </c>
      <c r="V28" s="1379" t="s">
        <v>1398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2275"/>
      <c r="H29" s="1194">
        <f>SUMIF(94:94,G29,95:95)-SUMIF(94:94,C29,95:95)+100</f>
        <v>100</v>
      </c>
      <c r="I29" s="1193"/>
      <c r="J29" s="1194">
        <f>SUMIF(94:94,I29,95:95)-SUMIF(94:94,C29,95:95)+100</f>
        <v>100</v>
      </c>
      <c r="K29" s="2322"/>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2275"/>
      <c r="H30" s="1194">
        <f>SUMIF(96:96,G30,97:97)-SUMIF(96:96,C30,97:97)+100</f>
        <v>100</v>
      </c>
      <c r="I30" s="1193"/>
      <c r="J30" s="1194">
        <f>SUMIF(96:96,I30,97:97)-SUMIF(96:96,C30,97:97)+100</f>
        <v>100</v>
      </c>
      <c r="K30" s="2322"/>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2277"/>
      <c r="H31" s="1198">
        <f>SUMIF(98:98,G31,99:99)-SUMIF(98:98,C31,99:99)+100</f>
        <v>100</v>
      </c>
      <c r="I31" s="1197"/>
      <c r="J31" s="1198">
        <f>SUMIF(98:98,I31,99:99)-SUMIF(98:98,C31,99:99)+100</f>
        <v>100</v>
      </c>
      <c r="K31" s="2322"/>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8"/>
        <v>111</v>
      </c>
      <c r="AA31" s="1395">
        <f t="shared" si="15"/>
        <v>1</v>
      </c>
      <c r="AB31" s="1395">
        <f t="shared" si="16"/>
        <v>1</v>
      </c>
      <c r="AC31" s="1395">
        <f t="shared" si="17"/>
        <v>1</v>
      </c>
    </row>
    <row r="32" ht="15" spans="1:29">
      <c r="A32" s="1199" t="s">
        <v>1418</v>
      </c>
      <c r="B32" s="1178" t="s">
        <v>1419</v>
      </c>
      <c r="C32" s="1738"/>
      <c r="D32" s="1235">
        <v>100</v>
      </c>
      <c r="E32" s="2308"/>
      <c r="F32" s="1577">
        <f>SUMIF(100:100,E32,101:101)-SUMIF(100:100,C32,101:101)+100</f>
        <v>100</v>
      </c>
      <c r="G32" s="1738"/>
      <c r="H32" s="1235">
        <f>SUMIF(100:100,G32,101:101)-SUMIF(100:100,C32,101:101)+100</f>
        <v>100</v>
      </c>
      <c r="I32" s="2308"/>
      <c r="J32" s="1194">
        <f>SUMIF(100:100,I32,101:101)-SUMIF(100:100,C32,101:101)+100</f>
        <v>100</v>
      </c>
      <c r="K32" s="2321"/>
      <c r="L32" s="1329"/>
      <c r="M32" s="1313"/>
      <c r="N32" s="1313"/>
      <c r="O32" s="1313"/>
      <c r="P32" s="1747" t="s">
        <v>1420</v>
      </c>
      <c r="Q32" s="717" t="str">
        <f t="shared" si="11"/>
        <v>建筑类型</v>
      </c>
      <c r="R32" s="1379" t="s">
        <v>1398</v>
      </c>
      <c r="S32" s="1380">
        <f t="shared" si="12"/>
        <v>100</v>
      </c>
      <c r="T32" s="1379" t="s">
        <v>1398</v>
      </c>
      <c r="U32" s="1380">
        <f t="shared" si="13"/>
        <v>100</v>
      </c>
      <c r="V32" s="1379" t="s">
        <v>1398</v>
      </c>
      <c r="W32" s="1380">
        <f t="shared" si="14"/>
        <v>100</v>
      </c>
      <c r="X32" s="1366"/>
      <c r="Y32" s="1341" t="s">
        <v>1420</v>
      </c>
      <c r="Z32" s="1353" t="str">
        <f t="shared" si="18"/>
        <v>建筑类型</v>
      </c>
      <c r="AA32" s="1395">
        <f t="shared" si="15"/>
        <v>1</v>
      </c>
      <c r="AB32" s="1395">
        <f t="shared" si="16"/>
        <v>1</v>
      </c>
      <c r="AC32" s="1395">
        <f t="shared" si="17"/>
        <v>1</v>
      </c>
    </row>
    <row r="33" s="1134" customFormat="1" ht="15" spans="1:29">
      <c r="A33" s="1241"/>
      <c r="B33" s="1182" t="s">
        <v>1421</v>
      </c>
      <c r="C33" s="1571"/>
      <c r="D33" s="1184">
        <v>100</v>
      </c>
      <c r="E33" s="1187"/>
      <c r="F33" s="1570">
        <f>LOOKUP(E33,103:103,104:104)-LOOKUP(C33,103:103,104:104)+100</f>
        <v>100</v>
      </c>
      <c r="G33" s="1186"/>
      <c r="H33" s="1184">
        <f>LOOKUP(G33,103:103,104:104)-LOOKUP(C33,103:103,104:104)+100</f>
        <v>100</v>
      </c>
      <c r="I33" s="1187"/>
      <c r="J33" s="1184">
        <f>LOOKUP(I33,103:103,104:104)-LOOKUP(C33,103:103,104:104)+100</f>
        <v>100</v>
      </c>
      <c r="K33" s="2322"/>
      <c r="L33" s="1327"/>
      <c r="M33" s="1339"/>
      <c r="N33" s="1339"/>
      <c r="O33" s="1339"/>
      <c r="P33" s="1748"/>
      <c r="Q33" s="1616" t="str">
        <f t="shared" si="11"/>
        <v>项目建筑规模</v>
      </c>
      <c r="R33" s="1381" t="s">
        <v>1398</v>
      </c>
      <c r="S33" s="1382">
        <f t="shared" si="12"/>
        <v>100</v>
      </c>
      <c r="T33" s="1381" t="s">
        <v>1398</v>
      </c>
      <c r="U33" s="1382">
        <f t="shared" si="13"/>
        <v>100</v>
      </c>
      <c r="V33" s="1381" t="s">
        <v>1398</v>
      </c>
      <c r="W33" s="1382">
        <f t="shared" si="14"/>
        <v>100</v>
      </c>
      <c r="X33" s="1383"/>
      <c r="Y33" s="1341"/>
      <c r="Z33" s="1396" t="str">
        <f t="shared" si="18"/>
        <v>项目建筑规模</v>
      </c>
      <c r="AA33" s="1395">
        <f t="shared" si="15"/>
        <v>1</v>
      </c>
      <c r="AB33" s="1395">
        <f t="shared" si="16"/>
        <v>1</v>
      </c>
      <c r="AC33" s="1395">
        <f t="shared" si="17"/>
        <v>1</v>
      </c>
    </row>
    <row r="34" ht="15" spans="1:29">
      <c r="A34" s="1236"/>
      <c r="B34" s="1182" t="s">
        <v>1422</v>
      </c>
      <c r="C34" s="1739"/>
      <c r="D34" s="1194">
        <v>100</v>
      </c>
      <c r="E34" s="2309"/>
      <c r="F34" s="1577">
        <f>SUMIF(105:105,E34,106:106)-SUMIF(105:105,C34,106:106)+100</f>
        <v>100</v>
      </c>
      <c r="G34" s="1739"/>
      <c r="H34" s="1194">
        <f>SUMIF(105:105,G34,106:106)-SUMIF(105:105,C34,106:106)+100</f>
        <v>100</v>
      </c>
      <c r="I34" s="2309"/>
      <c r="J34" s="1194">
        <f>SUMIF(105:105,I34,106:106)-SUMIF(105:105,C34,106:106)+100</f>
        <v>100</v>
      </c>
      <c r="K34" s="2321"/>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8"/>
        <v>建筑结构</v>
      </c>
      <c r="AA34" s="1395">
        <f t="shared" si="15"/>
        <v>1</v>
      </c>
      <c r="AB34" s="1395">
        <f t="shared" si="16"/>
        <v>1</v>
      </c>
      <c r="AC34" s="1395">
        <f t="shared" si="17"/>
        <v>1</v>
      </c>
    </row>
    <row r="35" ht="15" spans="1:29">
      <c r="A35" s="1236"/>
      <c r="B35" s="1182" t="s">
        <v>1423</v>
      </c>
      <c r="C35" s="1237"/>
      <c r="D35" s="1194">
        <v>100</v>
      </c>
      <c r="E35" s="2307"/>
      <c r="F35" s="1577">
        <f>SUMIF(107:107,E35,108:108)-SUMIF(107:107,C35,108:108)+100</f>
        <v>100</v>
      </c>
      <c r="G35" s="1237"/>
      <c r="H35" s="1194">
        <f>SUMIF(107:107,G35,108:108)-SUMIF(107:107,C35,108:108)+100</f>
        <v>100</v>
      </c>
      <c r="I35" s="2307"/>
      <c r="J35" s="1194">
        <f>SUMIF(107:107,I35,108:108)-SUMIF(107:107,C35,108:108)+100</f>
        <v>100</v>
      </c>
      <c r="K35" s="2321"/>
      <c r="L35" s="1329"/>
      <c r="M35" s="1313"/>
      <c r="N35" s="1313"/>
      <c r="O35" s="1313"/>
      <c r="P35" s="1748"/>
      <c r="Q35" s="717" t="str">
        <f t="shared" si="11"/>
        <v>建筑品质</v>
      </c>
      <c r="R35" s="1379" t="s">
        <v>1398</v>
      </c>
      <c r="S35" s="1380">
        <f t="shared" si="12"/>
        <v>100</v>
      </c>
      <c r="T35" s="1379" t="s">
        <v>1398</v>
      </c>
      <c r="U35" s="1380">
        <f t="shared" si="13"/>
        <v>100</v>
      </c>
      <c r="V35" s="1379" t="s">
        <v>1398</v>
      </c>
      <c r="W35" s="1380">
        <f t="shared" si="14"/>
        <v>100</v>
      </c>
      <c r="X35" s="1366"/>
      <c r="Y35" s="1341"/>
      <c r="Z35" s="1353" t="str">
        <f t="shared" si="18"/>
        <v>建筑品质</v>
      </c>
      <c r="AA35" s="1395">
        <f t="shared" si="15"/>
        <v>1</v>
      </c>
      <c r="AB35" s="1395">
        <f t="shared" si="16"/>
        <v>1</v>
      </c>
      <c r="AC35" s="1395">
        <f t="shared" si="17"/>
        <v>1</v>
      </c>
    </row>
    <row r="36" ht="15" spans="1:29">
      <c r="A36" s="1236"/>
      <c r="B36" s="1182" t="s">
        <v>1424</v>
      </c>
      <c r="C36" s="1237"/>
      <c r="D36" s="1194">
        <v>100</v>
      </c>
      <c r="E36" s="2307"/>
      <c r="F36" s="1577">
        <f>SUMIF(109:109,E36,110:110)-SUMIF(109:109,C36,110:110)+100</f>
        <v>100</v>
      </c>
      <c r="G36" s="1237"/>
      <c r="H36" s="1194">
        <f>SUMIF(109:109,G36,110:110)-SUMIF(109:109,C36,110:110)+100</f>
        <v>100</v>
      </c>
      <c r="I36" s="2307"/>
      <c r="J36" s="1194">
        <f>SUMIF(109:109,I36,110:110)-SUMIF(109:109,C36,110:110)+100</f>
        <v>100</v>
      </c>
      <c r="K36" s="2321"/>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v>0.8</v>
      </c>
      <c r="D37" s="1184">
        <v>100</v>
      </c>
      <c r="E37" s="1584">
        <v>0.8</v>
      </c>
      <c r="F37" s="1570">
        <f>LOOKUP(E37,112:112,113:113)-LOOKUP(C37,112:112,113:113)+100</f>
        <v>100</v>
      </c>
      <c r="G37" s="1586">
        <v>0.8</v>
      </c>
      <c r="H37" s="1184">
        <f>LOOKUP(G37,112:112,113:113)-LOOKUP(C37,112:112,113:113)+100</f>
        <v>100</v>
      </c>
      <c r="I37" s="1585">
        <v>0.8</v>
      </c>
      <c r="J37" s="1184">
        <f>LOOKUP(I37,112:112,113:113)-LOOKUP(C37,112:112,113:113)+100</f>
        <v>100</v>
      </c>
      <c r="K37" s="2321"/>
      <c r="L37" s="1318"/>
      <c r="M37" s="1319"/>
      <c r="N37" s="1319"/>
      <c r="O37" s="1319"/>
      <c r="P37" s="1748"/>
      <c r="Q37" s="1378" t="str">
        <f t="shared" si="11"/>
        <v>成新度</v>
      </c>
      <c r="R37" s="1374" t="s">
        <v>1398</v>
      </c>
      <c r="S37" s="1375">
        <f t="shared" si="12"/>
        <v>100</v>
      </c>
      <c r="T37" s="1374" t="s">
        <v>1398</v>
      </c>
      <c r="U37" s="1375">
        <f t="shared" si="13"/>
        <v>100</v>
      </c>
      <c r="V37" s="1374" t="s">
        <v>1398</v>
      </c>
      <c r="W37" s="1375">
        <f t="shared" si="14"/>
        <v>100</v>
      </c>
      <c r="X37" s="1376"/>
      <c r="Y37" s="1341"/>
      <c r="Z37" s="1394" t="str">
        <f t="shared" si="18"/>
        <v>成新度</v>
      </c>
      <c r="AA37" s="1393">
        <f t="shared" si="15"/>
        <v>1</v>
      </c>
      <c r="AB37" s="1393">
        <f t="shared" si="16"/>
        <v>1</v>
      </c>
      <c r="AC37" s="1393">
        <f t="shared" si="17"/>
        <v>1</v>
      </c>
    </row>
    <row r="38" ht="15" spans="1:29">
      <c r="A38" s="1236"/>
      <c r="B38" s="1182" t="s">
        <v>1425</v>
      </c>
      <c r="C38" s="1237"/>
      <c r="D38" s="1194">
        <v>100</v>
      </c>
      <c r="E38" s="2307"/>
      <c r="F38" s="1577">
        <f>SUMIF(114:114,E38,115:115)-SUMIF(114:114,C38,115:115)+100</f>
        <v>100</v>
      </c>
      <c r="G38" s="1237"/>
      <c r="H38" s="1194">
        <f>SUMIF(114:114,G38,115:115)-SUMIF(114:114,C38,115:115)+100</f>
        <v>100</v>
      </c>
      <c r="I38" s="2307"/>
      <c r="J38" s="1194">
        <f>SUMIF(114:114,I38,115:115)-SUMIF(114:114,C38,115:115)+100</f>
        <v>100</v>
      </c>
      <c r="K38" s="2321"/>
      <c r="L38" s="1329"/>
      <c r="M38" s="1313"/>
      <c r="N38" s="1313"/>
      <c r="O38" s="1313"/>
      <c r="P38" s="1748" t="s">
        <v>1420</v>
      </c>
      <c r="Q38" s="717" t="str">
        <f t="shared" si="11"/>
        <v>物业管理</v>
      </c>
      <c r="R38" s="1379" t="s">
        <v>1398</v>
      </c>
      <c r="S38" s="1380">
        <f t="shared" si="12"/>
        <v>100</v>
      </c>
      <c r="T38" s="1379" t="s">
        <v>1398</v>
      </c>
      <c r="U38" s="1380">
        <f t="shared" si="13"/>
        <v>100</v>
      </c>
      <c r="V38" s="1379" t="s">
        <v>1398</v>
      </c>
      <c r="W38" s="1380">
        <f t="shared" si="14"/>
        <v>100</v>
      </c>
      <c r="X38" s="1366"/>
      <c r="Y38" s="1341" t="s">
        <v>1420</v>
      </c>
      <c r="Z38" s="1353" t="str">
        <f t="shared" si="18"/>
        <v>物业管理</v>
      </c>
      <c r="AA38" s="1395">
        <f t="shared" si="15"/>
        <v>1</v>
      </c>
      <c r="AB38" s="1395">
        <f t="shared" si="16"/>
        <v>1</v>
      </c>
      <c r="AC38" s="1395">
        <f t="shared" si="17"/>
        <v>1</v>
      </c>
    </row>
    <row r="39" ht="15" spans="1:29">
      <c r="A39" s="1236"/>
      <c r="B39" s="1182" t="s">
        <v>1426</v>
      </c>
      <c r="C39" s="1237"/>
      <c r="D39" s="1194">
        <v>100</v>
      </c>
      <c r="E39" s="2307"/>
      <c r="F39" s="1577">
        <f>SUMIF(116:116,E39,117:117)-SUMIF(116:116,C39,117:117)+100</f>
        <v>100</v>
      </c>
      <c r="G39" s="1237"/>
      <c r="H39" s="1194">
        <f>SUMIF(116:116,G39,117:117)-SUMIF(116:116,C39,117:117)+100</f>
        <v>100</v>
      </c>
      <c r="I39" s="2307"/>
      <c r="J39" s="1194">
        <f>SUMIF(116:116,I39,117:117)-SUMIF(116:116,C39,117:117)+100</f>
        <v>100</v>
      </c>
      <c r="K39" s="2321"/>
      <c r="L39" s="1329"/>
      <c r="M39" s="1313"/>
      <c r="N39" s="1313"/>
      <c r="O39" s="1313"/>
      <c r="P39" s="1748"/>
      <c r="Q39" s="717" t="str">
        <f t="shared" si="11"/>
        <v>市政基础设施</v>
      </c>
      <c r="R39" s="1379" t="s">
        <v>1398</v>
      </c>
      <c r="S39" s="1380">
        <f t="shared" si="12"/>
        <v>100</v>
      </c>
      <c r="T39" s="1379" t="s">
        <v>1398</v>
      </c>
      <c r="U39" s="1380">
        <f t="shared" si="13"/>
        <v>100</v>
      </c>
      <c r="V39" s="1379" t="s">
        <v>1398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1427</v>
      </c>
      <c r="C40" s="1237"/>
      <c r="D40" s="1194">
        <v>100</v>
      </c>
      <c r="E40" s="2307"/>
      <c r="F40" s="1577">
        <f>SUMIF(118:118,E40,119:119)-SUMIF(118:118,C40,119:119)+100</f>
        <v>100</v>
      </c>
      <c r="G40" s="1237"/>
      <c r="H40" s="1194">
        <f>SUMIF(118:118,G40,119:119)-SUMIF(118:118,C40,119:119)+100</f>
        <v>100</v>
      </c>
      <c r="I40" s="2307"/>
      <c r="J40" s="1194">
        <f>SUMIF(118:118,I40,119:119)-SUMIF(118:118,C40,119:119)+100</f>
        <v>100</v>
      </c>
      <c r="K40" s="2321"/>
      <c r="L40" s="1329"/>
      <c r="M40" s="1313"/>
      <c r="N40" s="1313"/>
      <c r="O40" s="1313"/>
      <c r="P40" s="1748"/>
      <c r="Q40" s="717" t="str">
        <f t="shared" si="11"/>
        <v>房型</v>
      </c>
      <c r="R40" s="1379" t="s">
        <v>1398</v>
      </c>
      <c r="S40" s="1380">
        <f t="shared" si="12"/>
        <v>100</v>
      </c>
      <c r="T40" s="1379" t="s">
        <v>1398</v>
      </c>
      <c r="U40" s="1380">
        <f t="shared" si="13"/>
        <v>100</v>
      </c>
      <c r="V40" s="1379" t="s">
        <v>1398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1428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2322"/>
      <c r="L41" s="1327"/>
      <c r="M41" s="1339"/>
      <c r="N41" s="1339"/>
      <c r="O41" s="1339"/>
      <c r="P41" s="1748"/>
      <c r="Q41" s="1616" t="str">
        <f t="shared" si="11"/>
        <v>单套/主力户型建筑面积</v>
      </c>
      <c r="R41" s="1381" t="s">
        <v>1398</v>
      </c>
      <c r="S41" s="1382">
        <f t="shared" si="12"/>
        <v>100</v>
      </c>
      <c r="T41" s="1381" t="s">
        <v>1398</v>
      </c>
      <c r="U41" s="1382">
        <f t="shared" si="13"/>
        <v>100</v>
      </c>
      <c r="V41" s="1381" t="s">
        <v>1398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1429</v>
      </c>
      <c r="C42" s="1237"/>
      <c r="D42" s="1194">
        <v>100</v>
      </c>
      <c r="E42" s="2307"/>
      <c r="F42" s="1577">
        <f>SUMIF(122:122,E42,123:123)-SUMIF(122:122,C42,123:123)+100</f>
        <v>100</v>
      </c>
      <c r="G42" s="1237"/>
      <c r="H42" s="1194">
        <f>SUMIF(122:122,G42,123:123)-SUMIF(122:122,C42,123:123)+100</f>
        <v>100</v>
      </c>
      <c r="I42" s="2307"/>
      <c r="J42" s="1194">
        <f>SUMIF(122:122,I42,123:123)-SUMIF(122:122,C42,123:123)+100</f>
        <v>100</v>
      </c>
      <c r="K42" s="2321"/>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8"/>
        <v>内部装修</v>
      </c>
      <c r="AA42" s="1395">
        <f t="shared" si="15"/>
        <v>1</v>
      </c>
      <c r="AB42" s="1395">
        <f t="shared" si="16"/>
        <v>1</v>
      </c>
      <c r="AC42" s="1395">
        <f t="shared" si="17"/>
        <v>1</v>
      </c>
    </row>
    <row r="43" ht="15" spans="1:29">
      <c r="A43" s="1236"/>
      <c r="B43" s="1182" t="s">
        <v>1430</v>
      </c>
      <c r="C43" s="1237"/>
      <c r="D43" s="1194">
        <v>100</v>
      </c>
      <c r="E43" s="2307"/>
      <c r="F43" s="1577">
        <f>SUMIF(124:124,E43,125:125)-SUMIF(124:124,C43,125:125)+100</f>
        <v>100</v>
      </c>
      <c r="G43" s="1237"/>
      <c r="H43" s="1194">
        <f>SUMIF(124:124,G43,125:125)-SUMIF(124:124,C43,125:125)+100</f>
        <v>100</v>
      </c>
      <c r="I43" s="2307"/>
      <c r="J43" s="1194">
        <f>SUMIF(124:124,I43,125:125)-SUMIF(124:124,C43,125:125)+100</f>
        <v>100</v>
      </c>
      <c r="K43" s="2321"/>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2322"/>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2322"/>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2322"/>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8"/>
        <v>111</v>
      </c>
      <c r="AA46" s="1395">
        <f t="shared" si="15"/>
        <v>1</v>
      </c>
      <c r="AB46" s="1395">
        <f t="shared" si="16"/>
        <v>1</v>
      </c>
      <c r="AC46" s="1395">
        <f t="shared" si="17"/>
        <v>1</v>
      </c>
    </row>
    <row r="47" ht="15" spans="1:29">
      <c r="A47" s="1243" t="s">
        <v>1431</v>
      </c>
      <c r="B47" s="1591"/>
      <c r="C47" s="1592" t="s">
        <v>124</v>
      </c>
      <c r="D47" s="1593"/>
      <c r="E47" s="1594">
        <v>33000</v>
      </c>
      <c r="F47" s="1595"/>
      <c r="G47" s="1596">
        <v>37813</v>
      </c>
      <c r="H47" s="1597"/>
      <c r="I47" s="1594">
        <v>47670</v>
      </c>
      <c r="J47" s="1597"/>
      <c r="K47" s="2326"/>
      <c r="L47" s="1345"/>
      <c r="M47" s="1260"/>
      <c r="N47" s="1313"/>
      <c r="O47" s="1260"/>
      <c r="P47" s="717" t="str">
        <f>A47</f>
        <v>成交单价（元/平方米）</v>
      </c>
      <c r="Q47" s="717"/>
      <c r="R47" s="1395">
        <f>E47</f>
        <v>33000</v>
      </c>
      <c r="S47" s="1395"/>
      <c r="T47" s="1395">
        <f>G47</f>
        <v>37813</v>
      </c>
      <c r="U47" s="1395"/>
      <c r="V47" s="1395">
        <f>I47</f>
        <v>47670</v>
      </c>
      <c r="W47" s="1395"/>
      <c r="X47" s="1301"/>
      <c r="Y47" s="1397"/>
      <c r="Z47" s="1301"/>
      <c r="AA47" s="1301"/>
      <c r="AB47" s="1301"/>
      <c r="AC47" s="1301"/>
    </row>
    <row r="48" ht="15.75" spans="1:29">
      <c r="A48" s="1251" t="s">
        <v>1432</v>
      </c>
      <c r="B48" s="1598"/>
      <c r="C48" s="1599">
        <f>R49</f>
        <v>37614</v>
      </c>
      <c r="D48" s="1254" t="s">
        <v>1433</v>
      </c>
      <c r="E48" s="1600">
        <f>R48</f>
        <v>31429</v>
      </c>
      <c r="F48" s="1255"/>
      <c r="G48" s="1599">
        <f>T48</f>
        <v>36012</v>
      </c>
      <c r="H48" s="1255"/>
      <c r="I48" s="1600">
        <f>V48</f>
        <v>45400</v>
      </c>
      <c r="J48" s="1255"/>
      <c r="K48" s="2327">
        <f>F48+H48+J48</f>
        <v>0</v>
      </c>
      <c r="L48" s="1345"/>
      <c r="M48" s="1260"/>
      <c r="N48" s="1260"/>
      <c r="O48" s="1260"/>
      <c r="P48" s="717" t="str">
        <f>A48</f>
        <v>比较价值（元/平方米）</v>
      </c>
      <c r="Q48" s="717"/>
      <c r="R48" s="1395">
        <f>IF(F1="售价",ROUND(PRODUCT(R47,AA7:AA46),0),ROUND(PRODUCT(R47,AA7:AA46),1))</f>
        <v>31429</v>
      </c>
      <c r="S48" s="1395"/>
      <c r="T48" s="1395">
        <f>IF(F1="售价",ROUND(PRODUCT(T47,AB7:AB46),0),ROUND(PRODUCT(T47,AB7:AB46),1))</f>
        <v>36012</v>
      </c>
      <c r="U48" s="1395"/>
      <c r="V48" s="1395">
        <f>IF(F1="售价",ROUND(PRODUCT(V47,AC7:AC46),0),ROUND(PRODUCT(V47,AC7:AC46),1))</f>
        <v>45400</v>
      </c>
      <c r="W48" s="1395"/>
      <c r="X48" s="1301"/>
      <c r="Y48" s="1301"/>
      <c r="Z48" s="1301"/>
      <c r="AA48" s="1301"/>
      <c r="AB48" s="1301"/>
      <c r="AC48" s="1301"/>
    </row>
    <row r="49" ht="15.75" spans="1:29">
      <c r="A49" s="1257" t="s">
        <v>1434</v>
      </c>
      <c r="B49" s="1258"/>
      <c r="C49" s="2310">
        <f>R49</f>
        <v>37614</v>
      </c>
      <c r="D49" s="1601"/>
      <c r="E49" s="1601"/>
      <c r="F49" s="1601"/>
      <c r="G49" s="1601"/>
      <c r="H49" s="1601"/>
      <c r="I49" s="1601"/>
      <c r="J49" s="1601"/>
      <c r="K49" s="2328"/>
      <c r="L49" s="1345"/>
      <c r="M49" s="1260"/>
      <c r="N49" s="1260"/>
      <c r="O49" s="1260"/>
      <c r="P49" s="1348" t="str">
        <f>A49</f>
        <v>估价对象XX用房的比较价值（楼面单价，元/平方米）</v>
      </c>
      <c r="Q49" s="1385"/>
      <c r="R49" s="1723">
        <f>IF(F1="售价",ROUND(IF(D48="简单平均",AVERAGE(R48:V48),R48*F48+T48*H48+V48*J48),0),ROUND(IF(D48="简单平均",AVERAGE(R48:V48),R48*F48+T48*H48+V48*J48),1))</f>
        <v>37614</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1435</v>
      </c>
      <c r="D52" s="761"/>
      <c r="E52" s="1263">
        <f>IF(E47&lt;E48,E48/E47-1,E47/E48-1)</f>
        <v>0.049985682013427</v>
      </c>
      <c r="F52" s="1264" t="str">
        <f>IF(OR(E52&gt;=0.3,E52&lt;=-0.3),"超过30%","")</f>
        <v/>
      </c>
      <c r="G52" s="1263">
        <f>IF(G47&lt;G48,G48/G47-1,G47/G48-1)</f>
        <v>0.0500111074086416</v>
      </c>
      <c r="H52" s="1264" t="str">
        <f>IF(OR(G52&gt;=0.3,G52&lt;=-0.3),"超过30%","")</f>
        <v/>
      </c>
      <c r="I52" s="1263">
        <f>IF(I47&lt;I48,I48/I47-1,I47/I48-1)</f>
        <v>0.05</v>
      </c>
      <c r="J52" s="1264" t="str">
        <f>IF(OR(I52&gt;=0.3,I52&lt;=-0.3),"超过30%","")</f>
        <v/>
      </c>
      <c r="K52" s="1349"/>
      <c r="L52" s="1350"/>
      <c r="M52" s="1260"/>
      <c r="N52" s="1260"/>
      <c r="O52" s="1260"/>
    </row>
    <row r="53" ht="13.5" customHeight="1" spans="1:15">
      <c r="A53" s="1260"/>
      <c r="B53" s="1260"/>
      <c r="C53" s="1262" t="s">
        <v>1436</v>
      </c>
      <c r="D53" s="760"/>
      <c r="E53" s="1263">
        <f>IF(E48&lt;G48,G48/E48-1,E48/G48-1)</f>
        <v>0.145820738808107</v>
      </c>
      <c r="F53" s="1264" t="str">
        <f>IF(OR(E53&gt;=0.2,E53&lt;=-0.2),"超过20%","")</f>
        <v/>
      </c>
      <c r="G53" s="1263">
        <f>IF(G48&lt;I48,I48/G48-1,G48/I48-1)</f>
        <v>0.260690880817505</v>
      </c>
      <c r="H53" s="1264" t="str">
        <f>IF(OR(G53&gt;=0.2,G53&lt;=-0.2),"超过20%","")</f>
        <v>超过20%</v>
      </c>
      <c r="I53" s="1263">
        <f>IF(I48&lt;E48,E48/I48-1,I48/E48-1)</f>
        <v>0.444525756466957</v>
      </c>
      <c r="J53" s="1264" t="str">
        <f>IF(OR(I53&gt;=0.2,I53&lt;=-0.2),"超过20%","")</f>
        <v>超过20%</v>
      </c>
      <c r="K53" s="1349"/>
      <c r="L53" s="1350"/>
      <c r="M53" s="1260"/>
      <c r="N53" s="1260"/>
      <c r="O53" s="1260"/>
    </row>
    <row r="54" s="1135" customFormat="1" ht="13.5" customHeight="1" spans="1:16">
      <c r="A54" s="1265"/>
      <c r="B54" s="1265"/>
      <c r="C54" s="1262" t="s">
        <v>1437</v>
      </c>
      <c r="D54" s="760"/>
      <c r="E54" s="1263">
        <f>IF(E47&lt;G47,G47/E47-1,E47/G47-1)</f>
        <v>0.145848484848485</v>
      </c>
      <c r="F54" s="1264" t="str">
        <f>IF(OR(E54&gt;=0.3,E54&lt;=-0.3),"超过30%","")</f>
        <v/>
      </c>
      <c r="G54" s="1263">
        <f>IF(G47&lt;I47,I47/G47-1,G47/I47-1)</f>
        <v>0.260677544759739</v>
      </c>
      <c r="H54" s="1264" t="str">
        <f>IF(OR(G54&gt;=0.3,G54&lt;=-0.3),"超过30%","")</f>
        <v/>
      </c>
      <c r="I54" s="1263">
        <f>IF(I47&lt;E47,E47/I47-1,I47/E47-1)</f>
        <v>0.444545454545455</v>
      </c>
      <c r="J54" s="1264" t="str">
        <f>IF(OR(I54&gt;=0.3,I54&lt;=-0.3),"超过30%","")</f>
        <v>超过30%</v>
      </c>
      <c r="K54" s="1351"/>
      <c r="L54" s="1352"/>
      <c r="M54" s="1265"/>
      <c r="N54" s="1265"/>
      <c r="O54" s="1265"/>
      <c r="P54" s="2329"/>
    </row>
    <row r="55" s="1135" customFormat="1" spans="1:16">
      <c r="A55" s="1265"/>
      <c r="B55" s="1266"/>
      <c r="C55" s="1602"/>
      <c r="D55" s="1265"/>
      <c r="E55" s="1265"/>
      <c r="F55" s="1265"/>
      <c r="G55" s="1265"/>
      <c r="H55" s="1265"/>
      <c r="I55" s="1265"/>
      <c r="J55" s="1265"/>
      <c r="K55" s="1351"/>
      <c r="L55" s="1352"/>
      <c r="M55" s="1265"/>
      <c r="N55" s="1265"/>
      <c r="O55" s="1265"/>
      <c r="P55" s="2329"/>
    </row>
    <row r="56" spans="1:15">
      <c r="A56" s="1260"/>
      <c r="B56" s="1266"/>
      <c r="C56" s="1602"/>
      <c r="D56" s="1260"/>
      <c r="E56" s="1260"/>
      <c r="F56" s="1260"/>
      <c r="G56" s="1260"/>
      <c r="H56" s="1260"/>
      <c r="I56" s="1260"/>
      <c r="J56" s="1260"/>
      <c r="K56" s="1349"/>
      <c r="L56" s="1350"/>
      <c r="M56" s="1260"/>
      <c r="N56" s="1260"/>
      <c r="O56" s="1260"/>
    </row>
    <row r="57" ht="21" spans="1:17">
      <c r="A57" s="1300" t="s">
        <v>1438</v>
      </c>
      <c r="B57" s="1301"/>
      <c r="C57" s="1302"/>
      <c r="D57" s="1302"/>
      <c r="E57" s="1302"/>
      <c r="F57" s="1303"/>
      <c r="G57" s="1303"/>
      <c r="H57" s="1302"/>
      <c r="I57" s="1302"/>
      <c r="J57" s="1302"/>
      <c r="K57" s="1546"/>
      <c r="L57" s="1547"/>
      <c r="M57" s="1361"/>
      <c r="N57" s="1361"/>
      <c r="O57" s="1361"/>
      <c r="P57" s="2330"/>
      <c r="Q57" s="1713"/>
    </row>
    <row r="58" s="1137" customFormat="1" ht="15" spans="1:16">
      <c r="A58" s="1603" t="s">
        <v>1396</v>
      </c>
      <c r="B58" s="1604"/>
      <c r="C58" s="2311"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2331"/>
    </row>
    <row r="59" s="1132" customFormat="1" ht="15" spans="1:16">
      <c r="A59" s="1607"/>
      <c r="B59" s="2312"/>
      <c r="C59" s="1608">
        <v>100</v>
      </c>
      <c r="D59" s="1742"/>
      <c r="E59" s="1413"/>
      <c r="F59" s="1413"/>
      <c r="G59" s="1413"/>
      <c r="H59" s="1413"/>
      <c r="I59" s="1413"/>
      <c r="J59" s="1413"/>
      <c r="K59" s="1413"/>
      <c r="L59" s="1413"/>
      <c r="M59" s="1615"/>
      <c r="N59" s="1413"/>
      <c r="O59" s="1615"/>
      <c r="P59" s="2332"/>
    </row>
    <row r="60" s="1132" customFormat="1" ht="15.75" spans="1:17">
      <c r="A60" s="1404" t="s">
        <v>1439</v>
      </c>
      <c r="B60" s="1405"/>
      <c r="C60" s="1406"/>
      <c r="D60" s="1407"/>
      <c r="E60" s="1407"/>
      <c r="F60" s="1407"/>
      <c r="G60" s="1407"/>
      <c r="H60" s="1407"/>
      <c r="I60" s="1407"/>
      <c r="J60" s="1407"/>
      <c r="K60" s="1407"/>
      <c r="L60" s="1407"/>
      <c r="M60" s="1455"/>
      <c r="N60" s="1407"/>
      <c r="O60" s="1455"/>
      <c r="P60" s="2332"/>
      <c r="Q60" s="1713"/>
    </row>
    <row r="61" s="1132" customFormat="1" ht="15" spans="1:17">
      <c r="A61" s="1408" t="s">
        <v>1399</v>
      </c>
      <c r="B61" s="1409"/>
      <c r="C61" s="1410" t="s">
        <v>1440</v>
      </c>
      <c r="D61" s="2279" t="s">
        <v>1401</v>
      </c>
      <c r="E61" s="1411"/>
      <c r="F61" s="1411"/>
      <c r="G61" s="1411"/>
      <c r="H61" s="1411"/>
      <c r="I61" s="1411"/>
      <c r="J61" s="1411"/>
      <c r="K61" s="1411"/>
      <c r="L61" s="1457"/>
      <c r="M61" s="1458"/>
      <c r="N61" s="1716"/>
      <c r="O61" s="1716"/>
      <c r="P61" s="2333"/>
      <c r="Q61" s="1713"/>
    </row>
    <row r="62" s="1132" customFormat="1" ht="15.75" spans="1:17">
      <c r="A62" s="1408"/>
      <c r="B62" s="1409"/>
      <c r="C62" s="1742">
        <v>100</v>
      </c>
      <c r="D62" s="1413">
        <v>105</v>
      </c>
      <c r="E62" s="1413"/>
      <c r="F62" s="1413"/>
      <c r="G62" s="1413"/>
      <c r="H62" s="1413"/>
      <c r="I62" s="1413"/>
      <c r="J62" s="1413"/>
      <c r="K62" s="1413"/>
      <c r="L62" s="1413"/>
      <c r="M62" s="1461"/>
      <c r="N62" s="1716"/>
      <c r="O62" s="1716"/>
      <c r="P62" s="2332"/>
      <c r="Q62" s="1713"/>
    </row>
    <row r="63" spans="1:17">
      <c r="A63" s="1414" t="s">
        <v>1441</v>
      </c>
      <c r="B63" s="1415" t="s">
        <v>1404</v>
      </c>
      <c r="C63" s="1437">
        <f>C9</f>
        <v>0</v>
      </c>
      <c r="D63" s="1342"/>
      <c r="E63" s="1342"/>
      <c r="F63" s="1342"/>
      <c r="G63" s="1342"/>
      <c r="H63" s="1342"/>
      <c r="I63" s="1342"/>
      <c r="J63" s="1342"/>
      <c r="K63" s="1462"/>
      <c r="L63" s="1463"/>
      <c r="M63" s="1464"/>
      <c r="N63" s="1718"/>
      <c r="O63" s="1718"/>
      <c r="P63" s="2334"/>
      <c r="Q63" s="1713"/>
    </row>
    <row r="64" ht="15.75" spans="1:17">
      <c r="A64" s="1416"/>
      <c r="B64" s="1417"/>
      <c r="C64" s="1418">
        <v>100</v>
      </c>
      <c r="D64" s="1418"/>
      <c r="E64" s="1418"/>
      <c r="F64" s="1418"/>
      <c r="G64" s="1418"/>
      <c r="H64" s="1418"/>
      <c r="I64" s="1418"/>
      <c r="J64" s="1418"/>
      <c r="K64" s="1418"/>
      <c r="L64" s="1418"/>
      <c r="M64" s="1467"/>
      <c r="N64" s="1720"/>
      <c r="O64" s="1720"/>
      <c r="P64" s="2334"/>
      <c r="Q64" s="1713"/>
    </row>
    <row r="65" ht="27.75" spans="1:17">
      <c r="A65" s="1416"/>
      <c r="B65" s="1419" t="s">
        <v>1407</v>
      </c>
      <c r="C65" s="1444"/>
      <c r="D65" s="1444"/>
      <c r="E65" s="1444"/>
      <c r="F65" s="1444"/>
      <c r="G65" s="1444"/>
      <c r="H65" s="1444"/>
      <c r="I65" s="1444"/>
      <c r="J65" s="1444"/>
      <c r="K65" s="1444"/>
      <c r="L65" s="1444"/>
      <c r="M65" s="1444"/>
      <c r="N65" s="1720"/>
      <c r="O65" s="1720"/>
      <c r="P65" s="2334"/>
      <c r="Q65" s="1713"/>
    </row>
    <row r="66" ht="15.75" spans="1:17">
      <c r="A66" s="1416"/>
      <c r="B66" s="1421"/>
      <c r="C66" s="1418"/>
      <c r="D66" s="1418"/>
      <c r="E66" s="1418"/>
      <c r="F66" s="1418"/>
      <c r="G66" s="1418"/>
      <c r="H66" s="1418"/>
      <c r="I66" s="1418"/>
      <c r="J66" s="1418"/>
      <c r="K66" s="1418"/>
      <c r="L66" s="1418"/>
      <c r="M66" s="1467"/>
      <c r="N66" s="1720"/>
      <c r="O66" s="1720"/>
      <c r="P66" s="2334"/>
      <c r="Q66" s="1713"/>
    </row>
    <row r="67" ht="15.75" spans="1:17">
      <c r="A67" s="1416"/>
      <c r="B67" s="1423" t="s">
        <v>1408</v>
      </c>
      <c r="C67" s="1424" t="str">
        <f>C68&amp;"（含）"&amp;"-"&amp;D68</f>
        <v>0（含）-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2334"/>
      <c r="Q67" s="1713"/>
    </row>
    <row r="68" ht="15" spans="1:17">
      <c r="A68" s="1416"/>
      <c r="B68" s="1425"/>
      <c r="C68" s="1191">
        <v>0</v>
      </c>
      <c r="D68" s="1191"/>
      <c r="E68" s="1191"/>
      <c r="F68" s="1191"/>
      <c r="G68" s="1191"/>
      <c r="H68" s="1191"/>
      <c r="I68" s="1191"/>
      <c r="J68" s="1191"/>
      <c r="K68" s="1473"/>
      <c r="L68" s="1474"/>
      <c r="M68" s="1475"/>
      <c r="N68" s="1718"/>
      <c r="O68" s="1718"/>
      <c r="P68" s="233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233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2338"/>
      <c r="Q70" s="1724"/>
    </row>
    <row r="71" s="1134" customFormat="1" ht="15.75" spans="1:17">
      <c r="A71" s="1426"/>
      <c r="B71" s="1421"/>
      <c r="C71" s="1429"/>
      <c r="D71" s="1418"/>
      <c r="E71" s="1418"/>
      <c r="F71" s="1418"/>
      <c r="G71" s="1418"/>
      <c r="H71" s="1418"/>
      <c r="I71" s="1418"/>
      <c r="J71" s="1418"/>
      <c r="K71" s="1418"/>
      <c r="L71" s="1418"/>
      <c r="M71" s="1467"/>
      <c r="N71" s="1720"/>
      <c r="O71" s="1720"/>
      <c r="P71" s="233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2339"/>
      <c r="Q72" s="1730"/>
    </row>
    <row r="73" s="1134" customFormat="1" ht="15.75" spans="1:17">
      <c r="A73" s="1426"/>
      <c r="B73" s="1421"/>
      <c r="C73" s="1429"/>
      <c r="D73" s="1429"/>
      <c r="E73" s="1429"/>
      <c r="F73" s="1429"/>
      <c r="G73" s="1429"/>
      <c r="H73" s="1430"/>
      <c r="I73" s="1430"/>
      <c r="J73" s="1430"/>
      <c r="K73" s="1430"/>
      <c r="L73" s="1430"/>
      <c r="M73" s="1480"/>
      <c r="N73" s="1721"/>
      <c r="O73" s="1721"/>
      <c r="P73" s="233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2340"/>
      <c r="Q74" s="1724"/>
    </row>
    <row r="75" s="1134" customFormat="1" ht="15.75" spans="1:17">
      <c r="A75" s="1432"/>
      <c r="B75" s="1433"/>
      <c r="C75" s="1434"/>
      <c r="D75" s="1434"/>
      <c r="E75" s="1434"/>
      <c r="F75" s="1434"/>
      <c r="G75" s="1434"/>
      <c r="H75" s="1435"/>
      <c r="I75" s="1435"/>
      <c r="J75" s="1435"/>
      <c r="K75" s="1435"/>
      <c r="L75" s="1435"/>
      <c r="M75" s="1484"/>
      <c r="N75" s="1721"/>
      <c r="O75" s="1721"/>
      <c r="P75" s="2338"/>
      <c r="Q75" s="1724"/>
    </row>
    <row r="76" spans="1:17">
      <c r="A76" s="1414" t="s">
        <v>1409</v>
      </c>
      <c r="B76" s="1415" t="s">
        <v>1410</v>
      </c>
      <c r="C76" s="1436" t="s">
        <v>1442</v>
      </c>
      <c r="D76" s="1436" t="s">
        <v>1443</v>
      </c>
      <c r="E76" s="1436" t="s">
        <v>1444</v>
      </c>
      <c r="F76" s="1436" t="s">
        <v>1445</v>
      </c>
      <c r="G76" s="1436" t="s">
        <v>1446</v>
      </c>
      <c r="H76" s="1437"/>
      <c r="I76" s="1437"/>
      <c r="J76" s="1437"/>
      <c r="K76" s="1485"/>
      <c r="L76" s="1486"/>
      <c r="M76" s="1487"/>
      <c r="N76" s="1718"/>
      <c r="O76" s="1718"/>
      <c r="P76" s="234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2334"/>
      <c r="Q77" s="1713"/>
    </row>
    <row r="78" ht="15.75" spans="1:17">
      <c r="A78" s="1416"/>
      <c r="B78" s="1419" t="s">
        <v>1412</v>
      </c>
      <c r="C78" s="1438" t="s">
        <v>1442</v>
      </c>
      <c r="D78" s="1438" t="s">
        <v>1443</v>
      </c>
      <c r="E78" s="1438" t="s">
        <v>1444</v>
      </c>
      <c r="F78" s="1438" t="s">
        <v>1445</v>
      </c>
      <c r="G78" s="1438" t="s">
        <v>1446</v>
      </c>
      <c r="H78" s="1420"/>
      <c r="I78" s="1420"/>
      <c r="J78" s="1420"/>
      <c r="K78" s="1469"/>
      <c r="L78" s="1470"/>
      <c r="M78" s="1471"/>
      <c r="N78" s="1718"/>
      <c r="O78" s="1718"/>
      <c r="P78" s="233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2334"/>
      <c r="Q79" s="1713"/>
    </row>
    <row r="80" ht="15.75" spans="1:17">
      <c r="A80" s="1416"/>
      <c r="B80" s="1419" t="s">
        <v>1413</v>
      </c>
      <c r="C80" s="1438" t="s">
        <v>1442</v>
      </c>
      <c r="D80" s="1438" t="s">
        <v>1443</v>
      </c>
      <c r="E80" s="1438" t="s">
        <v>1444</v>
      </c>
      <c r="F80" s="1438" t="s">
        <v>1445</v>
      </c>
      <c r="G80" s="1438" t="s">
        <v>1446</v>
      </c>
      <c r="H80" s="1420"/>
      <c r="I80" s="1420"/>
      <c r="J80" s="1420"/>
      <c r="K80" s="1469"/>
      <c r="L80" s="1470"/>
      <c r="M80" s="1471"/>
      <c r="N80" s="1718"/>
      <c r="O80" s="1718"/>
      <c r="P80" s="233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2334"/>
      <c r="Q81" s="1713"/>
    </row>
    <row r="82" ht="15.75" spans="1:17">
      <c r="A82" s="1416"/>
      <c r="B82" s="1423" t="s">
        <v>1414</v>
      </c>
      <c r="C82" s="1420" t="s">
        <v>1447</v>
      </c>
      <c r="D82" s="1420" t="s">
        <v>1448</v>
      </c>
      <c r="E82" s="1420" t="s">
        <v>1449</v>
      </c>
      <c r="F82" s="1420" t="s">
        <v>1450</v>
      </c>
      <c r="G82" s="1420" t="s">
        <v>1451</v>
      </c>
      <c r="H82" s="1420"/>
      <c r="I82" s="1420"/>
      <c r="J82" s="1420"/>
      <c r="K82" s="1420"/>
      <c r="L82" s="1420"/>
      <c r="M82" s="1621"/>
      <c r="N82" s="1720"/>
      <c r="O82" s="1720"/>
      <c r="P82" s="233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2334"/>
      <c r="Q83" s="1713"/>
    </row>
    <row r="84" ht="15.75" spans="1:17">
      <c r="A84" s="1416"/>
      <c r="B84" s="1419" t="s">
        <v>1415</v>
      </c>
      <c r="C84" s="1438" t="s">
        <v>1442</v>
      </c>
      <c r="D84" s="1438" t="s">
        <v>1443</v>
      </c>
      <c r="E84" s="1438" t="s">
        <v>1444</v>
      </c>
      <c r="F84" s="1438" t="s">
        <v>1445</v>
      </c>
      <c r="G84" s="1438" t="s">
        <v>1446</v>
      </c>
      <c r="H84" s="1420"/>
      <c r="I84" s="1420"/>
      <c r="J84" s="1420"/>
      <c r="K84" s="1469"/>
      <c r="L84" s="1470"/>
      <c r="M84" s="1471"/>
      <c r="N84" s="1718"/>
      <c r="O84" s="1718"/>
      <c r="P84" s="233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2334"/>
      <c r="Q85" s="1713"/>
    </row>
    <row r="86" s="1132" customFormat="1" ht="15.75" spans="1:17">
      <c r="A86" s="1439"/>
      <c r="B86" s="1419" t="s">
        <v>1416</v>
      </c>
      <c r="C86" s="1427"/>
      <c r="D86" s="1427"/>
      <c r="E86" s="1427"/>
      <c r="F86" s="1427"/>
      <c r="G86" s="1427"/>
      <c r="H86" s="1427"/>
      <c r="I86" s="1427"/>
      <c r="J86" s="1427"/>
      <c r="K86" s="1427"/>
      <c r="L86" s="1622"/>
      <c r="M86" s="1623"/>
      <c r="N86" s="1716"/>
      <c r="O86" s="1716"/>
      <c r="P86" s="233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2334"/>
      <c r="Q87" s="1713"/>
    </row>
    <row r="88" s="1132" customFormat="1" ht="15.75" spans="1:17">
      <c r="A88" s="1439"/>
      <c r="B88" s="1419" t="s">
        <v>1417</v>
      </c>
      <c r="C88" s="1427"/>
      <c r="D88" s="1427"/>
      <c r="E88" s="1427"/>
      <c r="F88" s="1760"/>
      <c r="G88" s="1427"/>
      <c r="H88" s="1427"/>
      <c r="I88" s="1427"/>
      <c r="J88" s="1427"/>
      <c r="K88" s="1427"/>
      <c r="L88" s="1427"/>
      <c r="M88" s="1623"/>
      <c r="N88" s="1716"/>
      <c r="O88" s="1716"/>
      <c r="P88" s="233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233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2338"/>
      <c r="Q90" s="1724"/>
    </row>
    <row r="91" s="1134" customFormat="1" ht="15.75" spans="1:17">
      <c r="A91" s="1426"/>
      <c r="B91" s="1421"/>
      <c r="C91" s="1429"/>
      <c r="D91" s="1429"/>
      <c r="E91" s="1429"/>
      <c r="F91" s="1429"/>
      <c r="G91" s="1429"/>
      <c r="H91" s="1430"/>
      <c r="I91" s="1430"/>
      <c r="J91" s="1430"/>
      <c r="K91" s="1430"/>
      <c r="L91" s="1430"/>
      <c r="M91" s="1480"/>
      <c r="N91" s="1721"/>
      <c r="O91" s="1721"/>
      <c r="P91" s="2338"/>
      <c r="Q91" s="1724"/>
    </row>
    <row r="92" ht="15.75" spans="1:17">
      <c r="A92" s="1416"/>
      <c r="B92" s="1419">
        <f>B28</f>
        <v>111</v>
      </c>
      <c r="C92" s="1427"/>
      <c r="D92" s="1427"/>
      <c r="E92" s="1427"/>
      <c r="F92" s="1427"/>
      <c r="G92" s="1444"/>
      <c r="H92" s="1444"/>
      <c r="I92" s="1444"/>
      <c r="J92" s="1444"/>
      <c r="K92" s="1495"/>
      <c r="L92" s="1496"/>
      <c r="M92" s="1497"/>
      <c r="N92" s="1718"/>
      <c r="O92" s="1718"/>
      <c r="P92" s="2334"/>
      <c r="Q92" s="1713"/>
    </row>
    <row r="93" ht="15.75" spans="1:17">
      <c r="A93" s="1416"/>
      <c r="B93" s="1421"/>
      <c r="C93" s="1429"/>
      <c r="D93" s="1418"/>
      <c r="E93" s="1418"/>
      <c r="F93" s="1418"/>
      <c r="G93" s="1418"/>
      <c r="H93" s="1418"/>
      <c r="I93" s="1418"/>
      <c r="J93" s="1418"/>
      <c r="K93" s="1418"/>
      <c r="L93" s="1418"/>
      <c r="M93" s="1467"/>
      <c r="N93" s="1720"/>
      <c r="O93" s="1720"/>
      <c r="P93" s="2334"/>
      <c r="Q93" s="1713"/>
    </row>
    <row r="94" ht="15.75" spans="1:17">
      <c r="A94" s="1416"/>
      <c r="B94" s="1419">
        <f>B29</f>
        <v>111</v>
      </c>
      <c r="C94" s="1427"/>
      <c r="D94" s="1427"/>
      <c r="E94" s="1427"/>
      <c r="F94" s="1427"/>
      <c r="G94" s="1444"/>
      <c r="H94" s="1444"/>
      <c r="I94" s="1444"/>
      <c r="J94" s="1444"/>
      <c r="K94" s="1495"/>
      <c r="L94" s="1496"/>
      <c r="M94" s="1497"/>
      <c r="N94" s="1718"/>
      <c r="O94" s="1718"/>
      <c r="P94" s="2334"/>
      <c r="Q94" s="1713"/>
    </row>
    <row r="95" ht="15.75" spans="1:17">
      <c r="A95" s="1416"/>
      <c r="B95" s="1421"/>
      <c r="C95" s="1429"/>
      <c r="D95" s="1429"/>
      <c r="E95" s="1429"/>
      <c r="F95" s="1429"/>
      <c r="G95" s="1418"/>
      <c r="H95" s="1418"/>
      <c r="I95" s="1418"/>
      <c r="J95" s="1418"/>
      <c r="K95" s="1418"/>
      <c r="L95" s="1418"/>
      <c r="M95" s="1467"/>
      <c r="N95" s="1720"/>
      <c r="O95" s="1720"/>
      <c r="P95" s="2334"/>
      <c r="Q95" s="1713"/>
    </row>
    <row r="96" ht="15.75" spans="1:17">
      <c r="A96" s="1416"/>
      <c r="B96" s="1419">
        <f>B30</f>
        <v>111</v>
      </c>
      <c r="C96" s="1427"/>
      <c r="D96" s="1427"/>
      <c r="E96" s="1427"/>
      <c r="F96" s="1427"/>
      <c r="G96" s="1444"/>
      <c r="H96" s="1444"/>
      <c r="I96" s="1444"/>
      <c r="J96" s="1444"/>
      <c r="K96" s="1495"/>
      <c r="L96" s="1496"/>
      <c r="M96" s="1497"/>
      <c r="N96" s="1718"/>
      <c r="O96" s="1718"/>
      <c r="P96" s="2334"/>
      <c r="Q96" s="1713"/>
    </row>
    <row r="97" ht="15.75" spans="1:17">
      <c r="A97" s="1416"/>
      <c r="B97" s="1421"/>
      <c r="C97" s="1434"/>
      <c r="D97" s="1434"/>
      <c r="E97" s="1434"/>
      <c r="F97" s="1434"/>
      <c r="G97" s="1418"/>
      <c r="H97" s="1418"/>
      <c r="I97" s="1418"/>
      <c r="J97" s="1418"/>
      <c r="K97" s="1418"/>
      <c r="L97" s="1418"/>
      <c r="M97" s="1467"/>
      <c r="N97" s="1720"/>
      <c r="O97" s="1720"/>
      <c r="P97" s="2334"/>
      <c r="Q97" s="1713"/>
    </row>
    <row r="98" ht="15.75" spans="1:17">
      <c r="A98" s="1416"/>
      <c r="B98" s="1423">
        <f>B31</f>
        <v>111</v>
      </c>
      <c r="C98" s="1445"/>
      <c r="D98" s="1445"/>
      <c r="E98" s="1445"/>
      <c r="F98" s="1445"/>
      <c r="G98" s="1445"/>
      <c r="H98" s="1445"/>
      <c r="I98" s="1445"/>
      <c r="J98" s="1445"/>
      <c r="K98" s="1498"/>
      <c r="L98" s="1499"/>
      <c r="M98" s="1500"/>
      <c r="N98" s="1718"/>
      <c r="O98" s="1718"/>
      <c r="P98" s="2334"/>
      <c r="Q98" s="1713"/>
    </row>
    <row r="99" ht="15.75" spans="1:17">
      <c r="A99" s="1725"/>
      <c r="B99" s="1433"/>
      <c r="C99" s="1446"/>
      <c r="D99" s="1446"/>
      <c r="E99" s="1446"/>
      <c r="F99" s="1446"/>
      <c r="G99" s="1446"/>
      <c r="H99" s="1446"/>
      <c r="I99" s="1446"/>
      <c r="J99" s="1446"/>
      <c r="K99" s="1446"/>
      <c r="L99" s="1446"/>
      <c r="M99" s="1501"/>
      <c r="N99" s="1720"/>
      <c r="O99" s="1720"/>
      <c r="P99" s="2334"/>
      <c r="Q99" s="1713"/>
    </row>
    <row r="100" spans="1:17">
      <c r="A100" s="1414" t="s">
        <v>1418</v>
      </c>
      <c r="B100" s="1415" t="s">
        <v>1419</v>
      </c>
      <c r="C100" s="1342"/>
      <c r="D100" s="1342"/>
      <c r="E100" s="1342"/>
      <c r="F100" s="1342"/>
      <c r="G100" s="1342"/>
      <c r="H100" s="1342"/>
      <c r="I100" s="1342"/>
      <c r="J100" s="1342"/>
      <c r="K100" s="1462"/>
      <c r="L100" s="1463"/>
      <c r="M100" s="1464"/>
      <c r="N100" s="1718"/>
      <c r="O100" s="1718"/>
      <c r="P100" s="233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2334"/>
      <c r="Q101" s="1713"/>
    </row>
    <row r="102" ht="15.75" spans="1:17">
      <c r="A102" s="1416"/>
      <c r="B102" s="1419" t="s">
        <v>1421</v>
      </c>
      <c r="C102" s="1438" t="str">
        <f>C103&amp;"(含)"&amp;"-"&amp;D103</f>
        <v>0(含)-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2334"/>
      <c r="Q102" s="1713"/>
    </row>
    <row r="103" s="1134" customFormat="1" ht="15" spans="1:17">
      <c r="A103" s="1447"/>
      <c r="B103" s="1448"/>
      <c r="C103" s="1403">
        <v>0</v>
      </c>
      <c r="D103" s="1403"/>
      <c r="E103" s="1403"/>
      <c r="F103" s="1403"/>
      <c r="G103" s="1403"/>
      <c r="H103" s="1403"/>
      <c r="I103" s="1403"/>
      <c r="J103" s="1502"/>
      <c r="K103" s="1502"/>
      <c r="L103" s="1503"/>
      <c r="M103" s="1504"/>
      <c r="N103" s="1721"/>
      <c r="O103" s="1721"/>
      <c r="P103" s="233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2338"/>
      <c r="Q104" s="1724"/>
    </row>
    <row r="105" ht="15.75" spans="1:17">
      <c r="A105" s="1450"/>
      <c r="B105" s="1419" t="s">
        <v>1422</v>
      </c>
      <c r="C105" s="1427"/>
      <c r="D105" s="1427"/>
      <c r="E105" s="1444"/>
      <c r="F105" s="1444"/>
      <c r="G105" s="1444"/>
      <c r="H105" s="1444"/>
      <c r="I105" s="1444"/>
      <c r="J105" s="1444"/>
      <c r="K105" s="1495"/>
      <c r="L105" s="1496"/>
      <c r="M105" s="1497"/>
      <c r="N105" s="1718"/>
      <c r="O105" s="1718"/>
      <c r="P105" s="233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2334"/>
      <c r="Q106" s="1713"/>
    </row>
    <row r="107" ht="15.75" spans="1:17">
      <c r="A107" s="1450"/>
      <c r="B107" s="1419" t="s">
        <v>1423</v>
      </c>
      <c r="C107" s="1444"/>
      <c r="D107" s="1444"/>
      <c r="E107" s="1444"/>
      <c r="F107" s="1444"/>
      <c r="G107" s="1444"/>
      <c r="H107" s="1444"/>
      <c r="I107" s="1444"/>
      <c r="J107" s="1444"/>
      <c r="K107" s="1495"/>
      <c r="L107" s="1496"/>
      <c r="M107" s="1497"/>
      <c r="N107" s="1718"/>
      <c r="O107" s="1718"/>
      <c r="P107" s="233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2334"/>
      <c r="Q108" s="1713"/>
    </row>
    <row r="109" ht="15.75" spans="1:17">
      <c r="A109" s="1450"/>
      <c r="B109" s="1419" t="s">
        <v>1424</v>
      </c>
      <c r="C109" s="1427"/>
      <c r="D109" s="1427"/>
      <c r="E109" s="1427"/>
      <c r="F109" s="1444"/>
      <c r="G109" s="1444"/>
      <c r="H109" s="1444"/>
      <c r="I109" s="1444"/>
      <c r="J109" s="1444"/>
      <c r="K109" s="1495"/>
      <c r="L109" s="1496"/>
      <c r="M109" s="1497"/>
      <c r="N109" s="1718"/>
      <c r="O109" s="1718"/>
      <c r="P109" s="233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2334"/>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2338"/>
      <c r="Q111" s="1724"/>
    </row>
    <row r="112" s="1134" customFormat="1" ht="15" spans="1:17">
      <c r="A112" s="1447"/>
      <c r="B112" s="1423"/>
      <c r="C112" s="896">
        <v>0.5</v>
      </c>
      <c r="D112" s="896">
        <v>0.6</v>
      </c>
      <c r="E112" s="896">
        <v>0.7</v>
      </c>
      <c r="F112" s="896">
        <v>0.8</v>
      </c>
      <c r="G112" s="896">
        <v>0.9</v>
      </c>
      <c r="H112" s="896">
        <v>1.0001</v>
      </c>
      <c r="I112" s="896"/>
      <c r="J112" s="2342"/>
      <c r="K112" s="2342"/>
      <c r="L112" s="2343"/>
      <c r="M112" s="2344"/>
      <c r="N112" s="1721"/>
      <c r="O112" s="1721"/>
      <c r="P112" s="233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2338"/>
      <c r="Q113" s="1724"/>
    </row>
    <row r="114" ht="15.75" spans="1:17">
      <c r="A114" s="1450"/>
      <c r="B114" s="1419" t="s">
        <v>1425</v>
      </c>
      <c r="C114" s="1427"/>
      <c r="D114" s="1427"/>
      <c r="E114" s="1444"/>
      <c r="F114" s="1444"/>
      <c r="G114" s="1444"/>
      <c r="H114" s="1444"/>
      <c r="I114" s="1444"/>
      <c r="J114" s="1444"/>
      <c r="K114" s="1495"/>
      <c r="L114" s="1496"/>
      <c r="M114" s="1497"/>
      <c r="N114" s="1718"/>
      <c r="O114" s="1718"/>
      <c r="P114" s="233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2334"/>
      <c r="Q115" s="1713"/>
    </row>
    <row r="116" ht="15.75" spans="1:17">
      <c r="A116" s="1450"/>
      <c r="B116" s="1419" t="s">
        <v>1426</v>
      </c>
      <c r="C116" s="1427"/>
      <c r="D116" s="1427"/>
      <c r="E116" s="1427"/>
      <c r="F116" s="1427"/>
      <c r="G116" s="1427"/>
      <c r="H116" s="1444"/>
      <c r="I116" s="1444"/>
      <c r="J116" s="1444"/>
      <c r="K116" s="1495"/>
      <c r="L116" s="1496"/>
      <c r="M116" s="1497"/>
      <c r="N116" s="1718"/>
      <c r="O116" s="1718"/>
      <c r="P116" s="233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2334"/>
      <c r="Q117" s="1713"/>
    </row>
    <row r="118" ht="15.75" spans="1:17">
      <c r="A118" s="1450"/>
      <c r="B118" s="1419" t="s">
        <v>1427</v>
      </c>
      <c r="C118" s="1444"/>
      <c r="D118" s="1444"/>
      <c r="E118" s="1444"/>
      <c r="F118" s="1444"/>
      <c r="G118" s="1444"/>
      <c r="H118" s="1444"/>
      <c r="I118" s="1444"/>
      <c r="J118" s="1444"/>
      <c r="K118" s="1495"/>
      <c r="L118" s="1496"/>
      <c r="M118" s="1497"/>
      <c r="N118" s="1718"/>
      <c r="O118" s="1718"/>
      <c r="P118" s="233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2334"/>
      <c r="Q119" s="1713"/>
    </row>
    <row r="120" s="1134" customFormat="1" ht="28.5" spans="1:17">
      <c r="A120" s="1447"/>
      <c r="B120" s="1419" t="s">
        <v>1428</v>
      </c>
      <c r="C120" s="1427"/>
      <c r="D120" s="1427"/>
      <c r="E120" s="1427"/>
      <c r="F120" s="1427"/>
      <c r="G120" s="1427"/>
      <c r="H120" s="1427"/>
      <c r="I120" s="1427"/>
      <c r="J120" s="1427"/>
      <c r="K120" s="1427"/>
      <c r="L120" s="1622"/>
      <c r="M120" s="1623"/>
      <c r="N120" s="1721"/>
      <c r="O120" s="1721"/>
      <c r="P120" s="233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2338"/>
      <c r="Q121" s="1724"/>
    </row>
    <row r="122" ht="15.75" spans="1:17">
      <c r="A122" s="1450"/>
      <c r="B122" s="1419" t="s">
        <v>1429</v>
      </c>
      <c r="C122" s="1427"/>
      <c r="D122" s="1427"/>
      <c r="E122" s="1427"/>
      <c r="F122" s="1444"/>
      <c r="G122" s="1444"/>
      <c r="H122" s="1444"/>
      <c r="I122" s="1444"/>
      <c r="J122" s="1444"/>
      <c r="K122" s="1495"/>
      <c r="L122" s="1496"/>
      <c r="M122" s="1497"/>
      <c r="N122" s="1718"/>
      <c r="O122" s="1718"/>
      <c r="P122" s="233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2334"/>
      <c r="Q123" s="1713"/>
    </row>
    <row r="124" ht="15.75" spans="1:17">
      <c r="A124" s="1450"/>
      <c r="B124" s="1419" t="s">
        <v>1430</v>
      </c>
      <c r="C124" s="1438" t="s">
        <v>1442</v>
      </c>
      <c r="D124" s="1438" t="s">
        <v>1443</v>
      </c>
      <c r="E124" s="1438" t="s">
        <v>1444</v>
      </c>
      <c r="F124" s="1438" t="s">
        <v>1445</v>
      </c>
      <c r="G124" s="1438" t="s">
        <v>1446</v>
      </c>
      <c r="H124" s="1420"/>
      <c r="I124" s="1420"/>
      <c r="J124" s="1420"/>
      <c r="K124" s="1469"/>
      <c r="L124" s="1470"/>
      <c r="M124" s="1471"/>
      <c r="N124" s="1718"/>
      <c r="O124" s="1718"/>
      <c r="P124" s="233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233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233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2338"/>
      <c r="Q127" s="1724"/>
    </row>
    <row r="128" ht="15.75" spans="1:17">
      <c r="A128" s="1450"/>
      <c r="B128" s="1419">
        <f>B45</f>
        <v>111</v>
      </c>
      <c r="C128" s="1427"/>
      <c r="D128" s="1427"/>
      <c r="E128" s="1427"/>
      <c r="F128" s="1427"/>
      <c r="G128" s="1444"/>
      <c r="H128" s="1444"/>
      <c r="I128" s="1444"/>
      <c r="J128" s="1444"/>
      <c r="K128" s="1495"/>
      <c r="L128" s="1496"/>
      <c r="M128" s="1497"/>
      <c r="N128" s="1718"/>
      <c r="O128" s="1718"/>
      <c r="P128" s="2334"/>
      <c r="Q128" s="1713"/>
    </row>
    <row r="129" ht="15.75" spans="1:17">
      <c r="A129" s="1416"/>
      <c r="B129" s="1421"/>
      <c r="C129" s="1429"/>
      <c r="D129" s="1429"/>
      <c r="E129" s="1429"/>
      <c r="F129" s="1429"/>
      <c r="G129" s="1418"/>
      <c r="H129" s="1418"/>
      <c r="I129" s="1418"/>
      <c r="J129" s="1418"/>
      <c r="K129" s="1418"/>
      <c r="L129" s="1418"/>
      <c r="M129" s="1467"/>
      <c r="N129" s="1720"/>
      <c r="O129" s="1720"/>
      <c r="P129" s="2334"/>
      <c r="Q129" s="1713"/>
    </row>
    <row r="130" ht="15.75" spans="1:17">
      <c r="A130" s="1450"/>
      <c r="B130" s="1423">
        <f>B46</f>
        <v>111</v>
      </c>
      <c r="C130" s="1427"/>
      <c r="D130" s="1427"/>
      <c r="E130" s="1427"/>
      <c r="F130" s="1427"/>
      <c r="G130" s="1445"/>
      <c r="H130" s="1445"/>
      <c r="I130" s="1445"/>
      <c r="J130" s="1445"/>
      <c r="K130" s="1411"/>
      <c r="L130" s="1457"/>
      <c r="M130" s="1500"/>
      <c r="N130" s="1718"/>
      <c r="O130" s="1718"/>
      <c r="P130" s="2334"/>
      <c r="Q130" s="1713"/>
    </row>
    <row r="131" ht="15.75" spans="1:17">
      <c r="A131" s="1725"/>
      <c r="B131" s="1433"/>
      <c r="C131" s="1434"/>
      <c r="D131" s="1434"/>
      <c r="E131" s="1434"/>
      <c r="F131" s="1434"/>
      <c r="G131" s="1446"/>
      <c r="H131" s="1446"/>
      <c r="I131" s="1446"/>
      <c r="J131" s="1446"/>
      <c r="K131" s="1446"/>
      <c r="L131" s="1446"/>
      <c r="M131" s="1501"/>
      <c r="N131" s="1720"/>
      <c r="O131" s="1720"/>
      <c r="P131" s="2334"/>
      <c r="Q131" s="1713"/>
    </row>
    <row r="136" ht="15" spans="2:2">
      <c r="B136" s="2345" t="s">
        <v>1452</v>
      </c>
    </row>
    <row r="137" ht="15" spans="2:11">
      <c r="B137" s="2346" t="s">
        <v>1453</v>
      </c>
      <c r="C137" s="2347"/>
      <c r="D137" s="2347"/>
      <c r="E137" s="2347"/>
      <c r="F137" s="2347"/>
      <c r="G137" s="2348"/>
      <c r="H137" s="2349"/>
      <c r="I137" s="2372" t="s">
        <v>1454</v>
      </c>
      <c r="J137" s="2347"/>
      <c r="K137" s="2373"/>
    </row>
    <row r="138" ht="15" spans="2:11">
      <c r="B138" s="2350"/>
      <c r="C138" s="2351" t="s">
        <v>1455</v>
      </c>
      <c r="D138" s="2351" t="s">
        <v>1456</v>
      </c>
      <c r="E138" s="2352" t="s">
        <v>1457</v>
      </c>
      <c r="F138" s="2353" t="s">
        <v>1458</v>
      </c>
      <c r="G138" s="2351" t="s">
        <v>1456</v>
      </c>
      <c r="H138" s="2354" t="s">
        <v>1457</v>
      </c>
      <c r="I138" s="2374"/>
      <c r="J138" s="2351" t="s">
        <v>1459</v>
      </c>
      <c r="K138" s="2354" t="s">
        <v>1460</v>
      </c>
    </row>
    <row r="139" ht="15" spans="2:11">
      <c r="B139" s="2355">
        <v>6</v>
      </c>
      <c r="C139" s="2356">
        <v>96</v>
      </c>
      <c r="D139" s="2357" t="s">
        <v>1461</v>
      </c>
      <c r="E139" s="2358">
        <v>100</v>
      </c>
      <c r="F139" s="2359">
        <v>102.5</v>
      </c>
      <c r="G139" s="2357" t="s">
        <v>1461</v>
      </c>
      <c r="H139" s="2360">
        <v>105</v>
      </c>
      <c r="I139" s="2375" t="s">
        <v>1462</v>
      </c>
      <c r="J139" s="2356">
        <v>20</v>
      </c>
      <c r="K139" s="2376">
        <f>C145/(J139-2)</f>
        <v>0.00405555555555556</v>
      </c>
    </row>
    <row r="140" ht="15" spans="2:11">
      <c r="B140" s="2361">
        <v>5</v>
      </c>
      <c r="C140" s="2362">
        <v>100</v>
      </c>
      <c r="D140" s="2362"/>
      <c r="E140" s="2363"/>
      <c r="F140" s="2364">
        <v>102</v>
      </c>
      <c r="G140" s="2362"/>
      <c r="H140" s="2365"/>
      <c r="I140" s="2377" t="s">
        <v>1463</v>
      </c>
      <c r="J140" s="482">
        <f>ROUNDUP((J139-1)/2,0)</f>
        <v>10</v>
      </c>
      <c r="K140" s="2378">
        <v>100</v>
      </c>
    </row>
    <row r="141" ht="15" spans="2:11">
      <c r="B141" s="2361">
        <v>4</v>
      </c>
      <c r="C141" s="2362">
        <v>102</v>
      </c>
      <c r="D141" s="2362"/>
      <c r="E141" s="2363"/>
      <c r="F141" s="2364">
        <v>101.5</v>
      </c>
      <c r="G141" s="2362"/>
      <c r="H141" s="2365"/>
      <c r="I141" s="2377" t="s">
        <v>1464</v>
      </c>
      <c r="J141" s="482">
        <v>1</v>
      </c>
      <c r="K141" s="2379">
        <f>ROUND(100+(J141-J140)*K139*100,1)</f>
        <v>96.4</v>
      </c>
    </row>
    <row r="142" ht="15" spans="2:11">
      <c r="B142" s="2361">
        <v>3</v>
      </c>
      <c r="C142" s="2362">
        <v>103</v>
      </c>
      <c r="D142" s="2362"/>
      <c r="E142" s="2363"/>
      <c r="F142" s="2364">
        <v>101</v>
      </c>
      <c r="G142" s="2362"/>
      <c r="H142" s="2365"/>
      <c r="I142" s="2377" t="s">
        <v>1465</v>
      </c>
      <c r="J142" s="482">
        <f>J139</f>
        <v>20</v>
      </c>
      <c r="K142" s="2380">
        <v>95</v>
      </c>
    </row>
    <row r="143" ht="15" spans="2:11">
      <c r="B143" s="2361">
        <v>2</v>
      </c>
      <c r="C143" s="2362">
        <v>100</v>
      </c>
      <c r="D143" s="2362"/>
      <c r="E143" s="2363"/>
      <c r="F143" s="2364">
        <v>100.5</v>
      </c>
      <c r="G143" s="2362"/>
      <c r="H143" s="2365"/>
      <c r="I143" s="2377" t="s">
        <v>1466</v>
      </c>
      <c r="J143" s="2362">
        <v>15</v>
      </c>
      <c r="K143" s="2379">
        <f>ROUND(100+(J143-J140)*K139*100,1)</f>
        <v>102</v>
      </c>
    </row>
    <row r="144" ht="15" spans="2:11">
      <c r="B144" s="2361">
        <v>1</v>
      </c>
      <c r="C144" s="2362">
        <v>98</v>
      </c>
      <c r="D144" s="2366" t="s">
        <v>1467</v>
      </c>
      <c r="E144" s="2363">
        <v>102</v>
      </c>
      <c r="F144" s="2367">
        <v>100</v>
      </c>
      <c r="G144" s="2366" t="s">
        <v>1467</v>
      </c>
      <c r="H144" s="2365">
        <v>105</v>
      </c>
      <c r="I144" s="2377" t="s">
        <v>1466</v>
      </c>
      <c r="J144" s="2362">
        <v>18</v>
      </c>
      <c r="K144" s="2379">
        <f>ROUND(100+(J144-J140)*K139*100,1)</f>
        <v>103.2</v>
      </c>
    </row>
    <row r="145" ht="15.75" spans="2:11">
      <c r="B145" s="2368" t="s">
        <v>1468</v>
      </c>
      <c r="C145" s="2369">
        <f>ROUND(MAX(C139:C144)/MIN(C139:C144)-1,3)</f>
        <v>0.073</v>
      </c>
      <c r="D145" s="2370"/>
      <c r="E145" s="2370"/>
      <c r="F145" s="2371" t="s">
        <v>1469</v>
      </c>
      <c r="G145" s="2291"/>
      <c r="H145" s="2296"/>
      <c r="I145" s="2381" t="s">
        <v>1466</v>
      </c>
      <c r="J145" s="2382">
        <v>8</v>
      </c>
      <c r="K145" s="2383">
        <f>ROUND(100+(J145-J140)*K139*100,1)</f>
        <v>99.2</v>
      </c>
    </row>
    <row r="147" spans="2:2">
      <c r="B147" s="2345" t="s">
        <v>1470</v>
      </c>
    </row>
    <row r="148" spans="2:2">
      <c r="B148" s="2345" t="s">
        <v>1471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21" workbookViewId="0">
      <selection activeCell="L44" sqref="L4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1472</v>
      </c>
      <c r="C1" s="1553" t="s">
        <v>1378</v>
      </c>
      <c r="D1" s="1554" t="s">
        <v>646</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1482.3946</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39650</v>
      </c>
      <c r="C3" s="1564" t="s">
        <v>1382</v>
      </c>
      <c r="D3" s="1565">
        <f>IF(D1="",'数据-汇总表'!E3,SUMIF('数据-汇总表'!$C19:$C33,D1,'数据-汇总表'!$E19:$E33))</f>
        <v>373.87</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280" t="s">
        <v>1389</v>
      </c>
      <c r="Q4" s="2285"/>
      <c r="R4" s="2286" t="s">
        <v>1385</v>
      </c>
      <c r="S4" s="2287"/>
      <c r="T4" s="2286" t="s">
        <v>1386</v>
      </c>
      <c r="U4" s="2287"/>
      <c r="V4" s="1273" t="s">
        <v>1387</v>
      </c>
      <c r="W4" s="1273"/>
      <c r="X4" s="2288"/>
      <c r="Y4" s="2286" t="s">
        <v>1389</v>
      </c>
      <c r="Z4" s="2287"/>
      <c r="AA4" s="2288" t="s">
        <v>1385</v>
      </c>
      <c r="AB4" s="2288" t="s">
        <v>1386</v>
      </c>
      <c r="AC4" s="2292" t="s">
        <v>1387</v>
      </c>
    </row>
    <row r="5" ht="15" spans="1:29">
      <c r="A5" s="1157"/>
      <c r="B5" s="1158"/>
      <c r="C5" s="1159" t="s">
        <v>1390</v>
      </c>
      <c r="D5" s="1160"/>
      <c r="E5" s="1161" t="s">
        <v>1391</v>
      </c>
      <c r="F5" s="1162"/>
      <c r="G5" s="1159" t="s">
        <v>1392</v>
      </c>
      <c r="H5" s="1160"/>
      <c r="I5" s="1159" t="s">
        <v>1393</v>
      </c>
      <c r="J5" s="1160"/>
      <c r="K5" s="1311"/>
      <c r="L5" s="1312"/>
      <c r="M5" s="1313"/>
      <c r="N5" s="1313"/>
      <c r="O5" s="1313"/>
      <c r="P5" s="2281"/>
      <c r="Q5" s="1367"/>
      <c r="R5" s="1368"/>
      <c r="S5" s="1369"/>
      <c r="T5" s="1368"/>
      <c r="U5" s="1369"/>
      <c r="V5" s="1353"/>
      <c r="W5" s="1353"/>
      <c r="X5" s="1366"/>
      <c r="Y5" s="1368"/>
      <c r="Z5" s="1369"/>
      <c r="AA5" s="1366"/>
      <c r="AB5" s="1366"/>
      <c r="AC5" s="1644"/>
    </row>
    <row r="6" ht="15.75" spans="1:29">
      <c r="A6" s="1163"/>
      <c r="B6" s="1164"/>
      <c r="C6" s="1514" t="s">
        <v>1394</v>
      </c>
      <c r="D6" s="1515"/>
      <c r="E6" s="1516" t="s">
        <v>1394</v>
      </c>
      <c r="F6" s="1517"/>
      <c r="G6" s="1514" t="s">
        <v>1394</v>
      </c>
      <c r="H6" s="1515"/>
      <c r="I6" s="1514" t="s">
        <v>1394</v>
      </c>
      <c r="J6" s="1515"/>
      <c r="K6" s="1311" t="s">
        <v>1395</v>
      </c>
      <c r="L6" s="1312"/>
      <c r="M6" s="1313"/>
      <c r="N6" s="1313"/>
      <c r="O6" s="1313"/>
      <c r="P6" s="2282"/>
      <c r="Q6" s="1370"/>
      <c r="R6" s="1368"/>
      <c r="S6" s="1369"/>
      <c r="T6" s="1371"/>
      <c r="U6" s="1372"/>
      <c r="V6" s="1353"/>
      <c r="W6" s="1353"/>
      <c r="X6" s="1366"/>
      <c r="Y6" s="1371"/>
      <c r="Z6" s="1372"/>
      <c r="AA6" s="1392"/>
      <c r="AB6" s="1392"/>
      <c r="AC6" s="2293"/>
    </row>
    <row r="7" s="1132" customFormat="1" ht="15.75" spans="1:29">
      <c r="A7" s="1169" t="s">
        <v>1396</v>
      </c>
      <c r="B7" s="1170"/>
      <c r="C7" s="1171">
        <f>'数据-取费表'!B2</f>
        <v>45960</v>
      </c>
      <c r="D7" s="1172">
        <v>100</v>
      </c>
      <c r="E7" s="1173">
        <f>C7</f>
        <v>45960</v>
      </c>
      <c r="F7" s="1174">
        <f>SUMIF(59:59,YEAR(E7)&amp;"-"&amp;MONTH(E7),60:60)</f>
        <v>100</v>
      </c>
      <c r="G7" s="1173">
        <f>C7</f>
        <v>45960</v>
      </c>
      <c r="H7" s="1172">
        <f>SUMIF(59:59,YEAR(G7)&amp;"-"&amp;MONTH(G7),60:60)</f>
        <v>100</v>
      </c>
      <c r="I7" s="1173">
        <f>C7</f>
        <v>45960</v>
      </c>
      <c r="J7" s="1172">
        <f>SUMIF(59:59,YEAR(I7)&amp;"-"&amp;MONTH(I7),60:60)</f>
        <v>100</v>
      </c>
      <c r="K7" s="1317"/>
      <c r="L7" s="1318"/>
      <c r="M7" s="1319"/>
      <c r="N7" s="1319"/>
      <c r="O7" s="1319"/>
      <c r="P7" s="2283"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2294">
        <f>D7/J7</f>
        <v>1</v>
      </c>
    </row>
    <row r="8" s="1132" customFormat="1" ht="15.75" spans="1:29">
      <c r="A8" s="1169" t="s">
        <v>1399</v>
      </c>
      <c r="B8" s="1170"/>
      <c r="C8" s="1176" t="s">
        <v>1400</v>
      </c>
      <c r="D8" s="1172">
        <v>100</v>
      </c>
      <c r="E8" s="1176" t="s">
        <v>1401</v>
      </c>
      <c r="F8" s="1174">
        <f>SUMIF(62:62,E8,63:63)-SUMIF(62:62,C8,63:63)+100</f>
        <v>103</v>
      </c>
      <c r="G8" s="1176" t="s">
        <v>1473</v>
      </c>
      <c r="H8" s="1172">
        <f>SUMIF(62:62,G8,63:63)-SUMIF(62:62,C8,63:63)+100</f>
        <v>110</v>
      </c>
      <c r="I8" s="1176" t="s">
        <v>1401</v>
      </c>
      <c r="J8" s="1172">
        <f>SUMIF(62:62,I8,63:63)-SUMIF(62:62,C8,63:63)+100</f>
        <v>103</v>
      </c>
      <c r="K8" s="1317"/>
      <c r="L8" s="1318"/>
      <c r="M8" s="1319"/>
      <c r="N8" s="1319"/>
      <c r="O8" s="1319"/>
      <c r="P8" s="2283" t="s">
        <v>1402</v>
      </c>
      <c r="Q8" s="1377"/>
      <c r="R8" s="1374" t="s">
        <v>1398</v>
      </c>
      <c r="S8" s="1375">
        <f t="shared" si="0"/>
        <v>103</v>
      </c>
      <c r="T8" s="1374" t="s">
        <v>1398</v>
      </c>
      <c r="U8" s="1375">
        <f t="shared" si="1"/>
        <v>110</v>
      </c>
      <c r="V8" s="1374" t="s">
        <v>1398</v>
      </c>
      <c r="W8" s="1375">
        <f t="shared" si="2"/>
        <v>103</v>
      </c>
      <c r="X8" s="1376"/>
      <c r="Y8" s="1320" t="s">
        <v>1402</v>
      </c>
      <c r="Z8" s="1377"/>
      <c r="AA8" s="1393">
        <f t="shared" ref="AA8:AA47" si="3">D8/F8</f>
        <v>0.970873786407767</v>
      </c>
      <c r="AB8" s="1393">
        <f t="shared" ref="AB8:AB47" si="4">D8/H8</f>
        <v>0.909090909090909</v>
      </c>
      <c r="AC8" s="2294">
        <f t="shared" ref="AC8:AC47" si="5">D8/J8</f>
        <v>0.970873786407767</v>
      </c>
    </row>
    <row r="9" s="1132" customFormat="1" spans="1:29">
      <c r="A9" s="1177" t="s">
        <v>1403</v>
      </c>
      <c r="B9" s="1178" t="s">
        <v>1404</v>
      </c>
      <c r="C9" s="22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2294">
        <f t="shared" si="5"/>
        <v>1</v>
      </c>
    </row>
    <row r="10" s="1133" customFormat="1" ht="27" spans="1:29">
      <c r="A10" s="1181"/>
      <c r="B10" s="1182" t="s">
        <v>1407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2294">
        <f t="shared" si="5"/>
        <v>1</v>
      </c>
    </row>
    <row r="11" ht="15" spans="1:29">
      <c r="A11" s="1185"/>
      <c r="B11" s="1182" t="s">
        <v>1408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2294">
        <f t="shared" si="5"/>
        <v>1</v>
      </c>
    </row>
    <row r="12" s="1132" customFormat="1" ht="15" spans="1:29">
      <c r="A12" s="1188"/>
      <c r="B12" s="1189">
        <v>111</v>
      </c>
      <c r="C12" s="1183"/>
      <c r="D12" s="1190">
        <v>100</v>
      </c>
      <c r="E12" s="1183"/>
      <c r="F12" s="1184">
        <f>SUMIF(71:71,E12,72:72)-SUMIF(71:71,C12,72:72)+100</f>
        <v>100</v>
      </c>
      <c r="G12" s="2271"/>
      <c r="H12" s="1184">
        <f>SUMIF(71:71,G12,72:72)-SUMIF(71:71,C12,72:72)+100</f>
        <v>100</v>
      </c>
      <c r="I12" s="1183"/>
      <c r="J12" s="1184">
        <f>SUMIF(71:71,I12,72:72)-SUMIF(71:71,C12,72:72)+100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2294">
        <f t="shared" si="5"/>
        <v>1</v>
      </c>
    </row>
    <row r="13" ht="15" spans="1:29">
      <c r="A13" s="1185"/>
      <c r="B13" s="1189">
        <v>111</v>
      </c>
      <c r="C13" s="1193"/>
      <c r="D13" s="1194">
        <v>100</v>
      </c>
      <c r="E13" s="1183"/>
      <c r="F13" s="1184">
        <f>SUMIF(73:73,E13,74:74)-SUMIF(73:73,C13,74:74)+100</f>
        <v>100</v>
      </c>
      <c r="G13" s="2271"/>
      <c r="H13" s="1194">
        <f>SUMIF(73:73,G13,74:74)-SUMIF(73:73,C13,74:74)+100</f>
        <v>100</v>
      </c>
      <c r="I13" s="1183"/>
      <c r="J13" s="1194">
        <f>SUMIF(73:73,I13,74:74)-SUMIF(73:73,C13,74:74)+100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2294">
        <f t="shared" si="5"/>
        <v>1</v>
      </c>
    </row>
    <row r="14" ht="15.75" spans="1:29">
      <c r="A14" s="1195"/>
      <c r="B14" s="1196">
        <v>111</v>
      </c>
      <c r="C14" s="1197"/>
      <c r="D14" s="1198">
        <v>100</v>
      </c>
      <c r="E14" s="1648"/>
      <c r="F14" s="1198">
        <f>SUMIF(75:75,E14,76:76)-SUMIF(75:75,C14,76:76)+100</f>
        <v>100</v>
      </c>
      <c r="G14" s="2271"/>
      <c r="H14" s="1198">
        <f>SUMIF(75:75,G14,76:76)-SUMIF(75:75,C14,76:76)+100</f>
        <v>100</v>
      </c>
      <c r="I14" s="1183"/>
      <c r="J14" s="1198">
        <f>SUMIF(75:75,I14,76:76)-SUMIF(75:75,C14,76:76)+100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2294">
        <f t="shared" si="5"/>
        <v>1</v>
      </c>
    </row>
    <row r="15" ht="68.25" spans="1:29">
      <c r="A15" s="1199" t="s">
        <v>1409</v>
      </c>
      <c r="B15" s="1200" t="s">
        <v>1474</v>
      </c>
      <c r="C15" s="22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1411</v>
      </c>
      <c r="Q15" s="717" t="str">
        <f t="shared" si="6"/>
        <v>办公集聚程度</v>
      </c>
      <c r="R15" s="1379" t="s">
        <v>1398</v>
      </c>
      <c r="S15" s="1380">
        <f t="shared" si="0"/>
        <v>100</v>
      </c>
      <c r="T15" s="1379" t="s">
        <v>1398</v>
      </c>
      <c r="U15" s="1380">
        <f t="shared" si="1"/>
        <v>100</v>
      </c>
      <c r="V15" s="1379" t="s">
        <v>1398</v>
      </c>
      <c r="W15" s="1380">
        <f t="shared" si="2"/>
        <v>100</v>
      </c>
      <c r="X15" s="1366"/>
      <c r="Y15" s="1331" t="s">
        <v>1411</v>
      </c>
      <c r="Z15" s="1353" t="str">
        <f t="shared" si="7"/>
        <v>办公集聚程度</v>
      </c>
      <c r="AA15" s="1395">
        <f t="shared" si="3"/>
        <v>1</v>
      </c>
      <c r="AB15" s="1395">
        <f t="shared" si="4"/>
        <v>1</v>
      </c>
      <c r="AC15" s="2295">
        <f t="shared" si="5"/>
        <v>1</v>
      </c>
    </row>
    <row r="16" ht="15" spans="1:29">
      <c r="A16" s="1185"/>
      <c r="B16" s="1204"/>
      <c r="C16" s="1207" t="s">
        <v>1475</v>
      </c>
      <c r="D16" s="1206"/>
      <c r="E16" s="1207" t="s">
        <v>1475</v>
      </c>
      <c r="F16" s="1206"/>
      <c r="G16" s="1207" t="s">
        <v>1475</v>
      </c>
      <c r="H16" s="1208"/>
      <c r="I16" s="1207" t="s">
        <v>1475</v>
      </c>
      <c r="J16" s="1206"/>
      <c r="K16" s="1613"/>
      <c r="L16" s="1329"/>
      <c r="M16" s="1313"/>
      <c r="N16" s="1313"/>
      <c r="O16" s="1313"/>
      <c r="P16" s="1746"/>
      <c r="Q16" s="717"/>
      <c r="R16" s="1379"/>
      <c r="S16" s="1380"/>
      <c r="T16" s="1379"/>
      <c r="U16" s="1380"/>
      <c r="V16" s="1379"/>
      <c r="W16" s="1380"/>
      <c r="X16" s="1366"/>
      <c r="Y16" s="1332"/>
      <c r="Z16" s="1353"/>
      <c r="AA16" s="1395">
        <v>1</v>
      </c>
      <c r="AB16" s="1395">
        <v>1</v>
      </c>
      <c r="AC16" s="2295">
        <v>1</v>
      </c>
    </row>
    <row r="17" ht="67.5" spans="1:29">
      <c r="A17" s="1185"/>
      <c r="B17" s="1209" t="s">
        <v>1412</v>
      </c>
      <c r="C17" s="22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2295">
        <f t="shared" si="5"/>
        <v>1</v>
      </c>
    </row>
    <row r="18" ht="15" spans="1:29">
      <c r="A18" s="1185"/>
      <c r="B18" s="1213"/>
      <c r="C18" s="2274" t="s">
        <v>1476</v>
      </c>
      <c r="D18" s="1208"/>
      <c r="E18" s="2274" t="s">
        <v>1476</v>
      </c>
      <c r="F18" s="1208"/>
      <c r="G18" s="2274" t="s">
        <v>1476</v>
      </c>
      <c r="H18" s="1206"/>
      <c r="I18" s="2274" t="s">
        <v>1476</v>
      </c>
      <c r="J18" s="1206"/>
      <c r="K18" s="1613"/>
      <c r="L18" s="1329"/>
      <c r="M18" s="1313"/>
      <c r="N18" s="1313"/>
      <c r="O18" s="1313"/>
      <c r="P18" s="1746"/>
      <c r="Q18" s="717"/>
      <c r="R18" s="1379"/>
      <c r="S18" s="1380"/>
      <c r="T18" s="1379"/>
      <c r="U18" s="1380"/>
      <c r="V18" s="1379"/>
      <c r="W18" s="1380"/>
      <c r="X18" s="1366"/>
      <c r="Y18" s="1332"/>
      <c r="Z18" s="1353"/>
      <c r="AA18" s="1395">
        <v>1</v>
      </c>
      <c r="AB18" s="1395">
        <v>1</v>
      </c>
      <c r="AC18" s="2295">
        <v>1</v>
      </c>
    </row>
    <row r="19" ht="40.5" spans="1:29">
      <c r="A19" s="1185"/>
      <c r="B19" s="1209" t="s">
        <v>1413</v>
      </c>
      <c r="C19" s="22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2295">
        <f t="shared" si="5"/>
        <v>1</v>
      </c>
    </row>
    <row r="20" ht="15" spans="1:29">
      <c r="A20" s="1185"/>
      <c r="B20" s="1213"/>
      <c r="C20" s="1207" t="s">
        <v>1475</v>
      </c>
      <c r="D20" s="1206"/>
      <c r="E20" s="1207" t="s">
        <v>1475</v>
      </c>
      <c r="F20" s="1206"/>
      <c r="G20" s="1207" t="s">
        <v>1475</v>
      </c>
      <c r="H20" s="1206"/>
      <c r="I20" s="1207" t="s">
        <v>1475</v>
      </c>
      <c r="J20" s="1206"/>
      <c r="K20" s="1613"/>
      <c r="L20" s="1329"/>
      <c r="M20" s="1313"/>
      <c r="N20" s="1313"/>
      <c r="O20" s="1313"/>
      <c r="P20" s="1746"/>
      <c r="Q20" s="717"/>
      <c r="R20" s="1379"/>
      <c r="S20" s="1380"/>
      <c r="T20" s="1379"/>
      <c r="U20" s="1380"/>
      <c r="V20" s="1379"/>
      <c r="W20" s="1380"/>
      <c r="X20" s="1366"/>
      <c r="Y20" s="1332"/>
      <c r="Z20" s="1353"/>
      <c r="AA20" s="1395">
        <v>1</v>
      </c>
      <c r="AB20" s="1395">
        <v>1</v>
      </c>
      <c r="AC20" s="2295">
        <v>1</v>
      </c>
    </row>
    <row r="21" ht="27" spans="1:29">
      <c r="A21" s="1185"/>
      <c r="B21" s="1216" t="s">
        <v>1414</v>
      </c>
      <c r="C21" s="22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2295">
        <f t="shared" ref="AC21" si="10">D21/J21</f>
        <v>1</v>
      </c>
    </row>
    <row r="22" ht="15" spans="1:29">
      <c r="A22" s="1185"/>
      <c r="B22" s="1216"/>
      <c r="C22" s="2274" t="s">
        <v>241</v>
      </c>
      <c r="D22" s="1206"/>
      <c r="E22" s="2274" t="s">
        <v>241</v>
      </c>
      <c r="F22" s="1206"/>
      <c r="G22" s="2274" t="s">
        <v>241</v>
      </c>
      <c r="H22" s="1206"/>
      <c r="I22" s="2274"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295">
        <v>1</v>
      </c>
    </row>
    <row r="23" ht="40.5" spans="1:29">
      <c r="A23" s="1185"/>
      <c r="B23" s="1209" t="s">
        <v>1477</v>
      </c>
      <c r="C23" s="22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2295">
        <f t="shared" si="5"/>
        <v>1</v>
      </c>
    </row>
    <row r="24" ht="15" spans="1:29">
      <c r="A24" s="1185"/>
      <c r="B24" s="1216"/>
      <c r="C24" s="1207" t="s">
        <v>1475</v>
      </c>
      <c r="D24" s="1206"/>
      <c r="E24" s="1207" t="s">
        <v>1475</v>
      </c>
      <c r="F24" s="1206"/>
      <c r="G24" s="1207" t="s">
        <v>1475</v>
      </c>
      <c r="H24" s="1206"/>
      <c r="I24" s="1207" t="s">
        <v>1475</v>
      </c>
      <c r="J24" s="1206"/>
      <c r="K24" s="1613"/>
      <c r="L24" s="1329"/>
      <c r="M24" s="1313"/>
      <c r="N24" s="1313"/>
      <c r="O24" s="1313"/>
      <c r="P24" s="1746"/>
      <c r="Q24" s="717"/>
      <c r="R24" s="1379"/>
      <c r="S24" s="1380"/>
      <c r="T24" s="1379"/>
      <c r="U24" s="1380"/>
      <c r="V24" s="1379"/>
      <c r="W24" s="1380"/>
      <c r="X24" s="1366"/>
      <c r="Y24" s="1332"/>
      <c r="Z24" s="1353"/>
      <c r="AA24" s="1395">
        <v>1</v>
      </c>
      <c r="AB24" s="1395">
        <v>1</v>
      </c>
      <c r="AC24" s="2295">
        <v>1</v>
      </c>
    </row>
    <row r="25" ht="27" spans="1:29">
      <c r="A25" s="1157"/>
      <c r="B25" s="1209" t="s">
        <v>1478</v>
      </c>
      <c r="C25" s="2275"/>
      <c r="D25" s="1194">
        <v>100</v>
      </c>
      <c r="E25" s="1193"/>
      <c r="F25" s="1194">
        <f>SUMIF(87:87,E26,88:88)-SUMIF(87:87,C26,88:88)+100</f>
        <v>100</v>
      </c>
      <c r="G25" s="2275"/>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1398</v>
      </c>
      <c r="S25" s="1380">
        <f>F25</f>
        <v>100</v>
      </c>
      <c r="T25" s="1379" t="s">
        <v>1398</v>
      </c>
      <c r="U25" s="1380">
        <f>H25</f>
        <v>100</v>
      </c>
      <c r="V25" s="1379" t="s">
        <v>1398</v>
      </c>
      <c r="W25" s="1380">
        <f>J25</f>
        <v>100</v>
      </c>
      <c r="X25" s="1366"/>
      <c r="Y25" s="1332"/>
      <c r="Z25" s="1353" t="str">
        <f>Q25</f>
        <v>毗邻道路的类型与等级</v>
      </c>
      <c r="AA25" s="1395">
        <f t="shared" si="3"/>
        <v>1</v>
      </c>
      <c r="AB25" s="1395">
        <f t="shared" si="4"/>
        <v>1</v>
      </c>
      <c r="AC25" s="22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295">
        <v>1</v>
      </c>
    </row>
    <row r="27" ht="15" spans="1:29">
      <c r="A27" s="1185"/>
      <c r="B27" s="1213" t="s">
        <v>1479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6"/>
      <c r="Q27" s="717" t="str">
        <f t="shared" ref="Q27:Q47" si="11">B27</f>
        <v>楼层</v>
      </c>
      <c r="R27" s="1379" t="s">
        <v>1398</v>
      </c>
      <c r="S27" s="1380">
        <f>F27</f>
        <v>100</v>
      </c>
      <c r="T27" s="1379" t="s">
        <v>1398</v>
      </c>
      <c r="U27" s="1380">
        <f>H27</f>
        <v>100</v>
      </c>
      <c r="V27" s="1379" t="s">
        <v>1398</v>
      </c>
      <c r="W27" s="1380">
        <f>J27</f>
        <v>100</v>
      </c>
      <c r="X27" s="1366"/>
      <c r="Y27" s="1332"/>
      <c r="Z27" s="1353" t="str">
        <f>Q27</f>
        <v>楼层</v>
      </c>
      <c r="AA27" s="1395">
        <f t="shared" si="3"/>
        <v>1</v>
      </c>
      <c r="AB27" s="1395">
        <f t="shared" si="4"/>
        <v>1</v>
      </c>
      <c r="AC27" s="2295">
        <f t="shared" si="5"/>
        <v>1</v>
      </c>
    </row>
    <row r="28" s="1132" customFormat="1" ht="15" spans="1:29">
      <c r="A28" s="1188"/>
      <c r="B28" s="1209" t="s">
        <v>1417</v>
      </c>
      <c r="C28" s="2276"/>
      <c r="D28" s="1690">
        <v>100</v>
      </c>
      <c r="E28" s="1737"/>
      <c r="F28" s="1690">
        <f>SUMIF(91:91,E28,92:92)-SUMIF(91:91,C28,92:92)+100</f>
        <v>100</v>
      </c>
      <c r="G28" s="2276"/>
      <c r="H28" s="1690">
        <f>SUMIF(91:91,G28,92:92)-SUMIF(91:91,C28,92:92)+100</f>
        <v>100</v>
      </c>
      <c r="I28" s="1737"/>
      <c r="J28" s="1690">
        <f>SUMIF(91:91,I28,92:92)-SUMIF(91:91,C28,92:92)+100</f>
        <v>100</v>
      </c>
      <c r="K28" s="1337"/>
      <c r="L28" s="1318"/>
      <c r="M28" s="1319"/>
      <c r="N28" s="1319"/>
      <c r="O28" s="1319"/>
      <c r="P28" s="1746"/>
      <c r="Q28" s="1378" t="str">
        <f t="shared" si="11"/>
        <v>朝向</v>
      </c>
      <c r="R28" s="1374" t="s">
        <v>1398</v>
      </c>
      <c r="S28" s="1375">
        <f>F28</f>
        <v>100</v>
      </c>
      <c r="T28" s="1374" t="s">
        <v>1398</v>
      </c>
      <c r="U28" s="1375">
        <f>H28</f>
        <v>100</v>
      </c>
      <c r="V28" s="1374" t="s">
        <v>1398</v>
      </c>
      <c r="W28" s="1375">
        <f>J28</f>
        <v>100</v>
      </c>
      <c r="X28" s="1376"/>
      <c r="Y28" s="1332"/>
      <c r="Z28" s="1394" t="str">
        <f>Q28</f>
        <v>朝向</v>
      </c>
      <c r="AA28" s="1395">
        <f t="shared" si="3"/>
        <v>1</v>
      </c>
      <c r="AB28" s="1395">
        <f t="shared" si="4"/>
        <v>1</v>
      </c>
      <c r="AC28" s="2295">
        <f t="shared" si="5"/>
        <v>1</v>
      </c>
    </row>
    <row r="29" ht="15" spans="1:29">
      <c r="A29" s="1185"/>
      <c r="B29" s="1224">
        <v>111</v>
      </c>
      <c r="C29" s="2275"/>
      <c r="D29" s="1194">
        <v>100</v>
      </c>
      <c r="E29" s="1183"/>
      <c r="F29" s="1194">
        <f>SUMIF(93:93,E29,94:94)-SUMIF(93:93,C29,94:94)+100</f>
        <v>100</v>
      </c>
      <c r="G29" s="2271"/>
      <c r="H29" s="1194">
        <f>SUMIF(93:93,G29,94:94)-SUMIF(93:93,C29,94:94)+100</f>
        <v>100</v>
      </c>
      <c r="I29" s="1183"/>
      <c r="J29" s="1194">
        <f>SUMIF(93:93,I29,94:94)-SUMIF(93:93,C29,94:94)+100</f>
        <v>100</v>
      </c>
      <c r="K29" s="1336"/>
      <c r="L29" s="1329"/>
      <c r="M29" s="1313"/>
      <c r="N29" s="1313"/>
      <c r="O29" s="1313"/>
      <c r="P29" s="1746"/>
      <c r="Q29" s="717">
        <f t="shared" si="11"/>
        <v>111</v>
      </c>
      <c r="R29" s="1379" t="s">
        <v>1398</v>
      </c>
      <c r="S29" s="1380">
        <f t="shared" ref="S29:S47" si="12">F29</f>
        <v>100</v>
      </c>
      <c r="T29" s="1379" t="s">
        <v>1398</v>
      </c>
      <c r="U29" s="1380">
        <f t="shared" ref="U29:U47" si="13">H29</f>
        <v>100</v>
      </c>
      <c r="V29" s="1379" t="s">
        <v>1398</v>
      </c>
      <c r="W29" s="1380">
        <f t="shared" ref="W29:W47" si="14">J29</f>
        <v>100</v>
      </c>
      <c r="X29" s="1366"/>
      <c r="Y29" s="1332"/>
      <c r="Z29" s="1353">
        <f t="shared" ref="Z29:Z47" si="15">Q29</f>
        <v>111</v>
      </c>
      <c r="AA29" s="1395">
        <f t="shared" si="3"/>
        <v>1</v>
      </c>
      <c r="AB29" s="1395">
        <f t="shared" si="4"/>
        <v>1</v>
      </c>
      <c r="AC29" s="2295">
        <f t="shared" si="5"/>
        <v>1</v>
      </c>
    </row>
    <row r="30" ht="15" spans="1:29">
      <c r="A30" s="1185"/>
      <c r="B30" s="1224">
        <v>111</v>
      </c>
      <c r="C30" s="2275"/>
      <c r="D30" s="1194">
        <v>100</v>
      </c>
      <c r="E30" s="1183"/>
      <c r="F30" s="1194">
        <f>SUMIF(95:95,E30,96:96)-SUMIF(95:95,C30,96:96)+100</f>
        <v>100</v>
      </c>
      <c r="G30" s="2271"/>
      <c r="H30" s="1194">
        <f>SUMIF(95:95,G30,96:96)-SUMIF(95:95,C30,96:96)+100</f>
        <v>100</v>
      </c>
      <c r="I30" s="1183"/>
      <c r="J30" s="1194">
        <f>SUMIF(95:95,I30,96:96)-SUMIF(95:95,C30,96:96)+100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2295">
        <f t="shared" si="5"/>
        <v>1</v>
      </c>
    </row>
    <row r="31" ht="15" spans="1:29">
      <c r="A31" s="1185"/>
      <c r="B31" s="1224">
        <v>111</v>
      </c>
      <c r="C31" s="2275"/>
      <c r="D31" s="1194">
        <v>100</v>
      </c>
      <c r="E31" s="1183"/>
      <c r="F31" s="1194">
        <f>SUMIF(97:97,E31,98:98)-SUMIF(97:97,C31,98:98)+100</f>
        <v>100</v>
      </c>
      <c r="G31" s="2271"/>
      <c r="H31" s="1194">
        <f>SUMIF(97:97,G31,98:98)-SUMIF(97:97,C31,98:98)+100</f>
        <v>100</v>
      </c>
      <c r="I31" s="1183"/>
      <c r="J31" s="1194">
        <f>SUMIF(97:97,I31,98:98)-SUMIF(97:97,C31,98:98)+100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2295">
        <f t="shared" si="5"/>
        <v>1</v>
      </c>
    </row>
    <row r="32" ht="15.75" spans="1:29">
      <c r="A32" s="1195"/>
      <c r="B32" s="1646">
        <v>111</v>
      </c>
      <c r="C32" s="2277"/>
      <c r="D32" s="1198">
        <v>100</v>
      </c>
      <c r="E32" s="1648"/>
      <c r="F32" s="1198">
        <f>SUMIF(99:99,E32,100:100)-SUMIF(99:99,C32,100:100)+100</f>
        <v>100</v>
      </c>
      <c r="G32" s="2271"/>
      <c r="H32" s="1198">
        <f>SUMIF(99:99,G32,100:100)-SUMIF(99:99,C32,100:100)+100</f>
        <v>100</v>
      </c>
      <c r="I32" s="1183"/>
      <c r="J32" s="1198">
        <f>SUMIF(99:99,I32,100:100)-SUMIF(99:99,C32,100:100)+100</f>
        <v>100</v>
      </c>
      <c r="K32" s="1336"/>
      <c r="L32" s="1329"/>
      <c r="M32" s="1313"/>
      <c r="N32" s="1313"/>
      <c r="O32" s="1313"/>
      <c r="P32" s="1746"/>
      <c r="Q32" s="717">
        <f t="shared" si="11"/>
        <v>111</v>
      </c>
      <c r="R32" s="1379" t="s">
        <v>1398</v>
      </c>
      <c r="S32" s="1380">
        <f t="shared" si="12"/>
        <v>100</v>
      </c>
      <c r="T32" s="1379" t="s">
        <v>1398</v>
      </c>
      <c r="U32" s="1380">
        <f t="shared" si="13"/>
        <v>100</v>
      </c>
      <c r="V32" s="1379" t="s">
        <v>1398</v>
      </c>
      <c r="W32" s="1380">
        <f t="shared" si="14"/>
        <v>100</v>
      </c>
      <c r="X32" s="1366"/>
      <c r="Y32" s="1332"/>
      <c r="Z32" s="1353">
        <f t="shared" si="15"/>
        <v>111</v>
      </c>
      <c r="AA32" s="1395">
        <f t="shared" si="3"/>
        <v>1</v>
      </c>
      <c r="AB32" s="1395">
        <f t="shared" si="4"/>
        <v>1</v>
      </c>
      <c r="AC32" s="2295">
        <f t="shared" si="5"/>
        <v>1</v>
      </c>
    </row>
    <row r="33" ht="15" spans="1:29">
      <c r="A33" s="1199" t="s">
        <v>1418</v>
      </c>
      <c r="B33" s="1178" t="s">
        <v>1419</v>
      </c>
      <c r="C33" s="1582" t="s">
        <v>1480</v>
      </c>
      <c r="D33" s="1235">
        <v>100</v>
      </c>
      <c r="E33" s="1582" t="s">
        <v>1480</v>
      </c>
      <c r="F33" s="1577">
        <f>SUMIF(101:101,E33,102:102)-SUMIF(101:101,C33,102:102)+100</f>
        <v>100</v>
      </c>
      <c r="G33" s="1582" t="s">
        <v>1480</v>
      </c>
      <c r="H33" s="1194">
        <f>SUMIF(101:101,G33,102:102)-SUMIF(101:101,C33,102:102)+100</f>
        <v>100</v>
      </c>
      <c r="I33" s="1582" t="s">
        <v>1480</v>
      </c>
      <c r="J33" s="1235">
        <f>SUMIF(101:101,I33,102:102)-SUMIF(101:101,C33,102:102)+100</f>
        <v>100</v>
      </c>
      <c r="K33" s="1337">
        <v>2</v>
      </c>
      <c r="L33" s="1329"/>
      <c r="M33" s="1313"/>
      <c r="N33" s="1313"/>
      <c r="O33" s="1313"/>
      <c r="P33" s="1747" t="s">
        <v>1420</v>
      </c>
      <c r="Q33" s="717" t="str">
        <f t="shared" si="11"/>
        <v>建筑类型</v>
      </c>
      <c r="R33" s="1379" t="s">
        <v>1398</v>
      </c>
      <c r="S33" s="1380">
        <f t="shared" si="12"/>
        <v>100</v>
      </c>
      <c r="T33" s="1379" t="s">
        <v>1398</v>
      </c>
      <c r="U33" s="1380">
        <f t="shared" si="13"/>
        <v>100</v>
      </c>
      <c r="V33" s="1379" t="s">
        <v>1398</v>
      </c>
      <c r="W33" s="1380">
        <f t="shared" si="14"/>
        <v>100</v>
      </c>
      <c r="X33" s="1366"/>
      <c r="Y33" s="1341" t="s">
        <v>1420</v>
      </c>
      <c r="Z33" s="1353" t="str">
        <f t="shared" si="15"/>
        <v>建筑类型</v>
      </c>
      <c r="AA33" s="1395">
        <f t="shared" si="3"/>
        <v>1</v>
      </c>
      <c r="AB33" s="1395">
        <f t="shared" si="4"/>
        <v>1</v>
      </c>
      <c r="AC33" s="2295">
        <f t="shared" si="5"/>
        <v>1</v>
      </c>
    </row>
    <row r="34" s="1134" customFormat="1" ht="15" spans="1:29">
      <c r="A34" s="1241"/>
      <c r="B34" s="1182" t="s">
        <v>1421</v>
      </c>
      <c r="C34" s="1571">
        <f>'数据-汇总表'!E31</f>
        <v>373.87</v>
      </c>
      <c r="D34" s="1184">
        <v>100</v>
      </c>
      <c r="E34" s="1187">
        <v>347.86</v>
      </c>
      <c r="F34" s="1570">
        <f>LOOKUP(E34,104:104,105:105)-LOOKUP(C34,104:104,105:105)+100</f>
        <v>100</v>
      </c>
      <c r="G34" s="1186">
        <v>356.62</v>
      </c>
      <c r="H34" s="1184">
        <f>LOOKUP(G34,104:104,105:105)-LOOKUP(C34,104:104,105:105)+100</f>
        <v>100</v>
      </c>
      <c r="I34" s="1186">
        <v>396.69</v>
      </c>
      <c r="J34" s="1184">
        <f>LOOKUP(I34,104:104,105:105)-LOOKUP(C34,104:104,105:105)+100</f>
        <v>100</v>
      </c>
      <c r="K34" s="1336"/>
      <c r="L34" s="1327"/>
      <c r="M34" s="1339"/>
      <c r="N34" s="1339"/>
      <c r="O34" s="1339"/>
      <c r="P34" s="1748"/>
      <c r="Q34" s="1616" t="str">
        <f t="shared" si="11"/>
        <v>项目建筑规模</v>
      </c>
      <c r="R34" s="1381" t="s">
        <v>1398</v>
      </c>
      <c r="S34" s="1382">
        <f t="shared" si="12"/>
        <v>100</v>
      </c>
      <c r="T34" s="1381" t="s">
        <v>1398</v>
      </c>
      <c r="U34" s="1382">
        <f t="shared" si="13"/>
        <v>100</v>
      </c>
      <c r="V34" s="1381" t="s">
        <v>1398</v>
      </c>
      <c r="W34" s="1382">
        <f t="shared" si="14"/>
        <v>100</v>
      </c>
      <c r="X34" s="1383"/>
      <c r="Y34" s="1341"/>
      <c r="Z34" s="1396" t="str">
        <f t="shared" si="15"/>
        <v>项目建筑规模</v>
      </c>
      <c r="AA34" s="1395">
        <f t="shared" si="3"/>
        <v>1</v>
      </c>
      <c r="AB34" s="1395">
        <f t="shared" si="4"/>
        <v>1</v>
      </c>
      <c r="AC34" s="2295">
        <f t="shared" si="5"/>
        <v>1</v>
      </c>
    </row>
    <row r="35" ht="15" spans="1:29">
      <c r="A35" s="1236"/>
      <c r="B35" s="1182" t="s">
        <v>1422</v>
      </c>
      <c r="C35" s="1587" t="s">
        <v>1481</v>
      </c>
      <c r="D35" s="1194">
        <v>100</v>
      </c>
      <c r="E35" s="1587" t="s">
        <v>1481</v>
      </c>
      <c r="F35" s="1577">
        <f>SUMIF(106:106,E35,107:107)-SUMIF(106:106,C35,107:107)+100</f>
        <v>100</v>
      </c>
      <c r="G35" s="1587" t="s">
        <v>1481</v>
      </c>
      <c r="H35" s="1194">
        <f>SUMIF(106:106,G35,107:107)-SUMIF(106:106,C35,107:107)+100</f>
        <v>100</v>
      </c>
      <c r="I35" s="1587" t="s">
        <v>1481</v>
      </c>
      <c r="J35" s="1194">
        <f>SUMIF(106:106,I35,107:107)-SUMIF(106:106,C35,107:107)+100</f>
        <v>100</v>
      </c>
      <c r="K35" s="1337">
        <v>2</v>
      </c>
      <c r="L35" s="1329"/>
      <c r="M35" s="1313"/>
      <c r="N35" s="1313"/>
      <c r="O35" s="1313"/>
      <c r="P35" s="1748"/>
      <c r="Q35" s="717" t="str">
        <f t="shared" si="11"/>
        <v>建筑结构</v>
      </c>
      <c r="R35" s="1379" t="s">
        <v>1398</v>
      </c>
      <c r="S35" s="1380">
        <f t="shared" si="12"/>
        <v>100</v>
      </c>
      <c r="T35" s="1379" t="s">
        <v>1398</v>
      </c>
      <c r="U35" s="1380">
        <f t="shared" si="13"/>
        <v>100</v>
      </c>
      <c r="V35" s="1379" t="s">
        <v>1398</v>
      </c>
      <c r="W35" s="1380">
        <f t="shared" si="14"/>
        <v>100</v>
      </c>
      <c r="X35" s="1366"/>
      <c r="Y35" s="1341"/>
      <c r="Z35" s="1353" t="str">
        <f t="shared" si="15"/>
        <v>建筑结构</v>
      </c>
      <c r="AA35" s="1395">
        <f t="shared" si="3"/>
        <v>1</v>
      </c>
      <c r="AB35" s="1395">
        <f t="shared" si="4"/>
        <v>1</v>
      </c>
      <c r="AC35" s="2295">
        <f t="shared" si="5"/>
        <v>1</v>
      </c>
    </row>
    <row r="36" ht="15" spans="1:29">
      <c r="A36" s="1236"/>
      <c r="B36" s="1182" t="s">
        <v>1424</v>
      </c>
      <c r="C36" s="1587" t="s">
        <v>1482</v>
      </c>
      <c r="D36" s="1194">
        <v>100</v>
      </c>
      <c r="E36" s="1587" t="s">
        <v>1482</v>
      </c>
      <c r="F36" s="1577">
        <f>SUMIF(108:108,E36,109:109)-SUMIF(108:108,C36,109:109)+100</f>
        <v>100</v>
      </c>
      <c r="G36" s="1587" t="s">
        <v>1482</v>
      </c>
      <c r="H36" s="1194">
        <f>SUMIF(108:108,G36,109:109)-SUMIF(108:108,C36,109:109)+100</f>
        <v>100</v>
      </c>
      <c r="I36" s="1587" t="s">
        <v>1482</v>
      </c>
      <c r="J36" s="1194">
        <f>SUMIF(108:108,I36,109:109)-SUMIF(108:108,C36,109:109)+100</f>
        <v>100</v>
      </c>
      <c r="K36" s="1337">
        <v>2</v>
      </c>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5"/>
        <v>公共部分装修</v>
      </c>
      <c r="AA36" s="1395">
        <f t="shared" si="3"/>
        <v>1</v>
      </c>
      <c r="AB36" s="1395">
        <f t="shared" si="4"/>
        <v>1</v>
      </c>
      <c r="AC36" s="2295">
        <f t="shared" si="5"/>
        <v>1</v>
      </c>
    </row>
    <row r="37" ht="15" spans="1:29">
      <c r="A37" s="1236"/>
      <c r="B37" s="1182" t="s">
        <v>681</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1398</v>
      </c>
      <c r="S37" s="1380">
        <f t="shared" si="12"/>
        <v>100</v>
      </c>
      <c r="T37" s="1379" t="s">
        <v>1398</v>
      </c>
      <c r="U37" s="1380">
        <f t="shared" si="13"/>
        <v>100</v>
      </c>
      <c r="V37" s="1379" t="s">
        <v>1398</v>
      </c>
      <c r="W37" s="1380">
        <f t="shared" si="14"/>
        <v>100</v>
      </c>
      <c r="X37" s="1366"/>
      <c r="Y37" s="1341"/>
      <c r="Z37" s="1353" t="str">
        <f t="shared" si="15"/>
        <v>成新度</v>
      </c>
      <c r="AA37" s="1395">
        <f t="shared" si="3"/>
        <v>1</v>
      </c>
      <c r="AB37" s="1395">
        <f t="shared" si="4"/>
        <v>1</v>
      </c>
      <c r="AC37" s="2295">
        <f t="shared" si="5"/>
        <v>1</v>
      </c>
    </row>
    <row r="38" s="1132" customFormat="1" ht="15" spans="1:29">
      <c r="A38" s="1238"/>
      <c r="B38" s="1182" t="s">
        <v>1483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1398</v>
      </c>
      <c r="S38" s="1375">
        <f t="shared" si="12"/>
        <v>100</v>
      </c>
      <c r="T38" s="1374" t="s">
        <v>1398</v>
      </c>
      <c r="U38" s="1375">
        <f t="shared" si="13"/>
        <v>100</v>
      </c>
      <c r="V38" s="1374" t="s">
        <v>1398</v>
      </c>
      <c r="W38" s="1375">
        <f t="shared" si="14"/>
        <v>100</v>
      </c>
      <c r="X38" s="1376"/>
      <c r="Y38" s="1341"/>
      <c r="Z38" s="1394" t="str">
        <f t="shared" si="15"/>
        <v>写字楼等级</v>
      </c>
      <c r="AA38" s="1393">
        <f t="shared" si="3"/>
        <v>1</v>
      </c>
      <c r="AB38" s="1393">
        <f t="shared" si="4"/>
        <v>1</v>
      </c>
      <c r="AC38" s="2294">
        <f t="shared" si="5"/>
        <v>1</v>
      </c>
    </row>
    <row r="39" ht="15" spans="1:29">
      <c r="A39" s="1236"/>
      <c r="B39" s="1182" t="s">
        <v>1425</v>
      </c>
      <c r="C39" s="1587" t="s">
        <v>1484</v>
      </c>
      <c r="D39" s="1194">
        <v>100</v>
      </c>
      <c r="E39" s="1587" t="s">
        <v>1484</v>
      </c>
      <c r="F39" s="1577">
        <f>SUMIF(115:115,E39,116:116)-SUMIF(115:115,C39,116:116)+100</f>
        <v>100</v>
      </c>
      <c r="G39" s="1587" t="s">
        <v>1484</v>
      </c>
      <c r="H39" s="1194">
        <f>SUMIF(115:115,G39,116:116)-SUMIF(115:115,C39,116:116)+100</f>
        <v>100</v>
      </c>
      <c r="I39" s="1587" t="s">
        <v>1484</v>
      </c>
      <c r="J39" s="1194">
        <f>SUMIF(115:115,I39,116:116)-SUMIF(115:115,C39,116:116)+100</f>
        <v>100</v>
      </c>
      <c r="K39" s="1337">
        <v>2</v>
      </c>
      <c r="L39" s="1329"/>
      <c r="M39" s="1313"/>
      <c r="N39" s="1313"/>
      <c r="O39" s="1313"/>
      <c r="P39" s="1748" t="s">
        <v>1420</v>
      </c>
      <c r="Q39" s="717" t="str">
        <f t="shared" si="11"/>
        <v>物业管理</v>
      </c>
      <c r="R39" s="1379" t="s">
        <v>1398</v>
      </c>
      <c r="S39" s="1380">
        <f t="shared" si="12"/>
        <v>100</v>
      </c>
      <c r="T39" s="1379" t="s">
        <v>1398</v>
      </c>
      <c r="U39" s="1380">
        <f t="shared" si="13"/>
        <v>100</v>
      </c>
      <c r="V39" s="1379" t="s">
        <v>1398</v>
      </c>
      <c r="W39" s="1380">
        <f t="shared" si="14"/>
        <v>100</v>
      </c>
      <c r="X39" s="1366"/>
      <c r="Y39" s="1341" t="s">
        <v>1420</v>
      </c>
      <c r="Z39" s="1353" t="str">
        <f t="shared" si="15"/>
        <v>物业管理</v>
      </c>
      <c r="AA39" s="1395">
        <f t="shared" si="3"/>
        <v>1</v>
      </c>
      <c r="AB39" s="1395">
        <f t="shared" si="4"/>
        <v>1</v>
      </c>
      <c r="AC39" s="2295">
        <f t="shared" si="5"/>
        <v>1</v>
      </c>
    </row>
    <row r="40" ht="15" spans="1:29">
      <c r="A40" s="1236"/>
      <c r="B40" s="1182" t="s">
        <v>1426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1398</v>
      </c>
      <c r="S40" s="1380">
        <f t="shared" si="12"/>
        <v>100</v>
      </c>
      <c r="T40" s="1379" t="s">
        <v>1398</v>
      </c>
      <c r="U40" s="1380">
        <f t="shared" si="13"/>
        <v>100</v>
      </c>
      <c r="V40" s="1379" t="s">
        <v>1398</v>
      </c>
      <c r="W40" s="1380">
        <f t="shared" si="14"/>
        <v>100</v>
      </c>
      <c r="X40" s="1366"/>
      <c r="Y40" s="1341"/>
      <c r="Z40" s="1353" t="str">
        <f t="shared" si="15"/>
        <v>市政基础设施</v>
      </c>
      <c r="AA40" s="1395">
        <f t="shared" si="3"/>
        <v>1</v>
      </c>
      <c r="AB40" s="1395">
        <f t="shared" si="4"/>
        <v>1</v>
      </c>
      <c r="AC40" s="2295">
        <f t="shared" si="5"/>
        <v>1</v>
      </c>
    </row>
    <row r="41" ht="15" spans="1:29">
      <c r="A41" s="1236"/>
      <c r="B41" s="1182" t="s">
        <v>1485</v>
      </c>
      <c r="C41" s="1219" t="s">
        <v>1486</v>
      </c>
      <c r="D41" s="1194">
        <v>100</v>
      </c>
      <c r="E41" s="1219" t="s">
        <v>1486</v>
      </c>
      <c r="F41" s="1577">
        <f>SUMIF(119:119,E41,120:120)-SUMIF(119:119,C41,120:120)+100</f>
        <v>100</v>
      </c>
      <c r="G41" s="1219" t="s">
        <v>1486</v>
      </c>
      <c r="H41" s="1194">
        <f>SUMIF(119:119,G41,120:120)-SUMIF(119:119,C41,120:120)+100</f>
        <v>100</v>
      </c>
      <c r="I41" s="1219" t="s">
        <v>1486</v>
      </c>
      <c r="J41" s="1194">
        <f>SUMIF(119:119,I41,120:120)-SUMIF(119:119,C41,120:120)+100</f>
        <v>100</v>
      </c>
      <c r="K41" s="1337">
        <v>5</v>
      </c>
      <c r="L41" s="1329"/>
      <c r="M41" s="1313"/>
      <c r="N41" s="1313"/>
      <c r="O41" s="1313"/>
      <c r="P41" s="1748"/>
      <c r="Q41" s="717" t="str">
        <f t="shared" si="11"/>
        <v>层高</v>
      </c>
      <c r="R41" s="1379" t="s">
        <v>1398</v>
      </c>
      <c r="S41" s="1380">
        <f t="shared" si="12"/>
        <v>100</v>
      </c>
      <c r="T41" s="1379" t="s">
        <v>1398</v>
      </c>
      <c r="U41" s="1380">
        <f t="shared" si="13"/>
        <v>100</v>
      </c>
      <c r="V41" s="1379" t="s">
        <v>1398</v>
      </c>
      <c r="W41" s="1380">
        <f t="shared" si="14"/>
        <v>100</v>
      </c>
      <c r="X41" s="1366"/>
      <c r="Y41" s="1341"/>
      <c r="Z41" s="1353" t="str">
        <f t="shared" si="15"/>
        <v>层高</v>
      </c>
      <c r="AA41" s="1395">
        <f t="shared" si="3"/>
        <v>1</v>
      </c>
      <c r="AB41" s="1395">
        <f t="shared" si="4"/>
        <v>1</v>
      </c>
      <c r="AC41" s="2295">
        <f t="shared" si="5"/>
        <v>1</v>
      </c>
    </row>
    <row r="42" s="1134" customFormat="1" ht="15" spans="1:29">
      <c r="A42" s="1241"/>
      <c r="B42" s="1348" t="s">
        <v>1487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1398</v>
      </c>
      <c r="S42" s="1382">
        <f t="shared" si="12"/>
        <v>100</v>
      </c>
      <c r="T42" s="1381" t="s">
        <v>1398</v>
      </c>
      <c r="U42" s="1382">
        <f t="shared" si="13"/>
        <v>100</v>
      </c>
      <c r="V42" s="1381" t="s">
        <v>1398</v>
      </c>
      <c r="W42" s="1382">
        <f t="shared" si="14"/>
        <v>100</v>
      </c>
      <c r="X42" s="1383"/>
      <c r="Y42" s="1341"/>
      <c r="Z42" s="1396" t="str">
        <f t="shared" si="15"/>
        <v>单套建筑面积</v>
      </c>
      <c r="AA42" s="1395">
        <f t="shared" si="3"/>
        <v>1</v>
      </c>
      <c r="AB42" s="1395">
        <f t="shared" si="4"/>
        <v>1</v>
      </c>
      <c r="AC42" s="2295">
        <f t="shared" si="5"/>
        <v>1</v>
      </c>
    </row>
    <row r="43" ht="15" spans="1:29">
      <c r="A43" s="1236"/>
      <c r="B43" s="1182" t="s">
        <v>1429</v>
      </c>
      <c r="C43" s="1587" t="s">
        <v>1482</v>
      </c>
      <c r="D43" s="1194">
        <v>100</v>
      </c>
      <c r="E43" s="2278" t="s">
        <v>1488</v>
      </c>
      <c r="F43" s="1577">
        <f>SUMIF(123:123,E43,124:124)-SUMIF(123:123,C43,124:124)+100</f>
        <v>91</v>
      </c>
      <c r="G43" s="1587" t="s">
        <v>1482</v>
      </c>
      <c r="H43" s="1194">
        <f>SUMIF(123:123,G43,124:124)-SUMIF(123:123,C43,124:124)+100</f>
        <v>100</v>
      </c>
      <c r="I43" s="2278" t="s">
        <v>1488</v>
      </c>
      <c r="J43" s="1194">
        <f>SUMIF(123:123,I43,124:124)-SUMIF(123:123,C43,124:124)+100</f>
        <v>91</v>
      </c>
      <c r="K43" s="1337">
        <v>3</v>
      </c>
      <c r="L43" s="1329"/>
      <c r="M43" s="1313"/>
      <c r="N43" s="1313"/>
      <c r="O43" s="1313"/>
      <c r="P43" s="1748"/>
      <c r="Q43" s="717" t="str">
        <f t="shared" si="11"/>
        <v>内部装修</v>
      </c>
      <c r="R43" s="1379" t="s">
        <v>1398</v>
      </c>
      <c r="S43" s="1380">
        <f t="shared" si="12"/>
        <v>91</v>
      </c>
      <c r="T43" s="1379" t="s">
        <v>1398</v>
      </c>
      <c r="U43" s="1380">
        <f t="shared" si="13"/>
        <v>100</v>
      </c>
      <c r="V43" s="1379" t="s">
        <v>1398</v>
      </c>
      <c r="W43" s="1380">
        <f t="shared" si="14"/>
        <v>91</v>
      </c>
      <c r="X43" s="1366"/>
      <c r="Y43" s="1341"/>
      <c r="Z43" s="1353" t="str">
        <f t="shared" si="15"/>
        <v>内部装修</v>
      </c>
      <c r="AA43" s="1395">
        <f t="shared" si="3"/>
        <v>1.0989010989011</v>
      </c>
      <c r="AB43" s="1395">
        <f t="shared" si="4"/>
        <v>1</v>
      </c>
      <c r="AC43" s="2295">
        <f t="shared" si="5"/>
        <v>1.0989010989011</v>
      </c>
    </row>
    <row r="44" ht="15" spans="1:29">
      <c r="A44" s="1236"/>
      <c r="B44" s="1182" t="s">
        <v>1430</v>
      </c>
      <c r="C44" s="1587" t="s">
        <v>1476</v>
      </c>
      <c r="D44" s="1194">
        <v>100</v>
      </c>
      <c r="E44" s="1587" t="s">
        <v>1476</v>
      </c>
      <c r="F44" s="1577">
        <f>SUMIF(125:125,E44,126:126)-SUMIF(125:125,C44,126:126)+100</f>
        <v>100</v>
      </c>
      <c r="G44" s="1587" t="s">
        <v>1476</v>
      </c>
      <c r="H44" s="1194">
        <f>SUMIF(125:125,G44,126:126)-SUMIF(125:125,C44,126:126)+100</f>
        <v>100</v>
      </c>
      <c r="I44" s="1587" t="s">
        <v>1476</v>
      </c>
      <c r="J44" s="1194">
        <f>SUMIF(125:125,I44,126:126)-SUMIF(125:125,C44,126:126)+100</f>
        <v>100</v>
      </c>
      <c r="K44" s="1337">
        <v>2</v>
      </c>
      <c r="L44" s="1329"/>
      <c r="M44" s="1313"/>
      <c r="N44" s="1313"/>
      <c r="O44" s="1313"/>
      <c r="P44" s="1748"/>
      <c r="Q44" s="717" t="str">
        <f t="shared" si="11"/>
        <v>内部装修维护情况</v>
      </c>
      <c r="R44" s="1379" t="s">
        <v>1398</v>
      </c>
      <c r="S44" s="1380">
        <f t="shared" si="12"/>
        <v>100</v>
      </c>
      <c r="T44" s="1379" t="s">
        <v>1398</v>
      </c>
      <c r="U44" s="1380">
        <f t="shared" si="13"/>
        <v>100</v>
      </c>
      <c r="V44" s="1379" t="s">
        <v>1398</v>
      </c>
      <c r="W44" s="1380">
        <f t="shared" si="14"/>
        <v>100</v>
      </c>
      <c r="X44" s="1366"/>
      <c r="Y44" s="1341"/>
      <c r="Z44" s="1353" t="str">
        <f t="shared" si="15"/>
        <v>内部装修维护情况</v>
      </c>
      <c r="AA44" s="1395">
        <f t="shared" si="3"/>
        <v>1</v>
      </c>
      <c r="AB44" s="1395">
        <f t="shared" si="4"/>
        <v>1</v>
      </c>
      <c r="AC44" s="22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1398</v>
      </c>
      <c r="S45" s="1375">
        <f t="shared" si="12"/>
        <v>100</v>
      </c>
      <c r="T45" s="1374" t="s">
        <v>1398</v>
      </c>
      <c r="U45" s="1375">
        <f t="shared" si="13"/>
        <v>100</v>
      </c>
      <c r="V45" s="1374" t="s">
        <v>1398</v>
      </c>
      <c r="W45" s="1375">
        <f t="shared" si="14"/>
        <v>100</v>
      </c>
      <c r="X45" s="1376"/>
      <c r="Y45" s="1341"/>
      <c r="Z45" s="1394">
        <f t="shared" si="15"/>
        <v>111</v>
      </c>
      <c r="AA45" s="1393">
        <f t="shared" si="3"/>
        <v>1</v>
      </c>
      <c r="AB45" s="1393">
        <f t="shared" si="4"/>
        <v>1</v>
      </c>
      <c r="AC45" s="22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1398</v>
      </c>
      <c r="S46" s="1380">
        <f t="shared" si="12"/>
        <v>100</v>
      </c>
      <c r="T46" s="1379" t="s">
        <v>1398</v>
      </c>
      <c r="U46" s="1380">
        <f t="shared" si="13"/>
        <v>100</v>
      </c>
      <c r="V46" s="1379" t="s">
        <v>1398</v>
      </c>
      <c r="W46" s="1380">
        <f t="shared" si="14"/>
        <v>100</v>
      </c>
      <c r="X46" s="1366"/>
      <c r="Y46" s="1341"/>
      <c r="Z46" s="1353">
        <f t="shared" si="15"/>
        <v>111</v>
      </c>
      <c r="AA46" s="1395">
        <f t="shared" si="3"/>
        <v>1</v>
      </c>
      <c r="AB46" s="1395">
        <f t="shared" si="4"/>
        <v>1</v>
      </c>
      <c r="AC46" s="22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1398</v>
      </c>
      <c r="S47" s="1380">
        <f t="shared" si="12"/>
        <v>100</v>
      </c>
      <c r="T47" s="1379" t="s">
        <v>1398</v>
      </c>
      <c r="U47" s="1380">
        <f t="shared" si="13"/>
        <v>100</v>
      </c>
      <c r="V47" s="1379" t="s">
        <v>1398</v>
      </c>
      <c r="W47" s="1380">
        <f t="shared" si="14"/>
        <v>100</v>
      </c>
      <c r="X47" s="1366"/>
      <c r="Y47" s="1707"/>
      <c r="Z47" s="1353">
        <f t="shared" si="15"/>
        <v>111</v>
      </c>
      <c r="AA47" s="1395">
        <f t="shared" si="3"/>
        <v>1</v>
      </c>
      <c r="AB47" s="1395">
        <f t="shared" si="4"/>
        <v>1</v>
      </c>
      <c r="AC47" s="2295">
        <f t="shared" si="5"/>
        <v>1</v>
      </c>
    </row>
    <row r="48" ht="15" spans="1:29">
      <c r="A48" s="1243" t="s">
        <v>1431</v>
      </c>
      <c r="B48" s="1591"/>
      <c r="C48" s="1592" t="s">
        <v>124</v>
      </c>
      <c r="D48" s="1593"/>
      <c r="E48" s="1594">
        <v>33060</v>
      </c>
      <c r="F48" s="1595"/>
      <c r="G48" s="1596">
        <v>47670</v>
      </c>
      <c r="H48" s="1597"/>
      <c r="I48" s="1594">
        <v>37813</v>
      </c>
      <c r="J48" s="1250"/>
      <c r="K48" s="1344"/>
      <c r="L48" s="1345"/>
      <c r="M48" s="1313"/>
      <c r="N48" s="1313"/>
      <c r="O48" s="1313"/>
      <c r="P48" s="1280" t="str">
        <f>A48</f>
        <v>成交单价（元/平方米）</v>
      </c>
      <c r="Q48" s="717"/>
      <c r="R48" s="1395">
        <f>E48</f>
        <v>33060</v>
      </c>
      <c r="S48" s="1395"/>
      <c r="T48" s="1395">
        <f>G48</f>
        <v>47670</v>
      </c>
      <c r="U48" s="1395"/>
      <c r="V48" s="1395">
        <f>I48</f>
        <v>37813</v>
      </c>
      <c r="W48" s="1395"/>
      <c r="X48" s="1522"/>
      <c r="Y48" s="1397"/>
      <c r="Z48" s="1522"/>
      <c r="AA48" s="1522"/>
      <c r="AB48" s="1522"/>
      <c r="AC48" s="1204"/>
    </row>
    <row r="49" ht="15.75" spans="1:29">
      <c r="A49" s="1251" t="s">
        <v>1432</v>
      </c>
      <c r="B49" s="1598"/>
      <c r="C49" s="1599">
        <f>R50</f>
        <v>39650</v>
      </c>
      <c r="D49" s="1254" t="s">
        <v>1433</v>
      </c>
      <c r="E49" s="1600">
        <f>R49</f>
        <v>35272</v>
      </c>
      <c r="F49" s="1255"/>
      <c r="G49" s="1599">
        <f>T49</f>
        <v>43336</v>
      </c>
      <c r="H49" s="1255"/>
      <c r="I49" s="1600">
        <f>V49</f>
        <v>40342</v>
      </c>
      <c r="J49" s="1255"/>
      <c r="K49" s="1346">
        <f>F49+H49+J49</f>
        <v>0</v>
      </c>
      <c r="L49" s="1345"/>
      <c r="M49" s="1313"/>
      <c r="N49" s="1313"/>
      <c r="O49" s="1313"/>
      <c r="P49" s="1280" t="str">
        <f>A49</f>
        <v>比较价值（元/平方米）</v>
      </c>
      <c r="Q49" s="717"/>
      <c r="R49" s="1395">
        <f>IF(F1="售价",ROUND(PRODUCT(R48,AA7:AA47),0),ROUND(PRODUCT(R48,AA7:AA47),1))</f>
        <v>35272</v>
      </c>
      <c r="S49" s="1395"/>
      <c r="T49" s="1395">
        <f>IF(F1="售价",ROUND(PRODUCT(T48,AB7:AB47),0),ROUND(PRODUCT(T48,AB7:AB47),1))</f>
        <v>43336</v>
      </c>
      <c r="U49" s="1395"/>
      <c r="V49" s="1395">
        <f>IF(F1="售价",ROUND(PRODUCT(V48,AC7:AC47),0),ROUND(PRODUCT(V48,AC7:AC47),1))</f>
        <v>40342</v>
      </c>
      <c r="W49" s="1395"/>
      <c r="X49" s="1522"/>
      <c r="Y49" s="1522"/>
      <c r="Z49" s="1522"/>
      <c r="AA49" s="1522"/>
      <c r="AB49" s="1522"/>
      <c r="AC49" s="1204"/>
    </row>
    <row r="50" ht="15.75" spans="1:29">
      <c r="A50" s="1257" t="s">
        <v>1434</v>
      </c>
      <c r="B50" s="1258"/>
      <c r="C50" s="1601">
        <f>R50</f>
        <v>39650</v>
      </c>
      <c r="D50" s="1601"/>
      <c r="E50" s="1601"/>
      <c r="F50" s="1601"/>
      <c r="G50" s="1601"/>
      <c r="H50" s="1601"/>
      <c r="I50" s="1601"/>
      <c r="J50" s="1259"/>
      <c r="K50" s="1347"/>
      <c r="L50" s="1345"/>
      <c r="M50" s="1313"/>
      <c r="N50" s="1313"/>
      <c r="O50" s="1313"/>
      <c r="P50" s="2284" t="str">
        <f>A50</f>
        <v>估价对象XX用房的比较价值（楼面单价，元/平方米）</v>
      </c>
      <c r="Q50" s="2289"/>
      <c r="R50" s="2290">
        <f>IF(F1="售价",ROUND(IF(D49="简单平均",AVERAGE(R49:V49),R49*F49+T49*H49+V49*J49),0),ROUND(IF(D49="简单平均",AVERAGE(R49:V49),R49*F49+T49*H49+V49*J49),1))</f>
        <v>39650</v>
      </c>
      <c r="S50" s="2290"/>
      <c r="T50" s="2290"/>
      <c r="U50" s="2290"/>
      <c r="V50" s="2290"/>
      <c r="W50" s="2290"/>
      <c r="X50" s="2291"/>
      <c r="Y50" s="2291"/>
      <c r="Z50" s="2291"/>
      <c r="AA50" s="2291"/>
      <c r="AB50" s="2291"/>
      <c r="AC50" s="2296"/>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1435</v>
      </c>
      <c r="D53" s="761"/>
      <c r="E53" s="1263">
        <f>IF(E48&lt;E49,E49/E48-1,E48/E49-1)</f>
        <v>0.0669086509376891</v>
      </c>
      <c r="F53" s="1264" t="str">
        <f>IF(OR(E53&gt;=0.3,E53&lt;=-0.3),"超过30%","")</f>
        <v/>
      </c>
      <c r="G53" s="1263">
        <f>IF(G48&lt;G49,G49/G48-1,G48/G49-1)</f>
        <v>0.100009230201218</v>
      </c>
      <c r="H53" s="1264" t="str">
        <f>IF(OR(G53&gt;=0.3,G53&lt;=-0.3),"超过30%","")</f>
        <v/>
      </c>
      <c r="I53" s="1263">
        <f>IF(I48&lt;I49,I49/I48-1,I48/I49-1)</f>
        <v>0.0668817602411869</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1436</v>
      </c>
      <c r="D54" s="760"/>
      <c r="E54" s="1263">
        <f>IF(E49&lt;G49,G49/E49-1,E49/G49-1)</f>
        <v>0.228623270582899</v>
      </c>
      <c r="F54" s="1264" t="str">
        <f>IF(OR(E54&gt;=0.2,E54&lt;=-0.2),"超过20%","")</f>
        <v>超过20%</v>
      </c>
      <c r="G54" s="1263">
        <f>IF(G49&lt;I49,I49/G49-1,G49/I49-1)</f>
        <v>0.0742154578355063</v>
      </c>
      <c r="H54" s="1264" t="str">
        <f>IF(OR(G54&gt;=0.2,G54&lt;=-0.2),"超过20%","")</f>
        <v/>
      </c>
      <c r="I54" s="1263">
        <f>IF(I49&lt;E49,E49/I49-1,I49/E49-1)</f>
        <v>0.143740077114992</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1437</v>
      </c>
      <c r="D55" s="760"/>
      <c r="E55" s="1263">
        <f>IF(E48&lt;G48,G48/E48-1,E48/G48-1)</f>
        <v>0.441923774954628</v>
      </c>
      <c r="F55" s="1264" t="str">
        <f>IF(OR(E55&gt;=0.3,E55&lt;=-0.3),"超过30%","")</f>
        <v>超过30%</v>
      </c>
      <c r="G55" s="1263">
        <f>IF(G48&lt;I48,I48/G48-1,G48/I48-1)</f>
        <v>0.260677544759739</v>
      </c>
      <c r="H55" s="1264" t="str">
        <f>IF(OR(G55&gt;=0.3,G55&lt;=-0.3),"超过30%","")</f>
        <v/>
      </c>
      <c r="I55" s="1263">
        <f>IF(I48&lt;E48,E48/I48-1,I48/E48-1)</f>
        <v>0.143768905021174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1438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1396</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1439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1399</v>
      </c>
      <c r="B62" s="1409"/>
      <c r="C62" s="1410" t="s">
        <v>1440</v>
      </c>
      <c r="D62" s="2279" t="s">
        <v>1401</v>
      </c>
      <c r="E62" s="2279" t="s">
        <v>1473</v>
      </c>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103</v>
      </c>
      <c r="E63" s="1413">
        <v>110</v>
      </c>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1441</v>
      </c>
      <c r="B64" s="1415" t="s">
        <v>1404</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00"/>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1409</v>
      </c>
      <c r="B77" s="1415" t="s">
        <v>1474</v>
      </c>
      <c r="C77" s="1436" t="s">
        <v>1442</v>
      </c>
      <c r="D77" s="1436" t="s">
        <v>1443</v>
      </c>
      <c r="E77" s="1436" t="s">
        <v>1444</v>
      </c>
      <c r="F77" s="1436" t="s">
        <v>1445</v>
      </c>
      <c r="G77" s="1436" t="s">
        <v>1446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1412</v>
      </c>
      <c r="C79" s="1438" t="s">
        <v>1442</v>
      </c>
      <c r="D79" s="1438" t="s">
        <v>1443</v>
      </c>
      <c r="E79" s="1438" t="s">
        <v>1444</v>
      </c>
      <c r="F79" s="1438" t="s">
        <v>1445</v>
      </c>
      <c r="G79" s="1438" t="s">
        <v>1446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1413</v>
      </c>
      <c r="C81" s="1438" t="s">
        <v>1442</v>
      </c>
      <c r="D81" s="1438" t="s">
        <v>1443</v>
      </c>
      <c r="E81" s="1438" t="s">
        <v>1444</v>
      </c>
      <c r="F81" s="1438" t="s">
        <v>1445</v>
      </c>
      <c r="G81" s="1438" t="s">
        <v>1446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1414</v>
      </c>
      <c r="C83" s="1443" t="s">
        <v>1447</v>
      </c>
      <c r="D83" s="1443" t="s">
        <v>1448</v>
      </c>
      <c r="E83" s="1443" t="s">
        <v>1449</v>
      </c>
      <c r="F83" s="1443" t="s">
        <v>1450</v>
      </c>
      <c r="G83" s="1443" t="s">
        <v>1451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1477</v>
      </c>
      <c r="C85" s="1438" t="s">
        <v>1442</v>
      </c>
      <c r="D85" s="1438" t="s">
        <v>1443</v>
      </c>
      <c r="E85" s="1438" t="s">
        <v>1444</v>
      </c>
      <c r="F85" s="1438" t="s">
        <v>1445</v>
      </c>
      <c r="G85" s="1438" t="s">
        <v>1446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1478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1418</v>
      </c>
      <c r="B101" s="1415" t="s">
        <v>1419</v>
      </c>
      <c r="C101" s="2297" t="s">
        <v>1480</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1422</v>
      </c>
      <c r="C106" s="2298" t="s">
        <v>1481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1424</v>
      </c>
      <c r="C108" s="2298" t="s">
        <v>1482</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1483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1425</v>
      </c>
      <c r="C115" s="2298" t="s">
        <v>1484</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1426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1489</v>
      </c>
      <c r="C119" s="2299" t="s">
        <v>1486</v>
      </c>
      <c r="D119" s="1444"/>
      <c r="E119" s="1444"/>
      <c r="F119" s="1444"/>
      <c r="G119" s="1444"/>
      <c r="H119" s="1444"/>
      <c r="I119" s="1444"/>
      <c r="J119" s="1444"/>
      <c r="K119" s="1444"/>
      <c r="L119" s="2301"/>
      <c r="M119" s="2302"/>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1490</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1429</v>
      </c>
      <c r="C123" s="2298" t="s">
        <v>1482</v>
      </c>
      <c r="D123" s="2298" t="s">
        <v>1491</v>
      </c>
      <c r="E123" s="2298" t="s">
        <v>1492</v>
      </c>
      <c r="F123" s="2299" t="s">
        <v>1488</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97</v>
      </c>
      <c r="E124" s="1422">
        <f t="shared" si="30"/>
        <v>94</v>
      </c>
      <c r="F124" s="1422">
        <f t="shared" si="30"/>
        <v>91</v>
      </c>
      <c r="G124" s="1422">
        <f t="shared" si="30"/>
        <v>88</v>
      </c>
      <c r="H124" s="1422">
        <f t="shared" si="30"/>
        <v>85</v>
      </c>
      <c r="I124" s="1422">
        <f t="shared" si="30"/>
        <v>82</v>
      </c>
      <c r="J124" s="1422">
        <f t="shared" si="30"/>
        <v>79</v>
      </c>
      <c r="K124" s="1422">
        <f t="shared" si="30"/>
        <v>76</v>
      </c>
      <c r="L124" s="1422">
        <f t="shared" si="30"/>
        <v>73</v>
      </c>
      <c r="M124" s="1472">
        <f t="shared" si="30"/>
        <v>70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1430</v>
      </c>
      <c r="C125" s="1438" t="s">
        <v>1442</v>
      </c>
      <c r="D125" s="1438" t="s">
        <v>1443</v>
      </c>
      <c r="E125" s="1438" t="s">
        <v>1444</v>
      </c>
      <c r="F125" s="1438" t="s">
        <v>1445</v>
      </c>
      <c r="G125" s="1438" t="s">
        <v>1446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t="s">
        <v>646</v>
      </c>
      <c r="D1" s="1988" t="s">
        <v>124</v>
      </c>
      <c r="E1" s="1989" t="s">
        <v>1190</v>
      </c>
      <c r="F1" s="1990">
        <f ca="1">J53</f>
        <v>37.53</v>
      </c>
      <c r="G1" s="1991">
        <f>MATCH(C1,'数据-取费表'!A6:A16,0)+5</f>
        <v>6</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1993">
        <f ca="1">ROUND(D2/10000,4)</f>
        <v>715.5299</v>
      </c>
      <c r="C2" s="1994" t="s">
        <v>1192</v>
      </c>
      <c r="D2" s="1995">
        <f ca="1">C40+J29+L46</f>
        <v>7155299</v>
      </c>
      <c r="E2" s="1996" t="s">
        <v>1493</v>
      </c>
      <c r="F2" s="1997"/>
      <c r="G2" s="1998"/>
      <c r="H2" s="1999"/>
      <c r="I2" s="1999"/>
      <c r="J2" s="1999"/>
      <c r="K2" s="2161"/>
      <c r="L2" s="1999"/>
      <c r="M2" s="1999"/>
    </row>
    <row r="3" ht="18" customHeight="1" spans="1:13">
      <c r="A3" s="2000" t="s">
        <v>1193</v>
      </c>
      <c r="B3" s="2001">
        <f ca="1">IF(ISERROR(D2/F43),0,ROUND(D2/F43,0))</f>
        <v>19138</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406483</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ROUND(F6*F8*F7*(1-F9),0)</f>
        <v>405976</v>
      </c>
      <c r="D6" s="2016" t="s">
        <v>1494</v>
      </c>
      <c r="E6" s="2017" t="s">
        <v>1205</v>
      </c>
      <c r="F6" s="2018">
        <f ca="1">INDIRECT("'数据-取费表'!u"&amp;$G$1)</f>
        <v>3.5</v>
      </c>
      <c r="G6" s="816"/>
      <c r="H6" s="2013" t="s">
        <v>944</v>
      </c>
      <c r="I6" s="2014" t="s">
        <v>1203</v>
      </c>
      <c r="J6" s="2091">
        <f ca="1">ROUND(M6*M8*M7*(1-M9),0)</f>
        <v>0</v>
      </c>
      <c r="K6" s="2164" t="s">
        <v>1495</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373.87</v>
      </c>
      <c r="G7" s="816"/>
      <c r="H7" s="2024"/>
      <c r="I7" s="2020"/>
      <c r="J7" s="2025"/>
      <c r="K7" s="2022"/>
      <c r="L7" s="2017" t="s">
        <v>1207</v>
      </c>
      <c r="M7" s="2018">
        <f ca="1">F7</f>
        <v>373.87</v>
      </c>
    </row>
    <row r="8" ht="18" customHeight="1" spans="1:13">
      <c r="A8" s="2024"/>
      <c r="B8" s="2020"/>
      <c r="C8" s="2025"/>
      <c r="D8" s="2022"/>
      <c r="E8" s="2017" t="s">
        <v>1208</v>
      </c>
      <c r="F8" s="2018">
        <f ca="1">INDIRECT("'数据-取费表'!ai"&amp;$G$1)</f>
        <v>365</v>
      </c>
      <c r="G8" s="816"/>
      <c r="H8" s="2024"/>
      <c r="I8" s="2020"/>
      <c r="J8" s="2025"/>
      <c r="K8" s="2022"/>
      <c r="L8" s="2017" t="s">
        <v>1208</v>
      </c>
      <c r="M8" s="2018">
        <f ca="1">INDIRECT("'数据-取费表'!ai"&amp;$G$1)</f>
        <v>365</v>
      </c>
    </row>
    <row r="9" ht="18" customHeight="1" spans="1:13">
      <c r="A9" s="2024"/>
      <c r="B9" s="2026"/>
      <c r="C9" s="2025"/>
      <c r="D9" s="2022"/>
      <c r="E9" s="2017" t="s">
        <v>1209</v>
      </c>
      <c r="F9" s="2027">
        <f ca="1">INDIRECT("'数据-取费表'!w"&amp;$G$1)</f>
        <v>0.15</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507</v>
      </c>
      <c r="D10" s="2029" t="s">
        <v>1211</v>
      </c>
      <c r="E10" s="2030" t="s">
        <v>1212</v>
      </c>
      <c r="F10" s="2031" t="s">
        <v>1496</v>
      </c>
      <c r="G10" s="816"/>
      <c r="H10" s="2013" t="s">
        <v>948</v>
      </c>
      <c r="I10" s="2028" t="s">
        <v>1210</v>
      </c>
      <c r="J10" s="2091">
        <f ca="1">ROUND(IF(M10="押一",J6/12*M11,IF(M10="押二",J6/12*2*M11,IF(M10="押三",J6/12*3*M11,J11*M11))),0)</f>
        <v>0</v>
      </c>
      <c r="K10" s="2165" t="s">
        <v>1497</v>
      </c>
      <c r="L10" s="2030" t="s">
        <v>1212</v>
      </c>
      <c r="M10" s="2031"/>
    </row>
    <row r="11" ht="18" customHeight="1" spans="1:13">
      <c r="A11" s="2032"/>
      <c r="B11" s="2033" t="s">
        <v>1498</v>
      </c>
      <c r="C11" s="2034"/>
      <c r="D11" s="2022"/>
      <c r="E11" s="2030" t="s">
        <v>1214</v>
      </c>
      <c r="F11" s="2035">
        <f ca="1">'数据-取费表'!B39</f>
        <v>0.015</v>
      </c>
      <c r="G11" s="816"/>
      <c r="H11" s="2036"/>
      <c r="I11" s="2033" t="s">
        <v>1499</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2029355</v>
      </c>
      <c r="D13" s="2046" t="s">
        <v>1217</v>
      </c>
      <c r="E13" s="2046" t="s">
        <v>1218</v>
      </c>
      <c r="F13" s="2047">
        <f ca="1">INDIRECT("'数据-取费表'!y"&amp;$G$1)</f>
        <v>0.83</v>
      </c>
      <c r="G13" s="816"/>
      <c r="H13" s="2043">
        <v>2</v>
      </c>
      <c r="I13" s="2044" t="s">
        <v>1216</v>
      </c>
      <c r="J13" s="2170">
        <f ca="1">ROUND(J14*J15,0)</f>
        <v>0</v>
      </c>
      <c r="K13" s="2069" t="s">
        <v>1217</v>
      </c>
      <c r="L13" s="2171"/>
      <c r="M13" s="2172"/>
    </row>
    <row r="14" ht="18" customHeight="1" spans="1:13">
      <c r="A14" s="2048" t="s">
        <v>967</v>
      </c>
      <c r="B14" s="2017" t="s">
        <v>1219</v>
      </c>
      <c r="C14" s="2049">
        <f ca="1">ROUND(INDIRECT("'数据-取费表'!l"&amp;$G$1)*F43+'数据-取费表'!L14*INDIRECT("'数据-取费表'!S"&amp;$G$1),0)</f>
        <v>1682415</v>
      </c>
      <c r="D14" s="2050" t="s">
        <v>1220</v>
      </c>
      <c r="E14" s="2051"/>
      <c r="F14" s="2052"/>
      <c r="G14" s="816"/>
      <c r="H14" s="2048" t="s">
        <v>944</v>
      </c>
      <c r="I14" s="2017" t="s">
        <v>1221</v>
      </c>
      <c r="J14" s="1065">
        <f ca="1">C29</f>
        <v>2445006</v>
      </c>
      <c r="K14" s="2173"/>
      <c r="L14" s="2174"/>
      <c r="M14" s="2175"/>
    </row>
    <row r="15" s="1984" customFormat="1" ht="18" customHeight="1" spans="1:37">
      <c r="A15" s="2048" t="s">
        <v>971</v>
      </c>
      <c r="B15" s="2017" t="s">
        <v>1150</v>
      </c>
      <c r="C15" s="1065">
        <f ca="1">ROUND(C14*F15,0)</f>
        <v>84121</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ROUND(INDIRECT("'数据-取费表'!l"&amp;$G$1)*F43*F16,0)</f>
        <v>0</v>
      </c>
      <c r="D16" s="2017" t="s">
        <v>1222</v>
      </c>
      <c r="E16" s="2017" t="s">
        <v>1223</v>
      </c>
      <c r="F16" s="2057">
        <f ca="1">IF(INDIRECT("'数据-取费表'!c"&amp;$G$1)="住宅",'数据-取费表'!B34,0)</f>
        <v>0</v>
      </c>
      <c r="G16" s="816"/>
      <c r="H16" s="2043" t="s">
        <v>1224</v>
      </c>
      <c r="I16" s="2044" t="s">
        <v>1225</v>
      </c>
      <c r="J16" s="2045">
        <f ca="1">ROUND(J17+J22+J23+J24,0)</f>
        <v>4890</v>
      </c>
      <c r="K16" s="2069" t="s">
        <v>1226</v>
      </c>
      <c r="L16" s="2070"/>
      <c r="M16" s="2012"/>
    </row>
    <row r="17" s="1984" customFormat="1" ht="18" customHeight="1" spans="1:37">
      <c r="A17" s="2048" t="s">
        <v>1227</v>
      </c>
      <c r="B17" s="2017" t="s">
        <v>1228</v>
      </c>
      <c r="C17" s="1065">
        <f ca="1">ROUND(F17*(F43+INDIRECT("'数据-取费表'!S"&amp;$G$1)),0)</f>
        <v>74774</v>
      </c>
      <c r="D17" s="2017" t="s">
        <v>1229</v>
      </c>
      <c r="E17" s="2017" t="s">
        <v>1230</v>
      </c>
      <c r="F17" s="2058">
        <f>'数据-取费表'!B35</f>
        <v>200</v>
      </c>
      <c r="G17" s="2055"/>
      <c r="H17" s="2048" t="s">
        <v>944</v>
      </c>
      <c r="I17" s="2017" t="s">
        <v>1231</v>
      </c>
      <c r="J17" s="2072">
        <f ca="1">ROUND(IF(AND(项目基本情况!B11="自然人",项目基本情况!B10="北京市"),J6*M17/(1+'数据-取费表'!C42),J18+J19+J20),0)</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33648</v>
      </c>
      <c r="D18" s="2017" t="s">
        <v>1222</v>
      </c>
      <c r="E18" s="2017" t="s">
        <v>1223</v>
      </c>
      <c r="F18" s="2057">
        <f>'数据-取费表'!B36</f>
        <v>0.02</v>
      </c>
      <c r="G18" s="2055"/>
      <c r="H18" s="2048" t="s">
        <v>967</v>
      </c>
      <c r="I18" s="2017" t="s">
        <v>1235</v>
      </c>
      <c r="J18" s="1065">
        <f ca="1">ROUND(J6*M18/(1+'数据-取费表'!C42),0)</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1874958</v>
      </c>
      <c r="D19" s="2059" t="s">
        <v>1238</v>
      </c>
      <c r="E19" s="1067"/>
      <c r="F19" s="2058"/>
      <c r="G19" s="816"/>
      <c r="H19" s="2048" t="s">
        <v>971</v>
      </c>
      <c r="I19" s="2017" t="s">
        <v>1239</v>
      </c>
      <c r="J19" s="1065">
        <f ca="1">IF(K19="按租金收入计税",ROUND(J6*M19/(1+'数据-取费表'!C42),0),ROUND(C29*M19*0.7,0))</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37499</v>
      </c>
      <c r="D20" s="2060" t="s">
        <v>1242</v>
      </c>
      <c r="E20" s="2017" t="s">
        <v>1223</v>
      </c>
      <c r="F20" s="2057">
        <f>'数据-取费表'!B37</f>
        <v>0.02</v>
      </c>
      <c r="G20" s="2055"/>
      <c r="H20" s="2048" t="s">
        <v>974</v>
      </c>
      <c r="I20" s="2016" t="s">
        <v>1243</v>
      </c>
      <c r="J20" s="2078">
        <f ca="1">ROUND(M20*M21,0)</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ROUND(J14*M22,0)</f>
        <v>4890</v>
      </c>
      <c r="K22" s="2073" t="s">
        <v>1252</v>
      </c>
      <c r="L22" s="2017" t="s">
        <v>1223</v>
      </c>
      <c r="M22" s="2085">
        <f ca="1">INDIRECT("'数据-取费表'!Ak"&amp;$G$1)</f>
        <v>0.002</v>
      </c>
    </row>
    <row r="23" s="1984" customFormat="1" ht="18" customHeight="1" spans="1:37">
      <c r="A23" s="2048" t="s">
        <v>967</v>
      </c>
      <c r="B23" s="2017" t="s">
        <v>1253</v>
      </c>
      <c r="C23" s="1065">
        <f ca="1">IF('数据-取费表'!B22&lt;=1,ROUND(C19*F24*F23/2,0)+ROUND(C20*F24*F23/2,0),ROUND(C19*(POWER((1+F24),F23/2)-1),0)+ROUND(C20*(POWER((1+F24),F23/2)-1),0))</f>
        <v>59860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ROUND(J13*M23,0)</f>
        <v>0</v>
      </c>
      <c r="K23" s="2073" t="s">
        <v>1256</v>
      </c>
      <c r="L23" s="2017" t="s">
        <v>1223</v>
      </c>
      <c r="M23" s="2086">
        <f ca="1">INDIRECT("'数据-取费表'!Al"&amp;$G$1)</f>
        <v>0.001</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ROUND(J5*M24,0)</f>
        <v>0</v>
      </c>
      <c r="K24" s="2066" t="s">
        <v>1259</v>
      </c>
      <c r="L24" s="2041" t="s">
        <v>1223</v>
      </c>
      <c r="M24" s="2042">
        <f ca="1">INDIRECT("'数据-取费表'!Am"&amp;$G$1)</f>
        <v>0.005</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18" customHeight="1" spans="1:13">
      <c r="A25" s="2048" t="s">
        <v>1000</v>
      </c>
      <c r="B25" s="2017" t="s">
        <v>1260</v>
      </c>
      <c r="C25" s="1065"/>
      <c r="D25" s="2059" t="s">
        <v>1261</v>
      </c>
      <c r="E25" s="1067"/>
      <c r="F25" s="2058"/>
      <c r="G25" s="816"/>
      <c r="H25" s="2043" t="s">
        <v>1262</v>
      </c>
      <c r="I25" s="2087" t="s">
        <v>1263</v>
      </c>
      <c r="J25" s="2045">
        <f ca="1">J5-J16</f>
        <v>-4890</v>
      </c>
      <c r="K25" s="2088" t="s">
        <v>1264</v>
      </c>
      <c r="L25" s="2089"/>
      <c r="M25" s="2090"/>
    </row>
    <row r="26" ht="18" customHeight="1" spans="1:13">
      <c r="A26" s="2048" t="s">
        <v>967</v>
      </c>
      <c r="B26" s="2017" t="s">
        <v>1265</v>
      </c>
      <c r="C26" s="1065">
        <f ca="1">ROUND((C19+C20)*F26,0)</f>
        <v>286869</v>
      </c>
      <c r="D26" s="2060" t="s">
        <v>1266</v>
      </c>
      <c r="E26" s="2030" t="s">
        <v>1267</v>
      </c>
      <c r="F26" s="2027">
        <f ca="1">INDIRECT("'数据-取费表'!q"&amp;$G$1)</f>
        <v>0.15</v>
      </c>
      <c r="G26" s="816"/>
      <c r="H26" s="2007" t="s">
        <v>1268</v>
      </c>
      <c r="I26" s="2008" t="s">
        <v>1269</v>
      </c>
      <c r="J26" s="2091">
        <f ca="1">IF(J5&lt;&gt;0,ROUND(J25*(1-((1+M28)/(1+M26))^M27)/(M26-M28),0),0)</f>
        <v>0</v>
      </c>
      <c r="K26" s="2079" t="s">
        <v>1270</v>
      </c>
      <c r="L26" s="2017" t="s">
        <v>1271</v>
      </c>
      <c r="M26" s="2027">
        <f ca="1">INDIRECT("'数据-取费表'!I"&amp;$G$1)</f>
        <v>0.055</v>
      </c>
    </row>
    <row r="27" ht="18" customHeight="1" spans="1:13">
      <c r="A27" s="2048" t="s">
        <v>971</v>
      </c>
      <c r="B27" s="2017" t="s">
        <v>1272</v>
      </c>
      <c r="C27" s="1065">
        <f ca="1">ROUND(F21*F26,4)</f>
        <v>0.003</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2445006</v>
      </c>
      <c r="D29" s="2066"/>
      <c r="E29" s="2041"/>
      <c r="F29" s="2067"/>
      <c r="G29" s="2055"/>
      <c r="H29" s="2068" t="s">
        <v>1280</v>
      </c>
      <c r="I29" s="2098" t="s">
        <v>1281</v>
      </c>
      <c r="J29" s="2099">
        <f ca="1">ROUND(J26/(1+F40)^F41,0)</f>
        <v>0</v>
      </c>
      <c r="K29" s="2100" t="s">
        <v>1282</v>
      </c>
      <c r="L29" s="2101"/>
      <c r="M29" s="2102">
        <f ca="1">INDIRECT("'数据-取费表'!k"&amp;$G$1)</f>
        <v>373.87</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36016</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ROUND(IF(AND(项目基本情况!B11="自然人",项目基本情况!B10="北京市"),C6*F31/(1+'数据-取费表'!C42),C32+C33+C34),0)</f>
        <v>27065</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IF(项目基本情况!B11="自然人","——",ROUND(C6*F32/(1+'数据-取费表'!C42),0))</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IF(项目基本情况!B11="自然人","——",IF(D33="按租金收入计税",ROUND(C6*F33/(1+'数据-取费表'!C42),0),IF(D33="按房产原值计税",ROUND(C29*F33*0.7,0),INDIRECT("'数据-取费表'!Aj"&amp;$G$1))))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IF(项目基本情况!B11="自然人","——",ROUND(F34*F35,0))</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ROUND(C29*F36,0)</f>
        <v>4890</v>
      </c>
      <c r="D36" s="2073" t="s">
        <v>1284</v>
      </c>
      <c r="E36" s="2017" t="s">
        <v>1223</v>
      </c>
      <c r="F36" s="2085">
        <f ca="1">INDIRECT("'数据-取费表'!Ak"&amp;$G$1)</f>
        <v>0.002</v>
      </c>
      <c r="G36" s="816"/>
      <c r="H36" s="2077"/>
      <c r="I36" s="2180"/>
      <c r="J36" s="2181"/>
      <c r="K36" s="2188"/>
      <c r="L36" s="2077"/>
      <c r="M36" s="2077"/>
    </row>
    <row r="37" ht="18" customHeight="1" spans="1:13">
      <c r="A37" s="2048" t="s">
        <v>993</v>
      </c>
      <c r="B37" s="2017" t="s">
        <v>1255</v>
      </c>
      <c r="C37" s="1065">
        <f ca="1">ROUND(C13*F37,0)</f>
        <v>2029</v>
      </c>
      <c r="D37" s="2073" t="s">
        <v>1256</v>
      </c>
      <c r="E37" s="2017" t="s">
        <v>1223</v>
      </c>
      <c r="F37" s="2086">
        <f ca="1">INDIRECT("'数据-取费表'!Al"&amp;$G$1)</f>
        <v>0.001</v>
      </c>
      <c r="G37" s="816"/>
      <c r="H37" s="2077"/>
      <c r="I37" s="2180"/>
      <c r="J37" s="2181"/>
      <c r="K37" s="2188"/>
      <c r="L37" s="2077"/>
      <c r="M37" s="2077"/>
    </row>
    <row r="38" ht="18" customHeight="1" spans="1:13">
      <c r="A38" s="2056" t="s">
        <v>996</v>
      </c>
      <c r="B38" s="2041" t="s">
        <v>1241</v>
      </c>
      <c r="C38" s="2065">
        <f ca="1">ROUND(C5*F38,0)</f>
        <v>2032</v>
      </c>
      <c r="D38" s="2066" t="s">
        <v>1259</v>
      </c>
      <c r="E38" s="2041" t="s">
        <v>1223</v>
      </c>
      <c r="F38" s="2042">
        <f ca="1">INDIRECT("'数据-取费表'!Am"&amp;$G$1)</f>
        <v>0.005</v>
      </c>
      <c r="G38" s="816"/>
      <c r="H38" s="2077"/>
      <c r="I38" s="2180"/>
      <c r="J38" s="2181"/>
      <c r="K38" s="2189"/>
      <c r="L38" s="2077"/>
      <c r="M38" s="2077"/>
    </row>
    <row r="39" ht="24.6" customHeight="1" spans="1:13">
      <c r="A39" s="2043" t="s">
        <v>1262</v>
      </c>
      <c r="B39" s="2087" t="s">
        <v>1263</v>
      </c>
      <c r="C39" s="2045">
        <f ca="1">C5-C30</f>
        <v>370467</v>
      </c>
      <c r="D39" s="2088" t="s">
        <v>1264</v>
      </c>
      <c r="E39" s="2089"/>
      <c r="F39" s="2090"/>
      <c r="G39" s="816"/>
      <c r="H39" s="2077"/>
      <c r="I39" s="2180"/>
      <c r="J39" s="2181"/>
      <c r="K39" s="2189"/>
      <c r="L39" s="2077"/>
      <c r="M39" s="2077"/>
    </row>
    <row r="40" ht="18" customHeight="1" spans="1:13">
      <c r="A40" s="2007" t="s">
        <v>1268</v>
      </c>
      <c r="B40" s="2008" t="s">
        <v>1285</v>
      </c>
      <c r="C40" s="2091">
        <f ca="1">ROUND(C39*(1-((1+F42)/(1+F40))^F41)/(F40-F42),0)</f>
        <v>7090498</v>
      </c>
      <c r="D40" s="2079" t="s">
        <v>1270</v>
      </c>
      <c r="E40" s="2017" t="s">
        <v>1271</v>
      </c>
      <c r="F40" s="2027">
        <f ca="1">INDIRECT("'数据-取费表'!I"&amp;$G$1)</f>
        <v>0.055</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37.53</v>
      </c>
      <c r="G41" s="816"/>
      <c r="H41" s="2096"/>
      <c r="I41" s="2180"/>
      <c r="J41" s="2181"/>
      <c r="K41" s="2188"/>
      <c r="L41" s="2096"/>
      <c r="M41" s="2096"/>
    </row>
    <row r="42" ht="18" customHeight="1" spans="1:13">
      <c r="A42" s="2032"/>
      <c r="B42" s="2097"/>
      <c r="C42" s="2045"/>
      <c r="D42" s="2083"/>
      <c r="E42" s="2017" t="s">
        <v>1278</v>
      </c>
      <c r="F42" s="2027">
        <f ca="1">INDIRECT("'数据-取费表'!v"&amp;$G$1)</f>
        <v>0.015</v>
      </c>
      <c r="G42" s="816"/>
      <c r="H42" s="2096"/>
      <c r="I42" s="2180"/>
      <c r="J42" s="2181"/>
      <c r="K42" s="2188"/>
      <c r="L42" s="2096"/>
      <c r="M42" s="2096"/>
    </row>
    <row r="43" ht="18" customHeight="1" spans="1:13">
      <c r="A43" s="2068" t="s">
        <v>1280</v>
      </c>
      <c r="B43" s="2098" t="s">
        <v>1286</v>
      </c>
      <c r="C43" s="2099">
        <f ca="1">ROUND(C40/F43,0)</f>
        <v>18965</v>
      </c>
      <c r="D43" s="2100" t="s">
        <v>1287</v>
      </c>
      <c r="E43" s="2101" t="s">
        <v>1288</v>
      </c>
      <c r="F43" s="2102">
        <f ca="1">INDIRECT("'数据-取费表'!k"&amp;$G$1)</f>
        <v>373.87</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5" t="s">
        <v>1500</v>
      </c>
      <c r="B45" s="2103"/>
      <c r="C45" s="2106">
        <f ca="1">ROUND((C68-C40)/10000,4)</f>
        <v>-719.9432</v>
      </c>
      <c r="D45" s="2107" t="s">
        <v>1501</v>
      </c>
      <c r="E45" s="2103"/>
      <c r="F45" s="2103"/>
      <c r="O45" s="2191" t="s">
        <v>1289</v>
      </c>
      <c r="P45" s="2092"/>
      <c r="Q45" s="2092"/>
      <c r="R45" s="2092"/>
    </row>
    <row r="46" s="816" customFormat="1" ht="13.5" spans="1:18">
      <c r="A46" s="2108" t="s">
        <v>1290</v>
      </c>
      <c r="C46" s="2109">
        <f ca="1">ROUND(C45,0)</f>
        <v>-720</v>
      </c>
      <c r="D46" s="2110" t="str">
        <f>C2</f>
        <v>万元</v>
      </c>
      <c r="I46" s="2192" t="s">
        <v>1291</v>
      </c>
      <c r="J46" s="2193"/>
      <c r="K46" s="2194"/>
      <c r="L46" s="2195">
        <f ca="1">IF(M47="住宅",0,IF(L48&gt;J51,L60,J60))</f>
        <v>64801</v>
      </c>
      <c r="O46" s="2196" t="s">
        <v>1292</v>
      </c>
      <c r="P46" s="2197" t="s">
        <v>1293</v>
      </c>
      <c r="Q46" s="2244" t="s">
        <v>1294</v>
      </c>
      <c r="R46" s="2244" t="s">
        <v>1295</v>
      </c>
    </row>
    <row r="47" s="816" customFormat="1" ht="13.5" spans="1:18">
      <c r="A47" s="2111" t="s">
        <v>1196</v>
      </c>
      <c r="B47" s="2112" t="s">
        <v>1197</v>
      </c>
      <c r="C47" s="2112" t="s">
        <v>1198</v>
      </c>
      <c r="D47" s="2112" t="s">
        <v>1199</v>
      </c>
      <c r="E47" s="2113" t="s">
        <v>1200</v>
      </c>
      <c r="F47" s="1058"/>
      <c r="G47" s="2114"/>
      <c r="I47" s="2198" t="s">
        <v>1296</v>
      </c>
      <c r="J47" s="2199" t="s">
        <v>1481</v>
      </c>
      <c r="K47" s="2200" t="s">
        <v>1297</v>
      </c>
      <c r="L47" s="2201">
        <f ca="1">INDIRECT("'数据-取费表'!d"&amp;$G$1)</f>
        <v>50</v>
      </c>
      <c r="M47" s="2202" t="str">
        <f>IF(ISNUMBER(FIND("住宅",C1)),"住宅","非住宅")</f>
        <v>非住宅</v>
      </c>
      <c r="O47" s="2203" t="s">
        <v>1049</v>
      </c>
      <c r="P47" s="2204" t="s">
        <v>1298</v>
      </c>
      <c r="Q47" s="2245">
        <f ca="1">C40+J29</f>
        <v>7090498</v>
      </c>
      <c r="R47" s="2245" t="s">
        <v>1299</v>
      </c>
    </row>
    <row r="48" s="816" customFormat="1" ht="26.25" spans="1:18">
      <c r="A48" s="2115" t="s">
        <v>1300</v>
      </c>
      <c r="B48" s="2008" t="s">
        <v>1201</v>
      </c>
      <c r="C48" s="1066">
        <f ca="1">C49+C53+C55</f>
        <v>0</v>
      </c>
      <c r="D48" s="2116"/>
      <c r="E48" s="2117"/>
      <c r="F48" s="2118"/>
      <c r="G48" s="2114"/>
      <c r="H48" s="2119"/>
      <c r="I48" s="2205" t="s">
        <v>1301</v>
      </c>
      <c r="J48" s="2206" t="s">
        <v>1502</v>
      </c>
      <c r="K48" s="2207" t="s">
        <v>1302</v>
      </c>
      <c r="L48" s="2208">
        <f ca="1">INDIRECT("'数据-取费表'!f"&amp;$G$1)</f>
        <v>37.53</v>
      </c>
      <c r="O48" s="2203" t="s">
        <v>1052</v>
      </c>
      <c r="P48" s="2204" t="s">
        <v>1303</v>
      </c>
      <c r="Q48" s="2245">
        <f ca="1">J60</f>
        <v>64801</v>
      </c>
      <c r="R48" s="2245" t="s">
        <v>1304</v>
      </c>
    </row>
    <row r="49" s="816" customFormat="1" ht="13.5" spans="1:18">
      <c r="A49" s="2120" t="s">
        <v>1305</v>
      </c>
      <c r="B49" s="2121" t="s">
        <v>1306</v>
      </c>
      <c r="C49" s="2122">
        <f ca="1">ROUND(F49*F51*F50*(1-F52),0)</f>
        <v>0</v>
      </c>
      <c r="D49" s="2123" t="s">
        <v>1503</v>
      </c>
      <c r="E49" s="2124" t="s">
        <v>1307</v>
      </c>
      <c r="F49" s="2125"/>
      <c r="G49" s="2126"/>
      <c r="H49" s="2119"/>
      <c r="I49" s="2205" t="s">
        <v>1308</v>
      </c>
      <c r="J49" s="2209">
        <f>'数据-取费表'!N18</f>
        <v>2015</v>
      </c>
      <c r="K49" s="2207" t="s">
        <v>1309</v>
      </c>
      <c r="L49" s="2210"/>
      <c r="O49" s="2211" t="s">
        <v>1310</v>
      </c>
      <c r="P49" s="2204" t="s">
        <v>1311</v>
      </c>
      <c r="Q49" s="2245">
        <f ca="1">C29</f>
        <v>2445006</v>
      </c>
      <c r="R49" s="2245" t="s">
        <v>1299</v>
      </c>
    </row>
    <row r="50" s="816" customFormat="1" ht="13.5" spans="1:18">
      <c r="A50" s="2127"/>
      <c r="B50" s="2128"/>
      <c r="C50" s="2129"/>
      <c r="D50" s="2130"/>
      <c r="E50" s="2131" t="s">
        <v>1207</v>
      </c>
      <c r="F50" s="2132">
        <f ca="1">F7</f>
        <v>373.87</v>
      </c>
      <c r="H50" s="2119"/>
      <c r="I50" s="2205" t="s">
        <v>1312</v>
      </c>
      <c r="J50" s="2212">
        <f>SUMPRODUCT((I63:I65=J47)*(J62:L62=J48)*(J63:L65))</f>
        <v>60</v>
      </c>
      <c r="K50" s="2207" t="s">
        <v>1313</v>
      </c>
      <c r="L50" s="2210"/>
      <c r="M50" s="2213"/>
      <c r="O50" s="2211" t="s">
        <v>1314</v>
      </c>
      <c r="P50" s="2204" t="s">
        <v>1315</v>
      </c>
      <c r="Q50" s="2246">
        <f ca="1">J58</f>
        <v>0.4</v>
      </c>
      <c r="R50" s="2245"/>
    </row>
    <row r="51" s="816" customFormat="1" ht="13.5" spans="1:18">
      <c r="A51" s="2133"/>
      <c r="B51" s="2128"/>
      <c r="C51" s="2129"/>
      <c r="D51" s="2130"/>
      <c r="E51" s="2134" t="s">
        <v>1208</v>
      </c>
      <c r="F51" s="2018">
        <f ca="1">F8</f>
        <v>365</v>
      </c>
      <c r="I51" s="2214" t="s">
        <v>1316</v>
      </c>
      <c r="J51" s="2215">
        <f>IF(J49="",J50,J49+J50-YEAR('数据-取费表'!B2))</f>
        <v>50</v>
      </c>
      <c r="K51" s="2216" t="s">
        <v>1317</v>
      </c>
      <c r="L51" s="2217">
        <f ca="1">ROUND(-PV(INDIRECT("'数据-取费表'!h"&amp;$G$1),J51,(C39-C13*C76),0),0)</f>
        <v>4169875</v>
      </c>
      <c r="M51" s="2218"/>
      <c r="O51" s="2211" t="s">
        <v>1318</v>
      </c>
      <c r="P51" s="2204" t="s">
        <v>1319</v>
      </c>
      <c r="Q51" s="2246">
        <f>J52</f>
        <v>0.075</v>
      </c>
      <c r="R51" s="2245"/>
    </row>
    <row r="52" s="816" customFormat="1" ht="13.5" spans="1:18">
      <c r="A52" s="2133"/>
      <c r="B52" s="2128"/>
      <c r="C52" s="2129"/>
      <c r="D52" s="2130"/>
      <c r="E52" s="2134" t="s">
        <v>1209</v>
      </c>
      <c r="F52" s="2135"/>
      <c r="I52" s="2219" t="s">
        <v>1320</v>
      </c>
      <c r="J52" s="2220">
        <f>'数据-取费表'!J6+0.005</f>
        <v>0.075</v>
      </c>
      <c r="K52" s="2219" t="s">
        <v>1321</v>
      </c>
      <c r="L52" s="2220"/>
      <c r="O52" s="2211" t="s">
        <v>1322</v>
      </c>
      <c r="P52" s="2204" t="s">
        <v>1323</v>
      </c>
      <c r="Q52" s="2245">
        <f ca="1">J53</f>
        <v>37.53</v>
      </c>
      <c r="R52" s="2245" t="s">
        <v>1324</v>
      </c>
    </row>
    <row r="53" s="816" customFormat="1" ht="30.75" customHeight="1" spans="1:18">
      <c r="A53" s="2136" t="s">
        <v>1325</v>
      </c>
      <c r="B53" s="2060" t="s">
        <v>1210</v>
      </c>
      <c r="C53" s="1064">
        <f ca="1">ROUND(IF(F53="押一",C49/12*F11,IF(F53="押二",C49/12*2*F11,IF(F53="押三",C49/12*3*F11,C54*F11))),0)</f>
        <v>0</v>
      </c>
      <c r="D53" s="2029" t="s">
        <v>1504</v>
      </c>
      <c r="E53" s="2030" t="s">
        <v>1212</v>
      </c>
      <c r="F53" s="2031"/>
      <c r="I53" s="2221" t="s">
        <v>1326</v>
      </c>
      <c r="J53" s="2222">
        <f ca="1">IF(M47="住宅",IF(D1="——",MAX(J51,L48),MAX(J51,L48-'数据-取费表'!B24)),IF(D1="——",MIN(J51,L48),MIN(J51,L48-'数据-取费表'!B24)))</f>
        <v>37.53</v>
      </c>
      <c r="K53" s="2223" t="s">
        <v>1327</v>
      </c>
      <c r="L53" s="2224"/>
      <c r="O53" s="2203" t="s">
        <v>1152</v>
      </c>
      <c r="P53" s="2204" t="s">
        <v>1328</v>
      </c>
      <c r="Q53" s="2245">
        <f ca="1">Q47+Q48</f>
        <v>7155299</v>
      </c>
      <c r="R53" s="2245" t="s">
        <v>1329</v>
      </c>
    </row>
    <row r="54" s="816" customFormat="1" ht="13.5" spans="1:18">
      <c r="A54" s="2120"/>
      <c r="B54" s="2137" t="s">
        <v>1499</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f ca="1">ROUND(IF(J47="钢混",J57/J50,1-(1-2%)*(J50-J57)/J50),3)</f>
        <v>0.208</v>
      </c>
      <c r="K55" s="2230" t="s">
        <v>1332</v>
      </c>
      <c r="L55" s="2231"/>
      <c r="O55" s="2196" t="s">
        <v>1292</v>
      </c>
      <c r="P55" s="2197" t="s">
        <v>1293</v>
      </c>
      <c r="Q55" s="2244" t="s">
        <v>1294</v>
      </c>
      <c r="R55" s="2244" t="s">
        <v>1295</v>
      </c>
    </row>
    <row r="56" s="816" customFormat="1" ht="36" customHeight="1" spans="1:18">
      <c r="A56" s="2140">
        <v>2</v>
      </c>
      <c r="B56" s="2141" t="s">
        <v>1216</v>
      </c>
      <c r="C56" s="438">
        <f ca="1">C13</f>
        <v>2029355</v>
      </c>
      <c r="D56" s="2142"/>
      <c r="E56" s="2143"/>
      <c r="F56" s="2139"/>
      <c r="I56" s="2232" t="s">
        <v>1333</v>
      </c>
      <c r="J56" s="2233" t="s">
        <v>1505</v>
      </c>
      <c r="K56" s="2205" t="s">
        <v>1334</v>
      </c>
      <c r="L56" s="2208" t="str">
        <f ca="1">IF(L48&lt;J51,"——",L48-J51)</f>
        <v>——</v>
      </c>
      <c r="O56" s="2203" t="s">
        <v>1049</v>
      </c>
      <c r="P56" s="2204" t="s">
        <v>1298</v>
      </c>
      <c r="Q56" s="2245">
        <f ca="1">C40+J29</f>
        <v>7090498</v>
      </c>
      <c r="R56" s="2245" t="s">
        <v>1299</v>
      </c>
    </row>
    <row r="57" s="816" customFormat="1" ht="24.75" spans="1:18">
      <c r="A57" s="2144"/>
      <c r="B57" s="2145" t="s">
        <v>1279</v>
      </c>
      <c r="C57" s="448">
        <f ca="1">C29</f>
        <v>2445006</v>
      </c>
      <c r="D57" s="2146"/>
      <c r="E57" s="2147"/>
      <c r="F57" s="2148"/>
      <c r="I57" s="2234" t="s">
        <v>1335</v>
      </c>
      <c r="J57" s="2235">
        <f ca="1">IF(OR(M47="住宅",J51&lt;L48,J56="是"),"——",J51-L48)</f>
        <v>12.47</v>
      </c>
      <c r="K57" s="2205" t="s">
        <v>1506</v>
      </c>
      <c r="L57" s="2208" t="str">
        <f ca="1">IF(L48&lt;J51,"——",IF(L55="比较法",L49,IF(L55="基准地价",L50,L51)))</f>
        <v>——</v>
      </c>
      <c r="O57" s="2203" t="s">
        <v>1052</v>
      </c>
      <c r="P57" s="2204" t="s">
        <v>1337</v>
      </c>
      <c r="Q57" s="2245">
        <f ca="1">L60</f>
        <v>0</v>
      </c>
      <c r="R57" s="2245" t="s">
        <v>1338</v>
      </c>
    </row>
    <row r="58" s="816" customFormat="1" ht="24.75" spans="1:18">
      <c r="A58" s="2149" t="s">
        <v>1224</v>
      </c>
      <c r="B58" s="2141" t="s">
        <v>1225</v>
      </c>
      <c r="C58" s="1064">
        <f ca="1">ROUND(C59+C64+C65+C66,0)</f>
        <v>6919</v>
      </c>
      <c r="D58" s="2150" t="s">
        <v>1226</v>
      </c>
      <c r="E58" s="2151"/>
      <c r="F58" s="2118"/>
      <c r="I58" s="2234" t="s">
        <v>1339</v>
      </c>
      <c r="J58" s="2236">
        <f ca="1">IF(J55&lt;0.4,0.4,J55)</f>
        <v>0.4</v>
      </c>
      <c r="K58" s="2216" t="s">
        <v>1507</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f ca="1">IF(OR(M47="住宅",J51&lt;L48,J56="是"),"——",ROUND(C29*J58,0))</f>
        <v>978002</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IF(项目基本情况!B11="自然人","——",ROUND(C48*F60/(1+'数据-取费表'!C42),0))</f>
        <v>——</v>
      </c>
      <c r="D60" s="2153" t="s">
        <v>1236</v>
      </c>
      <c r="E60" s="2145" t="s">
        <v>1223</v>
      </c>
      <c r="F60" s="2064">
        <f t="shared" ref="F60:F66" si="0">F32</f>
        <v>0.055</v>
      </c>
      <c r="I60" s="2237" t="s">
        <v>1344</v>
      </c>
      <c r="J60" s="2238">
        <f ca="1">IF(OR(M47="住宅",J51&lt;L48,J56="是"),"0",ROUND(J59/(1+J52)^J53,0))</f>
        <v>64801</v>
      </c>
      <c r="K60" s="2239" t="s">
        <v>1345</v>
      </c>
      <c r="L60" s="2238">
        <f ca="1">IF(OR(M47="住宅",L48&lt;J51),0,ROUND(L57*(L58/L59-1),0))</f>
        <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IF(项目基本情况!B11="自然人","——",IF(D61="按租金收入计税",ROUND(C49*F61/(1+'数据-取费表'!C42),0),IF(D61="按房产原值计税",ROUND(C57*F61*0.7,0),INDIRECT("'数据-取费表'!Aj"&amp;$G$1))))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IF(项目基本情况!B11="自然人","——",ROUND(F62*F63,0))</f>
        <v>——</v>
      </c>
      <c r="D62" s="2155" t="s">
        <v>1244</v>
      </c>
      <c r="E62" s="2145" t="s">
        <v>1245</v>
      </c>
      <c r="F62" s="2063">
        <f t="shared" si="0"/>
        <v>0</v>
      </c>
      <c r="I62" s="2240" t="s">
        <v>1349</v>
      </c>
      <c r="J62" s="2241" t="s">
        <v>1350</v>
      </c>
      <c r="K62" s="2241" t="s">
        <v>1351</v>
      </c>
      <c r="L62" s="2241" t="s">
        <v>1352</v>
      </c>
      <c r="M62" s="2242" t="s">
        <v>1353</v>
      </c>
      <c r="O62" s="2203" t="s">
        <v>1152</v>
      </c>
      <c r="P62" s="2204" t="s">
        <v>1328</v>
      </c>
      <c r="Q62" s="2245">
        <f ca="1">Q56+Q57</f>
        <v>7090498</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ROUND(C57*F64,0)</f>
        <v>4890</v>
      </c>
      <c r="D64" s="2153" t="s">
        <v>1284</v>
      </c>
      <c r="E64" s="2145" t="s">
        <v>1223</v>
      </c>
      <c r="F64" s="2085">
        <f ca="1" t="shared" si="0"/>
        <v>0.002</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ROUND(C56*F65,0)</f>
        <v>2029</v>
      </c>
      <c r="D65" s="2153" t="s">
        <v>1256</v>
      </c>
      <c r="E65" s="2145" t="s">
        <v>1223</v>
      </c>
      <c r="F65" s="2086">
        <f ca="1" t="shared" si="0"/>
        <v>0.001</v>
      </c>
      <c r="I65" s="2240" t="s">
        <v>1357</v>
      </c>
      <c r="J65" s="2241">
        <v>40</v>
      </c>
      <c r="K65" s="2241">
        <v>30</v>
      </c>
      <c r="L65" s="2241">
        <v>50</v>
      </c>
      <c r="M65" s="2243">
        <v>0.02</v>
      </c>
      <c r="O65" s="2203" t="s">
        <v>1049</v>
      </c>
      <c r="P65" s="2204" t="s">
        <v>1298</v>
      </c>
      <c r="Q65" s="2245">
        <f ca="1">C40+J29</f>
        <v>7090498</v>
      </c>
      <c r="R65" s="2245" t="s">
        <v>1299</v>
      </c>
    </row>
    <row r="66" s="816" customFormat="1" ht="17.25" spans="1:18">
      <c r="A66" s="2048" t="s">
        <v>996</v>
      </c>
      <c r="B66" s="2145" t="s">
        <v>1241</v>
      </c>
      <c r="C66" s="1065">
        <f ca="1">ROUND(C48*F66,0)</f>
        <v>0</v>
      </c>
      <c r="D66" s="2153" t="s">
        <v>1259</v>
      </c>
      <c r="E66" s="2145" t="s">
        <v>1223</v>
      </c>
      <c r="F66" s="2027">
        <f ca="1" t="shared" si="0"/>
        <v>0.005</v>
      </c>
      <c r="O66" s="2203" t="s">
        <v>1052</v>
      </c>
      <c r="P66" s="2204" t="s">
        <v>1337</v>
      </c>
      <c r="Q66" s="2245">
        <f ca="1">L60</f>
        <v>0</v>
      </c>
      <c r="R66" s="2245" t="s">
        <v>1338</v>
      </c>
    </row>
    <row r="67" s="816" customFormat="1" ht="17.25" spans="1:18">
      <c r="A67" s="2140" t="s">
        <v>1262</v>
      </c>
      <c r="B67" s="2247" t="s">
        <v>1263</v>
      </c>
      <c r="C67" s="1064">
        <f ca="1">C48-C58</f>
        <v>-6919</v>
      </c>
      <c r="D67" s="2152" t="s">
        <v>1264</v>
      </c>
      <c r="E67" s="2248"/>
      <c r="F67" s="2249"/>
      <c r="O67" s="2211" t="s">
        <v>1310</v>
      </c>
      <c r="P67" s="2204" t="s">
        <v>1341</v>
      </c>
      <c r="Q67" s="2269">
        <f ca="1">L51</f>
        <v>4169875</v>
      </c>
      <c r="R67" s="2245" t="s">
        <v>1358</v>
      </c>
    </row>
    <row r="68" s="816" customFormat="1" ht="17.25" spans="1:18">
      <c r="A68" s="2250" t="s">
        <v>1268</v>
      </c>
      <c r="B68" s="2251" t="s">
        <v>1285</v>
      </c>
      <c r="C68" s="2091">
        <f ca="1">ROUND(C67*(1-((1+F70)/(1+F68))^F69)/(F68-F70),0)</f>
        <v>-108934</v>
      </c>
      <c r="D68" s="2155" t="s">
        <v>1270</v>
      </c>
      <c r="E68" s="2145" t="s">
        <v>1271</v>
      </c>
      <c r="F68" s="2027">
        <f ca="1">F40</f>
        <v>0.055</v>
      </c>
      <c r="O68" s="2211" t="s">
        <v>1314</v>
      </c>
      <c r="P68" s="2268" t="s">
        <v>1359</v>
      </c>
      <c r="Q68" s="2245">
        <f ca="1">ROUND(Q69-Q70*Q71,0)</f>
        <v>228412</v>
      </c>
      <c r="R68" s="2245" t="s">
        <v>1360</v>
      </c>
    </row>
    <row r="69" s="816" customFormat="1" ht="13.5" spans="1:18">
      <c r="A69" s="2252"/>
      <c r="B69" s="2253"/>
      <c r="C69" s="2025"/>
      <c r="D69" s="2254" t="s">
        <v>1274</v>
      </c>
      <c r="E69" s="2145" t="s">
        <v>1275</v>
      </c>
      <c r="F69" s="2095">
        <f ca="1">F41</f>
        <v>37.53</v>
      </c>
      <c r="O69" s="2211" t="s">
        <v>1361</v>
      </c>
      <c r="P69" s="2268" t="s">
        <v>1362</v>
      </c>
      <c r="Q69" s="2245">
        <f ca="1">C39</f>
        <v>370467</v>
      </c>
      <c r="R69" s="2245" t="s">
        <v>1299</v>
      </c>
    </row>
    <row r="70" s="816" customFormat="1" ht="13.5" spans="1:18">
      <c r="A70" s="2255"/>
      <c r="B70" s="2256"/>
      <c r="C70" s="2045"/>
      <c r="D70" s="2157"/>
      <c r="E70" s="2145" t="s">
        <v>1278</v>
      </c>
      <c r="F70" s="2135"/>
      <c r="O70" s="2211" t="s">
        <v>1363</v>
      </c>
      <c r="P70" s="2268" t="s">
        <v>1364</v>
      </c>
      <c r="Q70" s="2245">
        <f ca="1">C13</f>
        <v>2029355</v>
      </c>
      <c r="R70" s="2245" t="s">
        <v>1299</v>
      </c>
    </row>
    <row r="71" s="816" customFormat="1" ht="13.5" spans="1:18">
      <c r="A71" s="2257" t="s">
        <v>1280</v>
      </c>
      <c r="B71" s="2258" t="s">
        <v>1286</v>
      </c>
      <c r="C71" s="2099">
        <f ca="1">ROUND(C68/F71,0)</f>
        <v>-291</v>
      </c>
      <c r="D71" s="2259" t="s">
        <v>1287</v>
      </c>
      <c r="E71" s="2260" t="s">
        <v>1288</v>
      </c>
      <c r="F71" s="2102">
        <f ca="1">F43</f>
        <v>373.87</v>
      </c>
      <c r="O71" s="2211" t="s">
        <v>1365</v>
      </c>
      <c r="P71" s="2268" t="s">
        <v>1366</v>
      </c>
      <c r="Q71" s="2246">
        <f ca="1">C76</f>
        <v>0.07</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142055</v>
      </c>
      <c r="D75" s="816"/>
      <c r="E75" s="816"/>
      <c r="F75" s="816"/>
      <c r="K75" s="2190"/>
      <c r="L75" s="816"/>
      <c r="O75" s="2203" t="s">
        <v>1152</v>
      </c>
      <c r="P75" s="2204" t="s">
        <v>1328</v>
      </c>
      <c r="Q75" s="2245">
        <f ca="1">Q65+Q66</f>
        <v>7090498</v>
      </c>
      <c r="R75" s="2245" t="s">
        <v>1329</v>
      </c>
    </row>
    <row r="76" spans="2:12">
      <c r="B76" s="592" t="s">
        <v>1370</v>
      </c>
      <c r="C76" s="2264">
        <f ca="1">INDIRECT("'数据-取费表'!j"&amp;$G$1)</f>
        <v>0.07</v>
      </c>
      <c r="I76" s="816"/>
      <c r="J76" s="816"/>
      <c r="K76" s="2190"/>
      <c r="L76" s="816"/>
    </row>
    <row r="77" spans="2:12">
      <c r="B77" s="2265" t="s">
        <v>1371</v>
      </c>
      <c r="C77" s="2266"/>
      <c r="I77" s="816"/>
      <c r="J77" s="816"/>
      <c r="K77" s="2190"/>
      <c r="L77" s="816"/>
    </row>
    <row r="78" spans="2:3">
      <c r="B78" s="481" t="s">
        <v>1372</v>
      </c>
      <c r="C78" s="2267"/>
    </row>
    <row r="79" spans="2:3">
      <c r="B79" s="2262" t="s">
        <v>1373</v>
      </c>
      <c r="C79" s="484">
        <f ca="1">1-C80</f>
        <v>0.617</v>
      </c>
    </row>
    <row r="80" spans="2:3">
      <c r="B80" s="2262" t="s">
        <v>1374</v>
      </c>
      <c r="C80" s="484">
        <f ca="1">ROUND(C75/C39,3)</f>
        <v>0.383</v>
      </c>
    </row>
    <row r="81" spans="2:3">
      <c r="B81" s="481" t="s">
        <v>1375</v>
      </c>
      <c r="C81" s="448"/>
    </row>
    <row r="82" spans="2:3">
      <c r="B82" s="483" t="s">
        <v>1128</v>
      </c>
      <c r="C82" s="485">
        <f ca="1">1-C83</f>
        <v>0.714</v>
      </c>
    </row>
    <row r="83" spans="2:3">
      <c r="B83" s="483" t="s">
        <v>1129</v>
      </c>
      <c r="C83" s="484">
        <f ca="1">ROUND(C13/C40,3)</f>
        <v>0.286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8"/>
  <sheetViews>
    <sheetView workbookViewId="0">
      <selection activeCell="N9" sqref="N9"/>
    </sheetView>
  </sheetViews>
  <sheetFormatPr defaultColWidth="9" defaultRowHeight="14.25" outlineLevelRow="7" outlineLevelCol="4"/>
  <cols>
    <col min="1" max="2" width="9" style="1982"/>
    <col min="3" max="3" width="5.875" style="1982" customWidth="1"/>
    <col min="4" max="4" width="6.625" style="1982" customWidth="1"/>
    <col min="5" max="5" width="6.25" style="1982" customWidth="1"/>
    <col min="6" max="16384" width="9" style="1982"/>
  </cols>
  <sheetData>
    <row r="3" spans="4:4">
      <c r="D3" s="1982">
        <v>373.87</v>
      </c>
    </row>
    <row r="5" spans="3:5">
      <c r="C5" s="3730" t="s">
        <v>1508</v>
      </c>
      <c r="D5" s="1982">
        <f>ROUND(D3/4,2)</f>
        <v>93.47</v>
      </c>
      <c r="E5" s="1982">
        <v>0.5</v>
      </c>
    </row>
    <row r="6" spans="3:5">
      <c r="C6" s="1982">
        <v>1</v>
      </c>
      <c r="D6" s="1982">
        <f>D5</f>
        <v>93.47</v>
      </c>
      <c r="E6" s="1982">
        <v>1</v>
      </c>
    </row>
    <row r="7" spans="3:5">
      <c r="C7" s="1982">
        <v>2</v>
      </c>
      <c r="D7" s="1982">
        <f>D5</f>
        <v>93.47</v>
      </c>
      <c r="E7" s="1982">
        <v>0.7</v>
      </c>
    </row>
    <row r="8" spans="3:5">
      <c r="C8" s="1982">
        <v>3</v>
      </c>
      <c r="D8" s="1982">
        <f>D3-D5-D6-D7</f>
        <v>93.46</v>
      </c>
      <c r="E8" s="1982">
        <v>0.6</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60"/>
  <sheetViews>
    <sheetView topLeftCell="A46" workbookViewId="0">
      <selection activeCell="L109" sqref="L109"/>
    </sheetView>
  </sheetViews>
  <sheetFormatPr defaultColWidth="9" defaultRowHeight="13.5"/>
  <cols>
    <col min="19" max="19" width="12.625"/>
  </cols>
  <sheetData>
    <row r="60" spans="19:19">
      <c r="S60">
        <f>50000*12/365/443.19</f>
        <v>3.70909906910886</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ht="21" customHeight="1" spans="1:21">
      <c r="A1" s="1798" t="s">
        <v>1509</v>
      </c>
      <c r="B1" s="1799"/>
      <c r="C1" s="1800"/>
      <c r="D1" s="1800"/>
      <c r="E1" s="1801"/>
      <c r="F1" s="1802"/>
      <c r="G1" s="1803"/>
      <c r="J1" s="1910" t="s">
        <v>1510</v>
      </c>
      <c r="K1" s="1911"/>
      <c r="L1" s="1911"/>
      <c r="M1" s="1911"/>
      <c r="N1" s="1911"/>
      <c r="O1" s="1911"/>
      <c r="P1" s="1911"/>
      <c r="Q1" s="1911"/>
      <c r="R1" s="1959"/>
      <c r="S1" s="1960"/>
      <c r="T1" s="1960"/>
      <c r="U1" s="1960"/>
    </row>
    <row r="2" s="1791" customFormat="1" customHeight="1" spans="1:22">
      <c r="A2" s="1804" t="s">
        <v>1191</v>
      </c>
      <c r="B2" s="1805" t="e">
        <f>IF(D2="——",C40,C40+E2)</f>
        <v>#DIV/0!</v>
      </c>
      <c r="C2" s="1800" t="s">
        <v>1192</v>
      </c>
      <c r="D2" s="1806" t="s">
        <v>1511</v>
      </c>
      <c r="E2" s="1807"/>
      <c r="F2" s="1808"/>
      <c r="G2" s="1809"/>
      <c r="H2" s="1810"/>
      <c r="I2" s="1912"/>
      <c r="J2" s="1913" t="s">
        <v>1512</v>
      </c>
      <c r="K2" s="1914"/>
      <c r="L2" s="1915" t="s">
        <v>1513</v>
      </c>
      <c r="M2" s="1915" t="s">
        <v>1514</v>
      </c>
      <c r="N2" s="1915" t="s">
        <v>1515</v>
      </c>
      <c r="O2" s="1915" t="s">
        <v>1516</v>
      </c>
      <c r="P2" s="1915" t="s">
        <v>1517</v>
      </c>
      <c r="Q2" s="1961" t="s">
        <v>1518</v>
      </c>
      <c r="R2" s="1962" t="s">
        <v>1519</v>
      </c>
      <c r="S2" s="1960"/>
      <c r="T2" s="1960"/>
      <c r="U2" s="1960"/>
      <c r="V2" s="1912"/>
    </row>
    <row r="3" s="1791" customFormat="1" customHeight="1" spans="1:22">
      <c r="A3" s="1811" t="s">
        <v>1193</v>
      </c>
      <c r="B3" s="1812" t="e">
        <f>ROUND(B2*10000/B4,0)</f>
        <v>#DIV/0!</v>
      </c>
      <c r="C3" s="1800" t="s">
        <v>1194</v>
      </c>
      <c r="D3" s="1800"/>
      <c r="E3" s="1813"/>
      <c r="F3" s="1808"/>
      <c r="G3" s="1809"/>
      <c r="H3" s="1810"/>
      <c r="I3" s="1912"/>
      <c r="J3" s="1916" t="s">
        <v>1520</v>
      </c>
      <c r="K3" s="1917"/>
      <c r="L3" s="1918"/>
      <c r="M3" s="1918"/>
      <c r="N3" s="1918"/>
      <c r="O3" s="1918"/>
      <c r="P3" s="1918"/>
      <c r="Q3" s="1963"/>
      <c r="R3" s="1964">
        <f>SUM(L3:Q3)</f>
        <v>0</v>
      </c>
      <c r="S3" s="1960"/>
      <c r="T3" s="1960"/>
      <c r="U3" s="1960"/>
      <c r="V3" s="1912"/>
    </row>
    <row r="4" s="1791" customFormat="1" customHeight="1" spans="1:22">
      <c r="A4" s="1814" t="s">
        <v>1521</v>
      </c>
      <c r="B4" s="1815"/>
      <c r="C4" s="1800"/>
      <c r="D4" s="1800"/>
      <c r="E4" s="1813"/>
      <c r="F4" s="1808"/>
      <c r="G4" s="1809"/>
      <c r="H4" s="1810"/>
      <c r="I4" s="1912"/>
      <c r="J4" s="1916" t="s">
        <v>1522</v>
      </c>
      <c r="K4" s="1917"/>
      <c r="L4" s="1919"/>
      <c r="M4" s="1919"/>
      <c r="N4" s="1919"/>
      <c r="O4" s="1919"/>
      <c r="P4" s="1919"/>
      <c r="Q4" s="1965"/>
      <c r="R4" s="1966">
        <f>SUM(L4:Q4)</f>
        <v>0</v>
      </c>
      <c r="S4" s="1960"/>
      <c r="T4" s="1960"/>
      <c r="U4" s="1960"/>
      <c r="V4" s="1912"/>
    </row>
    <row r="5" s="1791" customFormat="1" customHeight="1" spans="1:22">
      <c r="A5" s="1816" t="s">
        <v>1523</v>
      </c>
      <c r="B5" s="1817"/>
      <c r="C5" s="1800"/>
      <c r="D5" s="1818"/>
      <c r="E5" s="1808"/>
      <c r="F5" s="1808"/>
      <c r="G5" s="1809"/>
      <c r="H5" s="1810"/>
      <c r="I5" s="1912"/>
      <c r="J5" s="1920" t="s">
        <v>1524</v>
      </c>
      <c r="K5" s="1921"/>
      <c r="L5" s="1921"/>
      <c r="M5" s="1922"/>
      <c r="N5" s="1922"/>
      <c r="O5" s="1922"/>
      <c r="P5" s="1922"/>
      <c r="Q5" s="1922"/>
      <c r="R5" s="1962">
        <f>SUM(R14,R19,R24,R25,R27,R28)</f>
        <v>0</v>
      </c>
      <c r="S5" s="1960"/>
      <c r="T5" s="1960" t="s">
        <v>1525</v>
      </c>
      <c r="U5" s="1960" t="e">
        <f>ROUND(R5*10000/365/R3,1)</f>
        <v>#DIV/0!</v>
      </c>
      <c r="V5" s="1912"/>
    </row>
    <row r="6" s="1791" customFormat="1" customHeight="1" spans="1:22">
      <c r="A6" s="1819" t="s">
        <v>1526</v>
      </c>
      <c r="B6" s="1820"/>
      <c r="C6" s="1821"/>
      <c r="D6" s="1822"/>
      <c r="E6" s="1823"/>
      <c r="F6" s="1824"/>
      <c r="G6" s="1825"/>
      <c r="H6" s="1810"/>
      <c r="I6" s="1912"/>
      <c r="J6" s="1923">
        <v>1</v>
      </c>
      <c r="K6" s="1924" t="s">
        <v>1527</v>
      </c>
      <c r="L6" s="1925" t="s">
        <v>1528</v>
      </c>
      <c r="M6" s="1926" t="s">
        <v>1529</v>
      </c>
      <c r="N6" s="1926" t="s">
        <v>1530</v>
      </c>
      <c r="O6" s="1926" t="s">
        <v>1531</v>
      </c>
      <c r="P6" s="1926" t="s">
        <v>1532</v>
      </c>
      <c r="Q6" s="1926" t="s">
        <v>1533</v>
      </c>
      <c r="R6" s="1964" t="s">
        <v>1534</v>
      </c>
      <c r="S6" s="1960"/>
      <c r="T6" s="1960" t="s">
        <v>1535</v>
      </c>
      <c r="U6" s="1960"/>
      <c r="V6" s="1912"/>
    </row>
    <row r="7" s="1791" customFormat="1" customHeight="1" spans="1:22">
      <c r="A7" s="1826" t="s">
        <v>1536</v>
      </c>
      <c r="B7" s="1827"/>
      <c r="C7" s="1828"/>
      <c r="D7" s="1829">
        <f>SUM(D9,D10,D11,D17,0)</f>
        <v>0</v>
      </c>
      <c r="E7" s="1830" t="e">
        <f>E9+E10+E11+E17</f>
        <v>#DIV/0!</v>
      </c>
      <c r="F7" s="1831"/>
      <c r="G7" s="1832"/>
      <c r="H7" s="1810"/>
      <c r="I7" s="1912"/>
      <c r="J7" s="1923"/>
      <c r="K7" s="1927"/>
      <c r="L7" s="1928" t="s">
        <v>1537</v>
      </c>
      <c r="M7" s="1929"/>
      <c r="N7" s="1815"/>
      <c r="O7" s="1930"/>
      <c r="P7" s="1930"/>
      <c r="Q7" s="1851">
        <v>365</v>
      </c>
      <c r="R7" s="1967">
        <f>ROUND(M7*N7*O7*P7*Q7/10000,0)</f>
        <v>0</v>
      </c>
      <c r="S7" s="1960"/>
      <c r="T7" s="1960" t="s">
        <v>1538</v>
      </c>
      <c r="U7" s="1960"/>
      <c r="V7" s="1912"/>
    </row>
    <row r="8" s="1791" customFormat="1" customHeight="1" spans="1:22">
      <c r="A8" s="1833" t="s">
        <v>1539</v>
      </c>
      <c r="B8" s="1834" t="s">
        <v>1540</v>
      </c>
      <c r="C8" s="1835"/>
      <c r="D8" s="1836" t="s">
        <v>1541</v>
      </c>
      <c r="E8" s="1837" t="s">
        <v>1542</v>
      </c>
      <c r="F8" s="1838" t="s">
        <v>1543</v>
      </c>
      <c r="G8" s="1839"/>
      <c r="H8" s="1810"/>
      <c r="I8" s="1912"/>
      <c r="J8" s="1923"/>
      <c r="K8" s="1927"/>
      <c r="L8" s="1928" t="s">
        <v>1544</v>
      </c>
      <c r="M8" s="1929"/>
      <c r="N8" s="1815"/>
      <c r="O8" s="1930"/>
      <c r="P8" s="1930"/>
      <c r="Q8" s="1851">
        <v>365</v>
      </c>
      <c r="R8" s="1967">
        <f t="shared" ref="R8:R13" si="0">ROUND(M8*N8*O8*P8*Q8/10000,0)</f>
        <v>0</v>
      </c>
      <c r="S8" s="1960"/>
      <c r="T8" s="1960" t="s">
        <v>1545</v>
      </c>
      <c r="U8" s="1960"/>
      <c r="V8" s="1912"/>
    </row>
    <row r="9" s="1791" customFormat="1" customHeight="1" spans="1:22">
      <c r="A9" s="1833">
        <v>1</v>
      </c>
      <c r="B9" s="1834" t="s">
        <v>1546</v>
      </c>
      <c r="C9" s="1835"/>
      <c r="D9" s="1836">
        <f>ROUND(D6*E9,0)</f>
        <v>0</v>
      </c>
      <c r="E9" s="1840"/>
      <c r="F9" s="1841" t="s">
        <v>1547</v>
      </c>
      <c r="G9" s="1825"/>
      <c r="H9" s="1810"/>
      <c r="I9" s="1912"/>
      <c r="J9" s="1923"/>
      <c r="K9" s="1927"/>
      <c r="L9" s="1928" t="s">
        <v>1548</v>
      </c>
      <c r="M9" s="1929"/>
      <c r="N9" s="1815"/>
      <c r="O9" s="1930"/>
      <c r="P9" s="1930"/>
      <c r="Q9" s="1851">
        <v>365</v>
      </c>
      <c r="R9" s="1967">
        <f t="shared" si="0"/>
        <v>0</v>
      </c>
      <c r="S9" s="1960"/>
      <c r="T9" s="1960"/>
      <c r="U9" s="1960"/>
      <c r="V9" s="1912"/>
    </row>
    <row r="10" s="1791" customFormat="1" customHeight="1" spans="1:22">
      <c r="A10" s="1833">
        <v>2</v>
      </c>
      <c r="B10" s="1834" t="s">
        <v>1549</v>
      </c>
      <c r="C10" s="1835"/>
      <c r="D10" s="1836">
        <f>ROUND(D6*E10,0)</f>
        <v>0</v>
      </c>
      <c r="E10" s="1840"/>
      <c r="F10" s="1841" t="s">
        <v>1550</v>
      </c>
      <c r="G10" s="1825"/>
      <c r="H10" s="1810"/>
      <c r="I10" s="1912"/>
      <c r="J10" s="1923"/>
      <c r="K10" s="1927"/>
      <c r="L10" s="1928" t="s">
        <v>1551</v>
      </c>
      <c r="M10" s="1929"/>
      <c r="N10" s="1815"/>
      <c r="O10" s="1930"/>
      <c r="P10" s="1930"/>
      <c r="Q10" s="1851">
        <v>365</v>
      </c>
      <c r="R10" s="1967">
        <f t="shared" si="0"/>
        <v>0</v>
      </c>
      <c r="S10" s="1960"/>
      <c r="T10" s="1960"/>
      <c r="U10" s="1960"/>
      <c r="V10" s="1912"/>
    </row>
    <row r="11" s="1791" customFormat="1" customHeight="1" spans="1:22">
      <c r="A11" s="1833">
        <v>3</v>
      </c>
      <c r="B11" s="1834" t="s">
        <v>1552</v>
      </c>
      <c r="C11" s="1835"/>
      <c r="D11" s="1836">
        <f>D12+D14+D15+D16</f>
        <v>0</v>
      </c>
      <c r="E11" s="1842" t="e">
        <f>D11/D6</f>
        <v>#DIV/0!</v>
      </c>
      <c r="F11" s="1838"/>
      <c r="G11" s="1839"/>
      <c r="H11" s="1810"/>
      <c r="I11" s="1912"/>
      <c r="J11" s="1923"/>
      <c r="K11" s="1927"/>
      <c r="L11" s="1928" t="s">
        <v>1553</v>
      </c>
      <c r="M11" s="1929"/>
      <c r="N11" s="1815"/>
      <c r="O11" s="1930"/>
      <c r="P11" s="1930"/>
      <c r="Q11" s="1851">
        <v>365</v>
      </c>
      <c r="R11" s="1967">
        <f t="shared" si="0"/>
        <v>0</v>
      </c>
      <c r="S11" s="1960"/>
      <c r="T11" s="1960"/>
      <c r="U11" s="1960"/>
      <c r="V11" s="1912"/>
    </row>
    <row r="12" s="1791" customFormat="1" customHeight="1" spans="1:22">
      <c r="A12" s="1843" t="s">
        <v>1554</v>
      </c>
      <c r="B12" s="1844" t="s">
        <v>1555</v>
      </c>
      <c r="C12" s="1845"/>
      <c r="D12" s="1846">
        <f>ROUND(D13*1.2%*(1-30%),0)</f>
        <v>0</v>
      </c>
      <c r="E12" s="1847">
        <v>0.012</v>
      </c>
      <c r="F12" s="1838" t="s">
        <v>1556</v>
      </c>
      <c r="G12" s="1839"/>
      <c r="H12" s="1810"/>
      <c r="I12" s="1912"/>
      <c r="J12" s="1923"/>
      <c r="K12" s="1927"/>
      <c r="L12" s="1928" t="s">
        <v>1557</v>
      </c>
      <c r="M12" s="1929"/>
      <c r="N12" s="1815"/>
      <c r="O12" s="1930"/>
      <c r="P12" s="1930"/>
      <c r="Q12" s="1851">
        <v>365</v>
      </c>
      <c r="R12" s="1967">
        <f t="shared" si="0"/>
        <v>0</v>
      </c>
      <c r="S12" s="1960"/>
      <c r="T12" s="1960"/>
      <c r="U12" s="1960"/>
      <c r="V12" s="1912"/>
    </row>
    <row r="13" s="1791" customFormat="1" customHeight="1" spans="1:22">
      <c r="A13" s="1843"/>
      <c r="B13" s="1844"/>
      <c r="C13" s="1848" t="s">
        <v>1558</v>
      </c>
      <c r="D13" s="1849"/>
      <c r="E13" s="1850"/>
      <c r="F13" s="1838"/>
      <c r="G13" s="1839"/>
      <c r="H13" s="1810"/>
      <c r="I13" s="1912"/>
      <c r="J13" s="1923"/>
      <c r="K13" s="1927"/>
      <c r="L13" s="1928" t="s">
        <v>1559</v>
      </c>
      <c r="M13" s="1929"/>
      <c r="N13" s="1815"/>
      <c r="O13" s="1930"/>
      <c r="P13" s="1930"/>
      <c r="Q13" s="1851">
        <v>365</v>
      </c>
      <c r="R13" s="1967">
        <f t="shared" si="0"/>
        <v>0</v>
      </c>
      <c r="S13" s="1960"/>
      <c r="T13" s="1960"/>
      <c r="U13" s="1960"/>
      <c r="V13" s="1912"/>
    </row>
    <row r="14" s="1791" customFormat="1" customHeight="1" spans="1:22">
      <c r="A14" s="1843" t="s">
        <v>1560</v>
      </c>
      <c r="B14" s="1844" t="s">
        <v>1561</v>
      </c>
      <c r="C14" s="1845"/>
      <c r="D14" s="1846">
        <f>ROUND(E14*B5/10000,0)</f>
        <v>0</v>
      </c>
      <c r="E14" s="1851"/>
      <c r="F14" s="1838" t="s">
        <v>1562</v>
      </c>
      <c r="G14" s="1839"/>
      <c r="H14" s="1810"/>
      <c r="I14" s="1912"/>
      <c r="J14" s="1923"/>
      <c r="K14" s="1931"/>
      <c r="L14" s="1932" t="s">
        <v>1563</v>
      </c>
      <c r="M14" s="1933">
        <f>SUM(M7:M13)</f>
        <v>0</v>
      </c>
      <c r="N14" s="1933" t="e">
        <f>ROUND((N7*M7+N8*M8+N9*M9+N10*M10+N11*M11+N12*M12+N13*M13)/M14,0)</f>
        <v>#DIV/0!</v>
      </c>
      <c r="O14" s="1934"/>
      <c r="P14" s="1934"/>
      <c r="Q14" s="1968"/>
      <c r="R14" s="1962">
        <f>SUM(R7:R13)</f>
        <v>0</v>
      </c>
      <c r="S14" s="1960"/>
      <c r="T14" s="1960"/>
      <c r="U14" s="1960"/>
      <c r="V14" s="1912"/>
    </row>
    <row r="15" s="1791" customFormat="1" customHeight="1" spans="1:22">
      <c r="A15" s="1843" t="s">
        <v>1564</v>
      </c>
      <c r="B15" s="1844" t="s">
        <v>1565</v>
      </c>
      <c r="C15" s="1845"/>
      <c r="D15" s="1846">
        <f>ROUND(D6*E15,0)</f>
        <v>0</v>
      </c>
      <c r="E15" s="1847">
        <v>0.055</v>
      </c>
      <c r="F15" s="1838" t="s">
        <v>1566</v>
      </c>
      <c r="G15" s="1825"/>
      <c r="H15" s="1810"/>
      <c r="I15" s="1912"/>
      <c r="J15" s="1923">
        <v>2</v>
      </c>
      <c r="K15" s="1924" t="s">
        <v>1567</v>
      </c>
      <c r="L15" s="1928" t="s">
        <v>1568</v>
      </c>
      <c r="M15" s="1929" t="s">
        <v>1569</v>
      </c>
      <c r="N15" s="1929" t="s">
        <v>1570</v>
      </c>
      <c r="O15" s="1930" t="s">
        <v>1571</v>
      </c>
      <c r="P15" s="1930" t="s">
        <v>1533</v>
      </c>
      <c r="Q15" s="1815" t="s">
        <v>124</v>
      </c>
      <c r="R15" s="1969" t="s">
        <v>1534</v>
      </c>
      <c r="S15" s="1960"/>
      <c r="T15" s="1960"/>
      <c r="U15" s="1960"/>
      <c r="V15" s="1912"/>
    </row>
    <row r="16" s="1791" customFormat="1" customHeight="1" spans="1:22">
      <c r="A16" s="1843" t="s">
        <v>1572</v>
      </c>
      <c r="B16" s="1844" t="s">
        <v>1573</v>
      </c>
      <c r="C16" s="1845"/>
      <c r="D16" s="1852">
        <f>D6*E16</f>
        <v>0</v>
      </c>
      <c r="E16" s="1853"/>
      <c r="F16" s="1841" t="s">
        <v>1574</v>
      </c>
      <c r="G16" s="1825"/>
      <c r="H16" s="1810"/>
      <c r="I16" s="1912"/>
      <c r="J16" s="1923"/>
      <c r="K16" s="1927"/>
      <c r="L16" s="1928" t="s">
        <v>1575</v>
      </c>
      <c r="M16" s="1929"/>
      <c r="N16" s="1929"/>
      <c r="O16" s="1930"/>
      <c r="P16" s="1851">
        <v>365</v>
      </c>
      <c r="Q16" s="1815"/>
      <c r="R16" s="1969">
        <f>ROUND(M16*N16*O16*P16/10000,0)</f>
        <v>0</v>
      </c>
      <c r="S16" s="1960"/>
      <c r="T16" s="1960"/>
      <c r="U16" s="1960"/>
      <c r="V16" s="1912"/>
    </row>
    <row r="17" s="1791" customFormat="1" customHeight="1" spans="1:22">
      <c r="A17" s="1854">
        <v>4</v>
      </c>
      <c r="B17" s="1855" t="s">
        <v>1576</v>
      </c>
      <c r="C17" s="1856"/>
      <c r="D17" s="1857">
        <f>ROUND(D6*E17,0)</f>
        <v>0</v>
      </c>
      <c r="E17" s="1858"/>
      <c r="F17" s="1859" t="s">
        <v>1577</v>
      </c>
      <c r="G17" s="1825"/>
      <c r="H17" s="1810"/>
      <c r="I17" s="1912"/>
      <c r="J17" s="1923"/>
      <c r="K17" s="1927"/>
      <c r="L17" s="1928" t="s">
        <v>1578</v>
      </c>
      <c r="M17" s="1929"/>
      <c r="N17" s="1929"/>
      <c r="O17" s="1930"/>
      <c r="P17" s="1851">
        <v>365</v>
      </c>
      <c r="Q17" s="1815"/>
      <c r="R17" s="1969">
        <f>ROUND(M17*N17*O17*P17/10000,0)</f>
        <v>0</v>
      </c>
      <c r="S17" s="1960"/>
      <c r="T17" s="1960"/>
      <c r="U17" s="1960"/>
      <c r="V17" s="1912"/>
    </row>
    <row r="18" s="1791" customFormat="1" customHeight="1" spans="1:22">
      <c r="A18" s="1826" t="s">
        <v>1579</v>
      </c>
      <c r="B18" s="1827"/>
      <c r="C18" s="1827"/>
      <c r="D18" s="1860">
        <f>ROUND(D6*E18,0)</f>
        <v>0</v>
      </c>
      <c r="E18" s="1861"/>
      <c r="F18" s="1862" t="s">
        <v>1580</v>
      </c>
      <c r="G18" s="1825"/>
      <c r="H18" s="1810"/>
      <c r="I18" s="1912"/>
      <c r="J18" s="1923"/>
      <c r="K18" s="1927"/>
      <c r="L18" s="1928" t="s">
        <v>1581</v>
      </c>
      <c r="M18" s="1929"/>
      <c r="N18" s="1929"/>
      <c r="O18" s="1930"/>
      <c r="P18" s="1851">
        <v>365</v>
      </c>
      <c r="Q18" s="1815"/>
      <c r="R18" s="1969">
        <f>ROUND(M18*N18*O18*P18/10000,0)</f>
        <v>0</v>
      </c>
      <c r="S18" s="1960"/>
      <c r="T18" s="1960"/>
      <c r="U18" s="1960"/>
      <c r="V18" s="1912"/>
    </row>
    <row r="19" s="1791" customFormat="1" customHeight="1" spans="1:22">
      <c r="A19" s="1863" t="s">
        <v>1582</v>
      </c>
      <c r="B19" s="1823"/>
      <c r="C19" s="1823"/>
      <c r="D19" s="1823"/>
      <c r="E19" s="1823"/>
      <c r="F19" s="1824"/>
      <c r="G19" s="1839"/>
      <c r="H19" s="1810"/>
      <c r="I19" s="1912"/>
      <c r="J19" s="1923"/>
      <c r="K19" s="1931"/>
      <c r="L19" s="1932" t="s">
        <v>1563</v>
      </c>
      <c r="M19" s="1933"/>
      <c r="N19" s="1933">
        <f>SUM(N16:N18)</f>
        <v>0</v>
      </c>
      <c r="O19" s="1934"/>
      <c r="P19" s="1935" t="s">
        <v>1583</v>
      </c>
      <c r="Q19" s="1930">
        <v>0</v>
      </c>
      <c r="R19" s="1970">
        <f>ROUND(IF(P19="按比例",R14*Q19,SUM(R16:R18)),0)</f>
        <v>0</v>
      </c>
      <c r="S19" s="1960"/>
      <c r="T19" s="1960"/>
      <c r="U19" s="1960"/>
      <c r="V19" s="1912"/>
    </row>
    <row r="20" s="1791" customFormat="1" customHeight="1" spans="1:22">
      <c r="A20" s="1826"/>
      <c r="B20" s="1827"/>
      <c r="C20" s="1827"/>
      <c r="D20" s="1827"/>
      <c r="E20" s="1827"/>
      <c r="F20" s="1864"/>
      <c r="G20" s="1839"/>
      <c r="H20" s="1810"/>
      <c r="I20" s="1912"/>
      <c r="J20" s="1923">
        <v>3</v>
      </c>
      <c r="K20" s="1924" t="s">
        <v>1584</v>
      </c>
      <c r="L20" s="1928" t="s">
        <v>1585</v>
      </c>
      <c r="M20" s="1929" t="s">
        <v>1586</v>
      </c>
      <c r="N20" s="1936" t="s">
        <v>1587</v>
      </c>
      <c r="O20" s="1930" t="s">
        <v>1588</v>
      </c>
      <c r="P20" s="1851" t="s">
        <v>1533</v>
      </c>
      <c r="Q20" s="1815" t="s">
        <v>124</v>
      </c>
      <c r="R20" s="1969" t="s">
        <v>1534</v>
      </c>
      <c r="S20" s="1957"/>
      <c r="T20" s="1957"/>
      <c r="U20" s="1957"/>
      <c r="V20" s="1912"/>
    </row>
    <row r="21" s="1791" customFormat="1" customHeight="1" spans="1:22">
      <c r="A21" s="1826"/>
      <c r="B21" s="1827"/>
      <c r="C21" s="1834" t="s">
        <v>1589</v>
      </c>
      <c r="D21" s="1865" t="s">
        <v>1590</v>
      </c>
      <c r="E21" s="1835" t="s">
        <v>1591</v>
      </c>
      <c r="F21" s="1864"/>
      <c r="G21" s="1839"/>
      <c r="H21" s="1810"/>
      <c r="I21" s="1912"/>
      <c r="J21" s="1923"/>
      <c r="K21" s="1927"/>
      <c r="L21" s="1928" t="s">
        <v>1592</v>
      </c>
      <c r="M21" s="1929"/>
      <c r="N21" s="1929"/>
      <c r="O21" s="1930"/>
      <c r="P21" s="1851">
        <v>365</v>
      </c>
      <c r="Q21" s="1815"/>
      <c r="R21" s="1971">
        <f>ROUND(M21*N21*O21*P21/10000,0)</f>
        <v>0</v>
      </c>
      <c r="S21" s="1957"/>
      <c r="T21" s="1957"/>
      <c r="U21" s="1957"/>
      <c r="V21" s="1912"/>
    </row>
    <row r="22" s="1791" customFormat="1" customHeight="1" spans="1:22">
      <c r="A22" s="1826"/>
      <c r="B22" s="1827"/>
      <c r="C22" s="1866" t="s">
        <v>1593</v>
      </c>
      <c r="D22" s="1867" t="s">
        <v>1594</v>
      </c>
      <c r="E22" s="1868" t="s">
        <v>1595</v>
      </c>
      <c r="F22" s="1864"/>
      <c r="G22" s="1869"/>
      <c r="H22" s="1810"/>
      <c r="I22" s="1912"/>
      <c r="J22" s="1923"/>
      <c r="K22" s="1927"/>
      <c r="L22" s="1928" t="s">
        <v>1596</v>
      </c>
      <c r="M22" s="1929"/>
      <c r="N22" s="1929"/>
      <c r="O22" s="1930"/>
      <c r="P22" s="1851">
        <v>365</v>
      </c>
      <c r="Q22" s="1815"/>
      <c r="R22" s="1971">
        <f>ROUND(M22*N22*O22*P22/10000,0)</f>
        <v>0</v>
      </c>
      <c r="S22" s="1957"/>
      <c r="T22" s="1957"/>
      <c r="U22" s="1957"/>
      <c r="V22" s="1912"/>
    </row>
    <row r="23" s="1791" customFormat="1" customHeight="1" spans="1:22">
      <c r="A23" s="1870">
        <v>1</v>
      </c>
      <c r="B23" s="1871" t="s">
        <v>1597</v>
      </c>
      <c r="C23" s="1872">
        <f>D6</f>
        <v>0</v>
      </c>
      <c r="D23" s="1873">
        <f>C23*(1+D24)</f>
        <v>0</v>
      </c>
      <c r="E23" s="1874">
        <f>D23*(1+E24)</f>
        <v>0</v>
      </c>
      <c r="F23" s="1875"/>
      <c r="G23" s="1876"/>
      <c r="H23" s="1810"/>
      <c r="I23" s="1912"/>
      <c r="J23" s="1923"/>
      <c r="K23" s="1927"/>
      <c r="L23" s="1928" t="s">
        <v>1598</v>
      </c>
      <c r="M23" s="1929"/>
      <c r="N23" s="1929"/>
      <c r="O23" s="1930"/>
      <c r="P23" s="1851">
        <v>365</v>
      </c>
      <c r="Q23" s="1815"/>
      <c r="R23" s="1971">
        <f>ROUND(M23*N23*O23*P23/10000,0)</f>
        <v>0</v>
      </c>
      <c r="S23" s="1960"/>
      <c r="T23" s="1960"/>
      <c r="U23" s="1960"/>
      <c r="V23" s="1912"/>
    </row>
    <row r="24" s="1791" customFormat="1" customHeight="1" spans="1:22">
      <c r="A24" s="1877"/>
      <c r="B24" s="1878" t="s">
        <v>1599</v>
      </c>
      <c r="C24" s="1879"/>
      <c r="D24" s="1880"/>
      <c r="E24" s="1881"/>
      <c r="F24" s="1882"/>
      <c r="G24" s="1876"/>
      <c r="H24" s="1810"/>
      <c r="I24" s="1912"/>
      <c r="J24" s="1923"/>
      <c r="K24" s="1931"/>
      <c r="L24" s="1932" t="s">
        <v>1563</v>
      </c>
      <c r="M24" s="1933">
        <f>SUM(M21:M23)</f>
        <v>0</v>
      </c>
      <c r="N24" s="1933"/>
      <c r="O24" s="1934"/>
      <c r="P24" s="1935" t="s">
        <v>1583</v>
      </c>
      <c r="Q24" s="1930">
        <v>0</v>
      </c>
      <c r="R24" s="1970">
        <f>ROUND(IF(P24="按比例",R14*Q24,SUM(R21:R23)),0)</f>
        <v>0</v>
      </c>
      <c r="S24" s="1960"/>
      <c r="T24" s="1960"/>
      <c r="U24" s="1960"/>
      <c r="V24" s="1912"/>
    </row>
    <row r="25" s="1792" customFormat="1" customHeight="1" spans="1:22">
      <c r="A25" s="1877"/>
      <c r="B25" s="1878"/>
      <c r="C25" s="1879"/>
      <c r="D25" s="1880"/>
      <c r="E25" s="1881"/>
      <c r="F25" s="1882"/>
      <c r="G25" s="1869"/>
      <c r="H25" s="1810"/>
      <c r="I25" s="1912"/>
      <c r="J25" s="1923">
        <v>4</v>
      </c>
      <c r="K25" s="1937" t="s">
        <v>1600</v>
      </c>
      <c r="L25" s="1938"/>
      <c r="M25" s="1938"/>
      <c r="N25" s="1938"/>
      <c r="O25" s="1938"/>
      <c r="P25" s="1939"/>
      <c r="Q25" s="1972">
        <v>0</v>
      </c>
      <c r="R25" s="1970">
        <f>ROUND(R14*Q25,0)</f>
        <v>0</v>
      </c>
      <c r="S25" s="1960"/>
      <c r="T25" s="1960"/>
      <c r="U25" s="1960"/>
      <c r="V25" s="1946"/>
    </row>
    <row r="26" s="1792" customFormat="1" customHeight="1" spans="1:22">
      <c r="A26" s="1870">
        <v>2</v>
      </c>
      <c r="B26" s="1871" t="s">
        <v>1601</v>
      </c>
      <c r="C26" s="1872">
        <f>D7</f>
        <v>0</v>
      </c>
      <c r="D26" s="1873">
        <f>D23*D27</f>
        <v>0</v>
      </c>
      <c r="E26" s="1874">
        <f>E23*E27</f>
        <v>0</v>
      </c>
      <c r="F26" s="1875"/>
      <c r="G26" s="1876"/>
      <c r="H26" s="1810"/>
      <c r="I26" s="1912"/>
      <c r="J26" s="1940">
        <v>5</v>
      </c>
      <c r="K26" s="1941" t="s">
        <v>1602</v>
      </c>
      <c r="L26" s="1942"/>
      <c r="M26" s="1943"/>
      <c r="N26" s="1944" t="s">
        <v>505</v>
      </c>
      <c r="O26" s="1944" t="s">
        <v>1603</v>
      </c>
      <c r="P26" s="1945" t="s">
        <v>1604</v>
      </c>
      <c r="Q26" s="1945" t="s">
        <v>1605</v>
      </c>
      <c r="R26" s="1964" t="s">
        <v>1534</v>
      </c>
      <c r="S26" s="1973"/>
      <c r="T26" s="1973"/>
      <c r="U26" s="1973"/>
      <c r="V26" s="1946"/>
    </row>
    <row r="27" s="1791" customFormat="1" customHeight="1" spans="1:22">
      <c r="A27" s="1877"/>
      <c r="B27" s="1878" t="s">
        <v>1606</v>
      </c>
      <c r="C27" s="1883" t="e">
        <f>E7</f>
        <v>#DIV/0!</v>
      </c>
      <c r="D27" s="1880"/>
      <c r="E27" s="1881"/>
      <c r="F27" s="1882"/>
      <c r="G27" s="1876"/>
      <c r="H27" s="1884"/>
      <c r="I27" s="1946"/>
      <c r="J27" s="1947"/>
      <c r="K27" s="1948"/>
      <c r="L27" s="1949"/>
      <c r="M27" s="1950"/>
      <c r="N27" s="1951"/>
      <c r="O27" s="1951"/>
      <c r="P27" s="1951"/>
      <c r="Q27" s="1974"/>
      <c r="R27" s="1970">
        <f>ROUND(O27*N27*P27*(1-Q27)/10000,0)</f>
        <v>0</v>
      </c>
      <c r="S27" s="1960"/>
      <c r="T27" s="1960"/>
      <c r="U27" s="1960"/>
      <c r="V27" s="1912"/>
    </row>
    <row r="28" s="1792" customFormat="1" customHeight="1" spans="1:22">
      <c r="A28" s="1877"/>
      <c r="B28" s="1878"/>
      <c r="C28" s="1883"/>
      <c r="D28" s="1880"/>
      <c r="E28" s="1881" t="s">
        <v>1607</v>
      </c>
      <c r="F28" s="1882"/>
      <c r="G28" s="1869"/>
      <c r="H28" s="1884"/>
      <c r="I28" s="1946"/>
      <c r="J28" s="1952">
        <v>6</v>
      </c>
      <c r="K28" s="1953" t="s">
        <v>1608</v>
      </c>
      <c r="L28" s="1954" t="s">
        <v>1609</v>
      </c>
      <c r="M28" s="1955"/>
      <c r="N28" s="1954" t="s">
        <v>1610</v>
      </c>
      <c r="O28" s="1956"/>
      <c r="P28" s="1954" t="s">
        <v>1611</v>
      </c>
      <c r="Q28" s="1975">
        <v>0.015</v>
      </c>
      <c r="R28" s="1976"/>
      <c r="S28" s="1957"/>
      <c r="T28" s="1957"/>
      <c r="U28" s="1957"/>
      <c r="V28" s="1946"/>
    </row>
    <row r="29" s="1792" customFormat="1" customHeight="1" spans="1:22">
      <c r="A29" s="1870">
        <v>3</v>
      </c>
      <c r="B29" s="1871" t="s">
        <v>1612</v>
      </c>
      <c r="C29" s="1872">
        <f>C23*C30</f>
        <v>0</v>
      </c>
      <c r="D29" s="1873">
        <f>D23*C30</f>
        <v>0</v>
      </c>
      <c r="E29" s="1874">
        <f>E23*C30</f>
        <v>0</v>
      </c>
      <c r="F29" s="1875"/>
      <c r="G29" s="1876"/>
      <c r="H29" s="1810"/>
      <c r="I29" s="1912"/>
      <c r="J29" s="1957"/>
      <c r="K29" s="1957"/>
      <c r="L29" s="1957"/>
      <c r="M29" s="1957"/>
      <c r="N29" s="1957"/>
      <c r="O29" s="1957"/>
      <c r="P29" s="1957"/>
      <c r="Q29" s="1957"/>
      <c r="R29" s="1957"/>
      <c r="S29" s="1957"/>
      <c r="T29" s="1957"/>
      <c r="U29" s="1957"/>
      <c r="V29" s="1946"/>
    </row>
    <row r="30" s="1791" customFormat="1" customHeight="1" spans="1:22">
      <c r="A30" s="1877"/>
      <c r="B30" s="1878" t="s">
        <v>1606</v>
      </c>
      <c r="C30" s="1883">
        <f>E18</f>
        <v>0</v>
      </c>
      <c r="D30" s="1885"/>
      <c r="E30" s="1850"/>
      <c r="F30" s="1882"/>
      <c r="G30" s="1876"/>
      <c r="H30" s="1884"/>
      <c r="I30" s="1946"/>
      <c r="J30" s="1957"/>
      <c r="K30" s="1957"/>
      <c r="L30" s="1957"/>
      <c r="M30" s="1957"/>
      <c r="N30" s="1957"/>
      <c r="O30" s="1957"/>
      <c r="P30" s="1957"/>
      <c r="Q30" s="1957"/>
      <c r="R30" s="1957"/>
      <c r="S30" s="1957"/>
      <c r="T30" s="1957"/>
      <c r="U30" s="1960"/>
      <c r="V30" s="1912"/>
    </row>
    <row r="31" s="1792" customFormat="1" customHeight="1" spans="1:22">
      <c r="A31" s="1877"/>
      <c r="B31" s="1878"/>
      <c r="C31" s="1886"/>
      <c r="D31" s="1885"/>
      <c r="E31" s="1850"/>
      <c r="F31" s="1882"/>
      <c r="G31" s="1869"/>
      <c r="H31" s="1884"/>
      <c r="I31" s="1946"/>
      <c r="J31" s="1910" t="s">
        <v>1613</v>
      </c>
      <c r="K31" s="1911"/>
      <c r="L31" s="1911"/>
      <c r="M31" s="1911"/>
      <c r="N31" s="1911"/>
      <c r="O31" s="1911"/>
      <c r="P31" s="1911"/>
      <c r="Q31" s="1911"/>
      <c r="R31" s="1959"/>
      <c r="S31" s="1957"/>
      <c r="T31" s="1960"/>
      <c r="U31" s="1960"/>
      <c r="V31" s="1946"/>
    </row>
    <row r="32" s="1792" customFormat="1" customHeight="1" spans="1:22">
      <c r="A32" s="1870">
        <v>4</v>
      </c>
      <c r="B32" s="1871" t="s">
        <v>1614</v>
      </c>
      <c r="C32" s="1872">
        <f>C23-C26-C29</f>
        <v>0</v>
      </c>
      <c r="D32" s="1873">
        <f>D23-D26-D29</f>
        <v>0</v>
      </c>
      <c r="E32" s="1874">
        <f>E23-E26-E29</f>
        <v>0</v>
      </c>
      <c r="F32" s="1875"/>
      <c r="G32" s="1869"/>
      <c r="H32" s="1810"/>
      <c r="I32" s="1912"/>
      <c r="J32" s="1913" t="s">
        <v>1512</v>
      </c>
      <c r="K32" s="1914"/>
      <c r="L32" s="1915" t="s">
        <v>1513</v>
      </c>
      <c r="M32" s="1915" t="s">
        <v>1514</v>
      </c>
      <c r="N32" s="1915" t="s">
        <v>1515</v>
      </c>
      <c r="O32" s="1915" t="s">
        <v>1516</v>
      </c>
      <c r="P32" s="1915" t="s">
        <v>1517</v>
      </c>
      <c r="Q32" s="1961" t="s">
        <v>1518</v>
      </c>
      <c r="R32" s="1977" t="s">
        <v>1519</v>
      </c>
      <c r="S32" s="1957"/>
      <c r="T32" s="1960"/>
      <c r="U32" s="1960"/>
      <c r="V32" s="1946"/>
    </row>
    <row r="33" s="1791" customFormat="1" customHeight="1" spans="1:22">
      <c r="A33" s="1870"/>
      <c r="B33" s="1871"/>
      <c r="C33" s="1872"/>
      <c r="D33" s="1887"/>
      <c r="E33" s="1845"/>
      <c r="F33" s="1875"/>
      <c r="G33" s="1869"/>
      <c r="H33" s="1884"/>
      <c r="I33" s="1946"/>
      <c r="J33" s="1916" t="s">
        <v>1520</v>
      </c>
      <c r="K33" s="1917"/>
      <c r="L33" s="1918"/>
      <c r="M33" s="1918"/>
      <c r="N33" s="1918"/>
      <c r="O33" s="1918"/>
      <c r="P33" s="1918"/>
      <c r="Q33" s="1963"/>
      <c r="R33" s="1978">
        <f>SUM(L33:Q33)</f>
        <v>0</v>
      </c>
      <c r="S33" s="1957"/>
      <c r="T33" s="1960"/>
      <c r="U33" s="1960"/>
      <c r="V33" s="1912"/>
    </row>
    <row r="34" s="1791" customFormat="1" customHeight="1" spans="1:22">
      <c r="A34" s="1870">
        <v>5</v>
      </c>
      <c r="B34" s="1871" t="s">
        <v>1615</v>
      </c>
      <c r="C34" s="1888"/>
      <c r="D34" s="1889"/>
      <c r="E34" s="1890"/>
      <c r="F34" s="1875"/>
      <c r="G34" s="1869"/>
      <c r="H34" s="1884"/>
      <c r="I34" s="1946"/>
      <c r="J34" s="1916" t="s">
        <v>1522</v>
      </c>
      <c r="K34" s="1917"/>
      <c r="L34" s="1919"/>
      <c r="M34" s="1919"/>
      <c r="N34" s="1919"/>
      <c r="O34" s="1919"/>
      <c r="P34" s="1919"/>
      <c r="Q34" s="1965"/>
      <c r="R34" s="1979">
        <f>SUM(L34:Q34)</f>
        <v>0</v>
      </c>
      <c r="S34" s="1957"/>
      <c r="T34" s="1960"/>
      <c r="U34" s="1960" t="e">
        <f>ROUND(R35*10000/365/R33,1)</f>
        <v>#DIV/0!</v>
      </c>
      <c r="V34" s="1912"/>
    </row>
    <row r="35" s="1791" customFormat="1" customHeight="1" spans="1:22">
      <c r="A35" s="1870">
        <v>6</v>
      </c>
      <c r="B35" s="1871" t="s">
        <v>1616</v>
      </c>
      <c r="C35" s="1891"/>
      <c r="D35" s="1892"/>
      <c r="E35" s="1893"/>
      <c r="F35" s="1875"/>
      <c r="G35" s="1894"/>
      <c r="H35" s="1810"/>
      <c r="I35" s="1946"/>
      <c r="J35" s="1920" t="s">
        <v>1524</v>
      </c>
      <c r="K35" s="1921"/>
      <c r="L35" s="1921"/>
      <c r="M35" s="1922"/>
      <c r="N35" s="1922"/>
      <c r="O35" s="1922"/>
      <c r="P35" s="1922"/>
      <c r="Q35" s="1922"/>
      <c r="R35" s="1980">
        <f>R40+R41+R43</f>
        <v>0</v>
      </c>
      <c r="S35" s="1957"/>
      <c r="T35" s="1960" t="s">
        <v>1525</v>
      </c>
      <c r="U35" s="1960"/>
      <c r="V35" s="1912"/>
    </row>
    <row r="36" s="1791" customFormat="1" customHeight="1" spans="1:22">
      <c r="A36" s="1870">
        <v>7</v>
      </c>
      <c r="B36" s="1895" t="s">
        <v>1617</v>
      </c>
      <c r="C36" s="1896"/>
      <c r="D36" s="1897"/>
      <c r="E36" s="1898"/>
      <c r="F36" s="1899">
        <f>C36+D36+E36</f>
        <v>0</v>
      </c>
      <c r="G36" s="1869"/>
      <c r="H36" s="1810"/>
      <c r="I36" s="1912"/>
      <c r="J36" s="1923">
        <v>1</v>
      </c>
      <c r="K36" s="1924" t="s">
        <v>1618</v>
      </c>
      <c r="L36" s="1925"/>
      <c r="M36" s="1926"/>
      <c r="N36" s="1926"/>
      <c r="O36" s="1926"/>
      <c r="P36" s="1926"/>
      <c r="Q36" s="1926"/>
      <c r="R36" s="1964" t="s">
        <v>1534</v>
      </c>
      <c r="S36" s="1957"/>
      <c r="T36" s="1960" t="s">
        <v>1535</v>
      </c>
      <c r="U36" s="1960"/>
      <c r="V36" s="1912"/>
    </row>
    <row r="37" s="1791" customFormat="1" customHeight="1" spans="1:22">
      <c r="A37" s="1870"/>
      <c r="B37" s="1871"/>
      <c r="C37" s="1871"/>
      <c r="D37" s="1871"/>
      <c r="E37" s="1871"/>
      <c r="F37" s="1875"/>
      <c r="G37" s="1869"/>
      <c r="H37" s="1810"/>
      <c r="I37" s="1912"/>
      <c r="J37" s="1923"/>
      <c r="K37" s="1927"/>
      <c r="L37" s="1928"/>
      <c r="M37" s="1929"/>
      <c r="N37" s="1815"/>
      <c r="O37" s="1930"/>
      <c r="P37" s="1930"/>
      <c r="Q37" s="1851"/>
      <c r="R37" s="1967"/>
      <c r="S37" s="1957"/>
      <c r="T37" s="1960" t="s">
        <v>1538</v>
      </c>
      <c r="U37" s="1960"/>
      <c r="V37" s="1912"/>
    </row>
    <row r="38" s="1791" customFormat="1" customHeight="1" spans="1:22">
      <c r="A38" s="1870">
        <v>8</v>
      </c>
      <c r="B38" s="1871"/>
      <c r="C38" s="1836" t="e">
        <f>ROUND(C32*(1-((1+C35)/(1+C34))^C36)/(C34-C35),0)</f>
        <v>#DIV/0!</v>
      </c>
      <c r="D38" s="1836">
        <f>IF(D23=0,0,ROUND(D32*(1-((1+D35)/(1+D34))^D36)/(D34-D35),0))</f>
        <v>0</v>
      </c>
      <c r="E38" s="1836">
        <f>IF(E23=0,0,ROUND(E32*(1-((1+E35)/(1+E34))^E36)/(E34-E35),0))</f>
        <v>0</v>
      </c>
      <c r="F38" s="1875"/>
      <c r="G38" s="1869"/>
      <c r="H38" s="1810"/>
      <c r="I38" s="1912"/>
      <c r="J38" s="1923"/>
      <c r="K38" s="1927"/>
      <c r="L38" s="1928"/>
      <c r="M38" s="1929"/>
      <c r="N38" s="1815"/>
      <c r="O38" s="1930"/>
      <c r="P38" s="1930"/>
      <c r="Q38" s="1851"/>
      <c r="R38" s="1967"/>
      <c r="S38" s="1957"/>
      <c r="T38" s="1960" t="s">
        <v>1545</v>
      </c>
      <c r="U38" s="1960"/>
      <c r="V38" s="1912"/>
    </row>
    <row r="39" s="1791" customFormat="1" customHeight="1" spans="1:22">
      <c r="A39" s="1870">
        <v>9</v>
      </c>
      <c r="B39" s="1871" t="s">
        <v>1619</v>
      </c>
      <c r="C39" s="1846" t="e">
        <f>C38</f>
        <v>#DIV/0!</v>
      </c>
      <c r="D39" s="1871">
        <f>D38/(1+D34)^C36</f>
        <v>0</v>
      </c>
      <c r="E39" s="1871">
        <f>E38/(1+E34)^(C36+D36)</f>
        <v>0</v>
      </c>
      <c r="F39" s="1875"/>
      <c r="G39" s="1900"/>
      <c r="H39" s="1810"/>
      <c r="I39" s="1912"/>
      <c r="J39" s="1923"/>
      <c r="K39" s="1927"/>
      <c r="L39" s="1928"/>
      <c r="M39" s="1929"/>
      <c r="N39" s="1815"/>
      <c r="O39" s="1930"/>
      <c r="P39" s="1930"/>
      <c r="Q39" s="1851"/>
      <c r="R39" s="1967"/>
      <c r="S39" s="1957"/>
      <c r="T39" s="1960"/>
      <c r="U39" s="1960"/>
      <c r="V39" s="1912"/>
    </row>
    <row r="40" s="1791" customFormat="1" customHeight="1" spans="1:22">
      <c r="A40" s="1901">
        <v>10</v>
      </c>
      <c r="B40" s="1871" t="s">
        <v>1620</v>
      </c>
      <c r="C40" s="1902" t="e">
        <f>C39+D39+E39</f>
        <v>#DIV/0!</v>
      </c>
      <c r="D40" s="1903"/>
      <c r="E40" s="1903"/>
      <c r="F40" s="1904"/>
      <c r="G40" s="1869"/>
      <c r="H40" s="1810"/>
      <c r="I40" s="1912"/>
      <c r="J40" s="1923"/>
      <c r="K40" s="1931"/>
      <c r="L40" s="1932" t="s">
        <v>1563</v>
      </c>
      <c r="M40" s="1933"/>
      <c r="N40" s="1933"/>
      <c r="O40" s="1934"/>
      <c r="P40" s="1934"/>
      <c r="Q40" s="1968"/>
      <c r="R40" s="1962">
        <f>SUM(R37:R39)</f>
        <v>0</v>
      </c>
      <c r="S40" s="1957"/>
      <c r="T40" s="1960"/>
      <c r="U40" s="1960"/>
      <c r="V40" s="1912"/>
    </row>
    <row r="41" s="1791" customFormat="1" customHeight="1" spans="1:22">
      <c r="A41" s="1905">
        <v>11</v>
      </c>
      <c r="B41" s="1906" t="s">
        <v>1621</v>
      </c>
      <c r="C41" s="1906" t="e">
        <f>ROUND(C40*10000/B4,0)</f>
        <v>#DIV/0!</v>
      </c>
      <c r="D41" s="1907"/>
      <c r="E41" s="1907"/>
      <c r="F41" s="1908"/>
      <c r="G41" s="1909"/>
      <c r="H41" s="1810"/>
      <c r="I41" s="1912"/>
      <c r="J41" s="1923">
        <v>2</v>
      </c>
      <c r="K41" s="1937" t="s">
        <v>1600</v>
      </c>
      <c r="L41" s="1938"/>
      <c r="M41" s="1938"/>
      <c r="N41" s="1938"/>
      <c r="O41" s="1938"/>
      <c r="P41" s="1939"/>
      <c r="Q41" s="1972"/>
      <c r="R41" s="1970">
        <f>ROUND(R40*Q41,0)</f>
        <v>0</v>
      </c>
      <c r="S41" s="1957"/>
      <c r="T41" s="1960"/>
      <c r="U41" s="1973"/>
      <c r="V41" s="1912"/>
    </row>
    <row r="42" s="1791" customFormat="1" customHeight="1" spans="7:22">
      <c r="G42" s="1909"/>
      <c r="H42" s="1810"/>
      <c r="I42" s="1912"/>
      <c r="J42" s="1940">
        <v>3</v>
      </c>
      <c r="K42" s="1941" t="s">
        <v>1602</v>
      </c>
      <c r="L42" s="1942"/>
      <c r="M42" s="1943"/>
      <c r="N42" s="1944" t="s">
        <v>505</v>
      </c>
      <c r="O42" s="1944" t="s">
        <v>1603</v>
      </c>
      <c r="P42" s="1945" t="s">
        <v>1604</v>
      </c>
      <c r="Q42" s="1945" t="s">
        <v>1605</v>
      </c>
      <c r="R42" s="1964" t="s">
        <v>1534</v>
      </c>
      <c r="S42" s="1973"/>
      <c r="T42" s="1973"/>
      <c r="U42" s="1960"/>
      <c r="V42" s="1912"/>
    </row>
    <row r="43" customHeight="1" spans="1:23">
      <c r="A43" s="1791"/>
      <c r="B43" s="1791"/>
      <c r="C43" s="1791"/>
      <c r="D43" s="1791"/>
      <c r="E43" s="1791"/>
      <c r="F43" s="1791"/>
      <c r="I43" s="1795"/>
      <c r="J43" s="1947"/>
      <c r="K43" s="1948"/>
      <c r="L43" s="1949"/>
      <c r="M43" s="1950"/>
      <c r="N43" s="1929"/>
      <c r="O43" s="1929"/>
      <c r="P43" s="1929"/>
      <c r="Q43" s="1972"/>
      <c r="R43" s="1970">
        <f>ROUND(O43*N43*P43*(1-Q43)/10000,0)</f>
        <v>0</v>
      </c>
      <c r="S43" s="1957"/>
      <c r="T43" s="1960"/>
      <c r="V43" s="1797"/>
      <c r="W43" s="1981"/>
    </row>
    <row r="44" customHeight="1" spans="10:18">
      <c r="J44" s="1952">
        <v>6</v>
      </c>
      <c r="K44" s="1953" t="s">
        <v>1608</v>
      </c>
      <c r="L44" s="1958" t="s">
        <v>1609</v>
      </c>
      <c r="M44" s="1955"/>
      <c r="N44" s="1958" t="s">
        <v>1610</v>
      </c>
      <c r="O44" s="1955"/>
      <c r="P44" s="1958" t="s">
        <v>1611</v>
      </c>
      <c r="Q44" s="1975">
        <v>0.015</v>
      </c>
      <c r="R44" s="19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1622</v>
      </c>
      <c r="B1" s="1766"/>
      <c r="C1" s="1766"/>
      <c r="D1" s="1766"/>
      <c r="E1" s="1767"/>
      <c r="F1" s="1768"/>
      <c r="G1" s="1769"/>
      <c r="H1" s="1769"/>
      <c r="I1" s="1769"/>
      <c r="J1" s="1769"/>
      <c r="K1" s="1769"/>
      <c r="L1" s="1769"/>
      <c r="M1" s="1769"/>
      <c r="N1" s="1769"/>
      <c r="O1" s="1769"/>
      <c r="P1" s="1769"/>
      <c r="Q1" s="1769"/>
      <c r="R1" s="1769"/>
      <c r="S1" s="1769"/>
    </row>
    <row r="2" spans="1:19">
      <c r="A2" s="1770" t="s">
        <v>1034</v>
      </c>
      <c r="B2" s="1771">
        <f ca="1">SUMIF(B6:B13,"&lt;&gt;#ref!",B6:B13)</f>
        <v>715.5299</v>
      </c>
      <c r="C2" s="1772" t="s">
        <v>1623</v>
      </c>
      <c r="D2" s="1773" t="s">
        <v>1624</v>
      </c>
      <c r="E2" s="1774">
        <f>SUM(E6:E13)</f>
        <v>373.87</v>
      </c>
      <c r="F2" s="1768"/>
      <c r="G2" s="1769"/>
      <c r="H2" s="1769"/>
      <c r="I2" s="1769"/>
      <c r="J2" s="1769"/>
      <c r="K2" s="1769"/>
      <c r="L2" s="1769"/>
      <c r="M2" s="1769"/>
      <c r="N2" s="1769"/>
      <c r="O2" s="1769"/>
      <c r="P2" s="1769"/>
      <c r="Q2" s="1769"/>
      <c r="R2" s="1769"/>
      <c r="S2" s="1769"/>
    </row>
    <row r="3" spans="1:19">
      <c r="A3" s="1770" t="s">
        <v>1036</v>
      </c>
      <c r="B3" s="1775">
        <f ca="1">ROUND(B2*10000/E2,0)</f>
        <v>19138</v>
      </c>
      <c r="C3" s="1772" t="s">
        <v>1625</v>
      </c>
      <c r="D3" s="1776"/>
      <c r="E3" s="1777"/>
      <c r="F3" s="1768"/>
      <c r="G3" s="1769"/>
      <c r="H3" s="1769"/>
      <c r="I3" s="1769"/>
      <c r="J3" s="1769"/>
      <c r="K3" s="1769"/>
      <c r="L3" s="1769"/>
      <c r="M3" s="1769"/>
      <c r="N3" s="1769"/>
      <c r="O3" s="1769"/>
      <c r="P3" s="1769"/>
      <c r="Q3" s="1769"/>
      <c r="R3" s="1769"/>
      <c r="S3" s="1769"/>
    </row>
    <row r="4" ht="15.75" spans="1:19">
      <c r="A4" s="1778"/>
      <c r="B4" s="1776"/>
      <c r="C4" s="1776"/>
      <c r="D4" s="1776"/>
      <c r="E4" s="1777"/>
      <c r="F4" s="1768"/>
      <c r="G4" s="1769"/>
      <c r="H4" s="1769"/>
      <c r="I4" s="1769"/>
      <c r="J4" s="1769"/>
      <c r="K4" s="1769"/>
      <c r="L4" s="1769"/>
      <c r="M4" s="1769"/>
      <c r="N4" s="1769"/>
      <c r="O4" s="1769"/>
      <c r="P4" s="1769"/>
      <c r="Q4" s="1769"/>
      <c r="R4" s="1769"/>
      <c r="S4" s="1769"/>
    </row>
    <row r="5" ht="15" spans="1:19">
      <c r="A5" s="1779" t="s">
        <v>1626</v>
      </c>
      <c r="B5" s="1780" t="s">
        <v>1627</v>
      </c>
      <c r="C5" s="1781"/>
      <c r="D5" s="1782"/>
      <c r="E5" s="1783" t="s">
        <v>1628</v>
      </c>
      <c r="F5" s="1784" t="s">
        <v>1629</v>
      </c>
      <c r="G5" s="1769"/>
      <c r="H5" s="1769"/>
      <c r="I5" s="1769"/>
      <c r="J5" s="1769"/>
      <c r="K5" s="1769"/>
      <c r="L5" s="1769"/>
      <c r="M5" s="1769"/>
      <c r="N5" s="1769"/>
      <c r="O5" s="1769"/>
      <c r="P5" s="1769"/>
      <c r="Q5" s="1769"/>
      <c r="R5" s="1769"/>
      <c r="S5" s="1769"/>
    </row>
    <row r="6" spans="1:19">
      <c r="A6" s="1785" t="str">
        <f>'数据-取费表'!AN6</f>
        <v>收益法 (元)</v>
      </c>
      <c r="B6" s="994">
        <f ca="1">IF(F6="是",'数据-取费表'!AO6,0)</f>
        <v>715.5299</v>
      </c>
      <c r="C6" s="1772" t="s">
        <v>1623</v>
      </c>
      <c r="D6" s="1776"/>
      <c r="E6" s="1786">
        <f>IF(OR(A6=0,F6="否"),0,'数据-取费表'!K6+'数据-取费表'!S6)</f>
        <v>373.87</v>
      </c>
      <c r="F6" s="1787" t="s">
        <v>1630</v>
      </c>
      <c r="G6" s="1769"/>
      <c r="H6" s="1769"/>
      <c r="I6" s="1769"/>
      <c r="J6" s="1769"/>
      <c r="K6" s="1769"/>
      <c r="L6" s="1769"/>
      <c r="M6" s="1769"/>
      <c r="N6" s="1769"/>
      <c r="O6" s="1769"/>
      <c r="P6" s="1769"/>
      <c r="Q6" s="1769"/>
      <c r="R6" s="1769"/>
      <c r="S6" s="1769"/>
    </row>
    <row r="7" spans="1:19">
      <c r="A7" s="1785">
        <f>'数据-取费表'!AN7</f>
        <v>0</v>
      </c>
      <c r="B7" s="994" t="e">
        <f ca="1">IF(F7="是",'数据-取费表'!AO7,0)</f>
        <v>#REF!</v>
      </c>
      <c r="C7" s="1772" t="s">
        <v>1623</v>
      </c>
      <c r="D7" s="1776"/>
      <c r="E7" s="1786">
        <f>IF(OR(A7=0,F7="否"),0,'数据-取费表'!K7+'数据-取费表'!S7)</f>
        <v>0</v>
      </c>
      <c r="F7" s="1787" t="s">
        <v>1630</v>
      </c>
      <c r="G7" s="1769"/>
      <c r="H7" s="1769"/>
      <c r="I7" s="1769"/>
      <c r="J7" s="1769"/>
      <c r="K7" s="1769"/>
      <c r="L7" s="1769"/>
      <c r="M7" s="1769"/>
      <c r="N7" s="1769"/>
      <c r="O7" s="1769"/>
      <c r="P7" s="1769"/>
      <c r="Q7" s="1769"/>
      <c r="R7" s="1769"/>
      <c r="S7" s="1769"/>
    </row>
    <row r="8" spans="1:19">
      <c r="A8" s="1785">
        <f>'数据-取费表'!AN8</f>
        <v>0</v>
      </c>
      <c r="B8" s="994" t="e">
        <f ca="1">IF(F8="是",'数据-取费表'!AO8,0)</f>
        <v>#REF!</v>
      </c>
      <c r="C8" s="1772" t="s">
        <v>1623</v>
      </c>
      <c r="D8" s="1776"/>
      <c r="E8" s="1786">
        <f>IF(OR(A8=0,F8="否"),0,'数据-取费表'!K8+'数据-取费表'!S8)</f>
        <v>0</v>
      </c>
      <c r="F8" s="1787" t="s">
        <v>1630</v>
      </c>
      <c r="G8" s="1769"/>
      <c r="H8" s="1769"/>
      <c r="I8" s="1769"/>
      <c r="J8" s="1769"/>
      <c r="K8" s="1769"/>
      <c r="L8" s="1769"/>
      <c r="M8" s="1769"/>
      <c r="N8" s="1769"/>
      <c r="O8" s="1769"/>
      <c r="P8" s="1769"/>
      <c r="Q8" s="1769"/>
      <c r="R8" s="1769"/>
      <c r="S8" s="1769"/>
    </row>
    <row r="9" spans="1:19">
      <c r="A9" s="1785">
        <f>'数据-取费表'!AN9</f>
        <v>0</v>
      </c>
      <c r="B9" s="994" t="e">
        <f ca="1">IF(F9="是",'数据-取费表'!AO9,0)</f>
        <v>#REF!</v>
      </c>
      <c r="C9" s="1772" t="s">
        <v>1623</v>
      </c>
      <c r="D9" s="1776"/>
      <c r="E9" s="1786">
        <f>IF(OR(A9=0,F9="否"),0,'数据-取费表'!K9+'数据-取费表'!S9)</f>
        <v>0</v>
      </c>
      <c r="F9" s="1787" t="s">
        <v>1630</v>
      </c>
      <c r="G9" s="1769"/>
      <c r="H9" s="1769"/>
      <c r="I9" s="1769"/>
      <c r="J9" s="1769"/>
      <c r="K9" s="1769"/>
      <c r="L9" s="1769"/>
      <c r="M9" s="1769"/>
      <c r="N9" s="1769"/>
      <c r="O9" s="1769"/>
      <c r="P9" s="1769"/>
      <c r="Q9" s="1769"/>
      <c r="R9" s="1769"/>
      <c r="S9" s="1769"/>
    </row>
    <row r="10" spans="1:19">
      <c r="A10" s="1785">
        <f>'数据-取费表'!AN10</f>
        <v>0</v>
      </c>
      <c r="B10" s="994" t="e">
        <f ca="1">IF(F10="是",'数据-取费表'!AO10,0)</f>
        <v>#REF!</v>
      </c>
      <c r="C10" s="1772" t="s">
        <v>1623</v>
      </c>
      <c r="D10" s="1776"/>
      <c r="E10" s="1786">
        <f>IF(OR(A10=0,F10="否"),0,'数据-取费表'!K10+'数据-取费表'!S10)</f>
        <v>0</v>
      </c>
      <c r="F10" s="1787" t="s">
        <v>1630</v>
      </c>
      <c r="G10" s="1769"/>
      <c r="H10" s="1769"/>
      <c r="I10" s="1769"/>
      <c r="J10" s="1769"/>
      <c r="K10" s="1769"/>
      <c r="L10" s="1769"/>
      <c r="M10" s="1769"/>
      <c r="N10" s="1769"/>
      <c r="O10" s="1769"/>
      <c r="P10" s="1769"/>
      <c r="Q10" s="1769"/>
      <c r="R10" s="1769"/>
      <c r="S10" s="1769"/>
    </row>
    <row r="11" spans="1:19">
      <c r="A11" s="1785">
        <f>'数据-取费表'!AN11</f>
        <v>0</v>
      </c>
      <c r="B11" s="994" t="e">
        <f ca="1">IF(F11="是",'数据-取费表'!AO11,0)</f>
        <v>#REF!</v>
      </c>
      <c r="C11" s="1772" t="s">
        <v>1623</v>
      </c>
      <c r="D11" s="1776"/>
      <c r="E11" s="1786">
        <f>IF(OR(A11=0,F11="否"),0,'数据-取费表'!K11+'数据-取费表'!S11)</f>
        <v>0</v>
      </c>
      <c r="F11" s="1787" t="s">
        <v>1630</v>
      </c>
      <c r="G11" s="1769"/>
      <c r="H11" s="1769"/>
      <c r="I11" s="1769"/>
      <c r="J11" s="1769"/>
      <c r="K11" s="1769"/>
      <c r="L11" s="1769"/>
      <c r="M11" s="1769"/>
      <c r="N11" s="1769"/>
      <c r="O11" s="1769"/>
      <c r="P11" s="1769"/>
      <c r="Q11" s="1769"/>
      <c r="R11" s="1769"/>
      <c r="S11" s="1769"/>
    </row>
    <row r="12" spans="1:19">
      <c r="A12" s="1785">
        <f>'数据-取费表'!AN12</f>
        <v>0</v>
      </c>
      <c r="B12" s="994" t="e">
        <f ca="1">IF(F12="是",'数据-取费表'!AO12,0)</f>
        <v>#REF!</v>
      </c>
      <c r="C12" s="1772" t="s">
        <v>1623</v>
      </c>
      <c r="D12" s="1776"/>
      <c r="E12" s="1786">
        <f>IF(OR(A12=0,F12="否"),0,'数据-取费表'!K12+'数据-取费表'!S12)</f>
        <v>0</v>
      </c>
      <c r="F12" s="1787" t="s">
        <v>1630</v>
      </c>
      <c r="G12" s="1769"/>
      <c r="H12" s="1769"/>
      <c r="I12" s="1769"/>
      <c r="J12" s="1769"/>
      <c r="K12" s="1769"/>
      <c r="L12" s="1769"/>
      <c r="M12" s="1769"/>
      <c r="N12" s="1769"/>
      <c r="O12" s="1769"/>
      <c r="P12" s="1769"/>
      <c r="Q12" s="1769"/>
      <c r="R12" s="1769"/>
      <c r="S12" s="1769"/>
    </row>
    <row r="13" ht="15" spans="1:19">
      <c r="A13" s="1788">
        <f>'数据-取费表'!AN13</f>
        <v>0</v>
      </c>
      <c r="B13" s="994" t="e">
        <f ca="1">IF(F13="是",'数据-取费表'!AO13,0)</f>
        <v>#REF!</v>
      </c>
      <c r="C13" s="1789" t="s">
        <v>1623</v>
      </c>
      <c r="D13" s="1790"/>
      <c r="E13" s="1786">
        <f>IF(OR(A13=0,F13="否"),0,'数据-取费表'!K13+'数据-取费表'!S13)</f>
        <v>0</v>
      </c>
      <c r="F13" s="1787" t="s">
        <v>1630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受贵公司委托，我公司对北京市房地产抵押价值进行了预评估。</v>
      </c>
    </row>
    <row r="5" ht="18.75" spans="1:1">
      <c r="A5" s="3700" t="s">
        <v>83</v>
      </c>
    </row>
    <row r="6" ht="18.75" spans="1:1">
      <c r="A6" s="3701" t="s">
        <v>84</v>
      </c>
    </row>
    <row r="7" ht="37.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估价对象为北京市房地产，为所有。根据《国有土地使用证》[]，估价对象（分摊）出让国有建设用地使用权面积为0平方米，建筑面积为373.87平方米。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估价对象为北京市房地产,属开发建设的，该项目尚在开发建设中。根据《国有土地使用证》[]，估价对象（分摊）出让国有建设用地使用权面积为0平方米，规划建筑面积为373.87平方米。</v>
      </c>
    </row>
    <row r="11" ht="75" spans="1:1">
      <c r="A11" s="3702" t="s">
        <v>87</v>
      </c>
    </row>
    <row r="12" ht="18.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4" t="s">
        <v>89</v>
      </c>
    </row>
    <row r="15" ht="18" spans="1:1">
      <c r="A15" s="3705" t="str">
        <f>TEXT(项目基本情况!D3,"yyyy年m月d日;;")&amp;IF(项目基本情况!D3=项目基本情况!B3,"（评估专业人员实地查勘之日）","")</f>
        <v>2025年10月30日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4" t="s">
        <v>92</v>
      </c>
    </row>
    <row r="24" ht="18" spans="1:1">
      <c r="A24" s="3653" t="str">
        <f>"本次评估采用的主估价方法为"&amp;结果表!K4&amp;"和"&amp;结果表!L4&amp;"。"</f>
        <v>本次评估采用的主估价方法为比较法和收益法。</v>
      </c>
    </row>
    <row r="25" ht="18" spans="1:1">
      <c r="A25" s="3653"/>
    </row>
    <row r="26" ht="18.75" spans="1:1">
      <c r="A26" s="3706"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1631</v>
      </c>
      <c r="C1" s="1611" t="s">
        <v>1378</v>
      </c>
      <c r="D1" s="1554"/>
      <c r="E1" s="1734"/>
      <c r="F1" s="1556"/>
      <c r="G1" s="1557" t="s">
        <v>1381</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1382</v>
      </c>
      <c r="D3" s="1565">
        <f>IF(D1="",'数据-汇总表'!E3,SUMIF('数据-汇总表'!$C19:$C33,D1,'数据-汇总表'!$E19:$E33))</f>
        <v>373.87</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1396</v>
      </c>
      <c r="B7" s="1170"/>
      <c r="C7" s="1171">
        <f>'数据-取费表'!B2</f>
        <v>45960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6" si="3">D8/F8</f>
        <v>1</v>
      </c>
      <c r="AB8" s="1393">
        <f t="shared" ref="AB8:AB46" si="4">D8/H8</f>
        <v>1</v>
      </c>
      <c r="AC8" s="1393">
        <f t="shared" ref="AC8:AC46" si="5">D8/J8</f>
        <v>1</v>
      </c>
    </row>
    <row r="9" s="1132" customFormat="1" spans="1:29">
      <c r="A9" s="1177" t="s">
        <v>1403</v>
      </c>
      <c r="B9" s="1178" t="s">
        <v>1404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68.25" spans="1:29">
      <c r="A15" s="1199" t="s">
        <v>1409</v>
      </c>
      <c r="B15" s="1520" t="s">
        <v>1632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1411</v>
      </c>
      <c r="Q15" s="717" t="str">
        <f t="shared" si="6"/>
        <v>商业繁华度</v>
      </c>
      <c r="R15" s="1379" t="s">
        <v>1398</v>
      </c>
      <c r="S15" s="1380">
        <f t="shared" si="0"/>
        <v>100</v>
      </c>
      <c r="T15" s="1379" t="s">
        <v>1398</v>
      </c>
      <c r="U15" s="1380">
        <f t="shared" si="1"/>
        <v>100</v>
      </c>
      <c r="V15" s="1379" t="s">
        <v>1398</v>
      </c>
      <c r="W15" s="1380">
        <f t="shared" si="2"/>
        <v>100</v>
      </c>
      <c r="X15" s="1366"/>
      <c r="Y15" s="1331" t="s">
        <v>1411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1415</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1398</v>
      </c>
      <c r="S25" s="1380">
        <f>F25</f>
        <v>100</v>
      </c>
      <c r="T25" s="1379" t="s">
        <v>1398</v>
      </c>
      <c r="U25" s="1380">
        <f>H25</f>
        <v>100</v>
      </c>
      <c r="V25" s="1379" t="s">
        <v>1398</v>
      </c>
      <c r="W25" s="1380">
        <f>J25</f>
        <v>100</v>
      </c>
      <c r="X25" s="1366"/>
      <c r="Y25" s="1332"/>
      <c r="Z25" s="1353" t="str">
        <f>Q25</f>
        <v>临街状况</v>
      </c>
      <c r="AA25" s="1395">
        <f t="shared" si="3"/>
        <v>1</v>
      </c>
      <c r="AB25" s="1395">
        <f t="shared" si="4"/>
        <v>1</v>
      </c>
      <c r="AC25" s="1395">
        <f t="shared" si="5"/>
        <v>1</v>
      </c>
    </row>
    <row r="26" ht="15" spans="1:29">
      <c r="A26" s="1185"/>
      <c r="B26" s="1528" t="s">
        <v>1634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1398</v>
      </c>
      <c r="S26" s="1380">
        <f>F26</f>
        <v>100</v>
      </c>
      <c r="T26" s="1379" t="s">
        <v>1398</v>
      </c>
      <c r="U26" s="1380">
        <f>H26</f>
        <v>100</v>
      </c>
      <c r="V26" s="1379" t="s">
        <v>1398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1398</v>
      </c>
      <c r="S27" s="1375">
        <f>F27</f>
        <v>100</v>
      </c>
      <c r="T27" s="1374" t="s">
        <v>1398</v>
      </c>
      <c r="U27" s="1375">
        <f>H27</f>
        <v>100</v>
      </c>
      <c r="V27" s="1374" t="s">
        <v>1398</v>
      </c>
      <c r="W27" s="1375">
        <f>J27</f>
        <v>100</v>
      </c>
      <c r="X27" s="1376"/>
      <c r="Y27" s="1332"/>
      <c r="Z27" s="1394" t="str">
        <f>Q27</f>
        <v>人流量</v>
      </c>
      <c r="AA27" s="1395">
        <f t="shared" si="3"/>
        <v>1</v>
      </c>
      <c r="AB27" s="1395">
        <f t="shared" si="4"/>
        <v>1</v>
      </c>
      <c r="AC27" s="1395">
        <f t="shared" si="5"/>
        <v>1</v>
      </c>
    </row>
    <row r="28" ht="15" spans="1:29">
      <c r="A28" s="1185"/>
      <c r="B28" s="1182" t="s">
        <v>1479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1398</v>
      </c>
      <c r="S28" s="1380">
        <f t="shared" ref="S28:S46" si="12">F28</f>
        <v>100</v>
      </c>
      <c r="T28" s="1379" t="s">
        <v>1398</v>
      </c>
      <c r="U28" s="1380">
        <f t="shared" ref="U28:U46" si="13">H28</f>
        <v>100</v>
      </c>
      <c r="V28" s="1379" t="s">
        <v>1398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1395">
        <f t="shared" si="5"/>
        <v>1</v>
      </c>
    </row>
    <row r="32" ht="15" spans="1:29">
      <c r="A32" s="1199" t="s">
        <v>1418</v>
      </c>
      <c r="B32" s="1178" t="s">
        <v>1636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1420</v>
      </c>
      <c r="Q32" s="717" t="str">
        <f t="shared" si="11"/>
        <v>商业类型</v>
      </c>
      <c r="R32" s="1379" t="s">
        <v>1398</v>
      </c>
      <c r="S32" s="1380">
        <f t="shared" si="12"/>
        <v>100</v>
      </c>
      <c r="T32" s="1379" t="s">
        <v>1398</v>
      </c>
      <c r="U32" s="1380">
        <f t="shared" si="13"/>
        <v>100</v>
      </c>
      <c r="V32" s="1379" t="s">
        <v>1398</v>
      </c>
      <c r="W32" s="1380">
        <f t="shared" si="14"/>
        <v>100</v>
      </c>
      <c r="X32" s="1366"/>
      <c r="Y32" s="1341" t="s">
        <v>1420</v>
      </c>
      <c r="Z32" s="1353" t="str">
        <f t="shared" si="15"/>
        <v>商业类型</v>
      </c>
      <c r="AA32" s="1395">
        <f t="shared" si="3"/>
        <v>1</v>
      </c>
      <c r="AB32" s="1395">
        <f t="shared" si="4"/>
        <v>1</v>
      </c>
      <c r="AC32" s="1395">
        <f t="shared" si="5"/>
        <v>1</v>
      </c>
    </row>
    <row r="33" s="1134" customFormat="1" ht="15" spans="1:29">
      <c r="A33" s="1241"/>
      <c r="B33" s="1182" t="s">
        <v>1421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5"/>
        <v>建筑结构</v>
      </c>
      <c r="AA34" s="1395">
        <f t="shared" si="3"/>
        <v>1</v>
      </c>
      <c r="AB34" s="1395">
        <f t="shared" si="4"/>
        <v>1</v>
      </c>
      <c r="AC34" s="1395">
        <f t="shared" si="5"/>
        <v>1</v>
      </c>
    </row>
    <row r="35" ht="15" spans="1:29">
      <c r="A35" s="1236"/>
      <c r="B35" s="1182" t="s">
        <v>1424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1398</v>
      </c>
      <c r="S35" s="1380">
        <f t="shared" si="12"/>
        <v>100</v>
      </c>
      <c r="T35" s="1379" t="s">
        <v>1398</v>
      </c>
      <c r="U35" s="1380">
        <f t="shared" si="13"/>
        <v>100</v>
      </c>
      <c r="V35" s="1379" t="s">
        <v>1398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1398</v>
      </c>
      <c r="S36" s="1380" t="e">
        <f t="shared" si="12"/>
        <v>#N/A</v>
      </c>
      <c r="T36" s="1379" t="s">
        <v>1398</v>
      </c>
      <c r="U36" s="1380" t="e">
        <f t="shared" si="13"/>
        <v>#N/A</v>
      </c>
      <c r="V36" s="1379" t="s">
        <v>1398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1426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1398</v>
      </c>
      <c r="S37" s="1375">
        <f t="shared" si="12"/>
        <v>100</v>
      </c>
      <c r="T37" s="1374" t="s">
        <v>1398</v>
      </c>
      <c r="U37" s="1375">
        <f t="shared" si="13"/>
        <v>100</v>
      </c>
      <c r="V37" s="1374" t="s">
        <v>1398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1637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1420</v>
      </c>
      <c r="Q38" s="717" t="str">
        <f t="shared" si="11"/>
        <v>业态</v>
      </c>
      <c r="R38" s="1379" t="s">
        <v>1398</v>
      </c>
      <c r="S38" s="1380">
        <f t="shared" si="12"/>
        <v>100</v>
      </c>
      <c r="T38" s="1379" t="s">
        <v>1398</v>
      </c>
      <c r="U38" s="1380">
        <f t="shared" si="13"/>
        <v>100</v>
      </c>
      <c r="V38" s="1379" t="s">
        <v>1398</v>
      </c>
      <c r="W38" s="1380">
        <f t="shared" si="14"/>
        <v>100</v>
      </c>
      <c r="X38" s="1366"/>
      <c r="Y38" s="1341" t="s">
        <v>1420</v>
      </c>
      <c r="Z38" s="1353" t="str">
        <f t="shared" si="15"/>
        <v>业态</v>
      </c>
      <c r="AA38" s="1395">
        <f t="shared" si="3"/>
        <v>1</v>
      </c>
      <c r="AB38" s="1395">
        <f t="shared" si="4"/>
        <v>1</v>
      </c>
      <c r="AC38" s="1395">
        <f t="shared" si="5"/>
        <v>1</v>
      </c>
    </row>
    <row r="39" ht="15" spans="1:29">
      <c r="A39" s="1236"/>
      <c r="B39" s="1182" t="s">
        <v>1485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1398</v>
      </c>
      <c r="S39" s="1380">
        <f t="shared" si="12"/>
        <v>100</v>
      </c>
      <c r="T39" s="1379" t="s">
        <v>1398</v>
      </c>
      <c r="U39" s="1380">
        <f t="shared" si="13"/>
        <v>100</v>
      </c>
      <c r="V39" s="1379" t="s">
        <v>1398</v>
      </c>
      <c r="W39" s="1380">
        <f t="shared" si="14"/>
        <v>100</v>
      </c>
      <c r="X39" s="1366"/>
      <c r="Y39" s="1341"/>
      <c r="Z39" s="1353" t="str">
        <f t="shared" si="15"/>
        <v>层高</v>
      </c>
      <c r="AA39" s="1395">
        <f t="shared" si="3"/>
        <v>1</v>
      </c>
      <c r="AB39" s="1395">
        <f t="shared" si="4"/>
        <v>1</v>
      </c>
      <c r="AC39" s="1395">
        <f t="shared" si="5"/>
        <v>1</v>
      </c>
    </row>
    <row r="40" ht="15" spans="1:29">
      <c r="A40" s="1236"/>
      <c r="B40" s="1182" t="s">
        <v>1490</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1398</v>
      </c>
      <c r="S40" s="1380">
        <f t="shared" si="12"/>
        <v>100</v>
      </c>
      <c r="T40" s="1379" t="s">
        <v>1398</v>
      </c>
      <c r="U40" s="1380">
        <f t="shared" si="13"/>
        <v>100</v>
      </c>
      <c r="V40" s="1379" t="s">
        <v>1398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1638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1398</v>
      </c>
      <c r="S41" s="1382">
        <f t="shared" si="12"/>
        <v>100</v>
      </c>
      <c r="T41" s="1381" t="s">
        <v>1398</v>
      </c>
      <c r="U41" s="1382">
        <f t="shared" si="13"/>
        <v>100</v>
      </c>
      <c r="V41" s="1381" t="s">
        <v>1398</v>
      </c>
      <c r="W41" s="1382">
        <f t="shared" si="14"/>
        <v>100</v>
      </c>
      <c r="X41" s="1383"/>
      <c r="Y41" s="1341"/>
      <c r="Z41" s="1396" t="str">
        <f t="shared" si="15"/>
        <v>进深比</v>
      </c>
      <c r="AA41" s="1395">
        <f t="shared" si="3"/>
        <v>1</v>
      </c>
      <c r="AB41" s="1395">
        <f t="shared" si="4"/>
        <v>1</v>
      </c>
      <c r="AC41" s="1395">
        <f t="shared" si="5"/>
        <v>1</v>
      </c>
    </row>
    <row r="42" ht="15" spans="1:29">
      <c r="A42" s="1236"/>
      <c r="B42" s="1182" t="s">
        <v>1429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5"/>
        <v>内部装修</v>
      </c>
      <c r="AA42" s="1395">
        <f t="shared" si="3"/>
        <v>1</v>
      </c>
      <c r="AB42" s="1395">
        <f t="shared" si="4"/>
        <v>1</v>
      </c>
      <c r="AC42" s="1395">
        <f t="shared" si="5"/>
        <v>1</v>
      </c>
    </row>
    <row r="43" ht="15" spans="1:29">
      <c r="A43" s="1236"/>
      <c r="B43" s="1182" t="s">
        <v>1430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5"/>
        <v>111</v>
      </c>
      <c r="AA46" s="1395">
        <f t="shared" si="3"/>
        <v>1</v>
      </c>
      <c r="AB46" s="1395">
        <f t="shared" si="4"/>
        <v>1</v>
      </c>
      <c r="AC46" s="1395">
        <f t="shared" si="5"/>
        <v>1</v>
      </c>
    </row>
    <row r="47" ht="15" spans="1:29">
      <c r="A47" s="1243" t="s">
        <v>1431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1432</v>
      </c>
      <c r="B48" s="1598"/>
      <c r="C48" s="1599" t="e">
        <f>R49</f>
        <v>#DIV/0!</v>
      </c>
      <c r="D48" s="1254" t="s">
        <v>1433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1434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1435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1436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1437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1438</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1396</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1439</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1399</v>
      </c>
      <c r="B61" s="1409"/>
      <c r="C61" s="1410" t="s">
        <v>1440</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1441</v>
      </c>
      <c r="B63" s="1415" t="s">
        <v>1404</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1407</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1409</v>
      </c>
      <c r="B76" s="1415" t="s">
        <v>1410</v>
      </c>
      <c r="C76" s="1436" t="s">
        <v>1442</v>
      </c>
      <c r="D76" s="1436" t="s">
        <v>1443</v>
      </c>
      <c r="E76" s="1436" t="s">
        <v>1444</v>
      </c>
      <c r="F76" s="1436" t="s">
        <v>1445</v>
      </c>
      <c r="G76" s="1436" t="s">
        <v>1446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1412</v>
      </c>
      <c r="C78" s="1438" t="s">
        <v>1442</v>
      </c>
      <c r="D78" s="1438" t="s">
        <v>1443</v>
      </c>
      <c r="E78" s="1438" t="s">
        <v>1444</v>
      </c>
      <c r="F78" s="1438" t="s">
        <v>1445</v>
      </c>
      <c r="G78" s="1438" t="s">
        <v>1446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1413</v>
      </c>
      <c r="C80" s="1438" t="s">
        <v>1442</v>
      </c>
      <c r="D80" s="1438" t="s">
        <v>1443</v>
      </c>
      <c r="E80" s="1438" t="s">
        <v>1444</v>
      </c>
      <c r="F80" s="1438" t="s">
        <v>1445</v>
      </c>
      <c r="G80" s="1438" t="s">
        <v>1446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1414</v>
      </c>
      <c r="C82" s="1443" t="s">
        <v>1447</v>
      </c>
      <c r="D82" s="1443" t="s">
        <v>1448</v>
      </c>
      <c r="E82" s="1443" t="s">
        <v>1449</v>
      </c>
      <c r="F82" s="1443" t="s">
        <v>1450</v>
      </c>
      <c r="G82" s="1443" t="s">
        <v>1451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1415</v>
      </c>
      <c r="C84" s="1438" t="s">
        <v>1442</v>
      </c>
      <c r="D84" s="1438" t="s">
        <v>1443</v>
      </c>
      <c r="E84" s="1438" t="s">
        <v>1444</v>
      </c>
      <c r="F84" s="1438" t="s">
        <v>1445</v>
      </c>
      <c r="G84" s="1438" t="s">
        <v>1446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1418</v>
      </c>
      <c r="B100" s="1415" t="s">
        <v>1636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1424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1426</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1637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1485</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1490</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1639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1429</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1430</v>
      </c>
      <c r="C124" s="1438" t="s">
        <v>1442</v>
      </c>
      <c r="D124" s="1438" t="s">
        <v>1443</v>
      </c>
      <c r="E124" s="1438" t="s">
        <v>1444</v>
      </c>
      <c r="F124" s="1438" t="s">
        <v>1445</v>
      </c>
      <c r="G124" s="1438" t="s">
        <v>1446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1640</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1382</v>
      </c>
      <c r="D3" s="1565">
        <f>IF(D1="",'数据-汇总表'!E3,SUMIF('数据-汇总表'!$C19:$C33,D1,'数据-汇总表'!$E19:$E33))</f>
        <v>373.87</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0" si="3">D8/F8</f>
        <v>1</v>
      </c>
      <c r="AB8" s="1393">
        <f t="shared" ref="AB8:AB40" si="4">D8/H8</f>
        <v>1</v>
      </c>
      <c r="AC8" s="1393">
        <f t="shared" ref="AC8:AC40" si="5">D8/J8</f>
        <v>1</v>
      </c>
    </row>
    <row r="9" s="1132" customFormat="1" spans="1:29">
      <c r="A9" s="1177" t="s">
        <v>1403</v>
      </c>
      <c r="B9" s="1178" t="s">
        <v>1404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520" t="s">
        <v>1641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1477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1398</v>
      </c>
      <c r="S25" s="1380">
        <f>F25</f>
        <v>100</v>
      </c>
      <c r="T25" s="1379" t="s">
        <v>1398</v>
      </c>
      <c r="U25" s="1380">
        <f>H25</f>
        <v>100</v>
      </c>
      <c r="V25" s="1379" t="s">
        <v>1398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1398</v>
      </c>
      <c r="S26" s="1380">
        <f>F26</f>
        <v>100</v>
      </c>
      <c r="T26" s="1379" t="s">
        <v>1398</v>
      </c>
      <c r="U26" s="1380">
        <f>H26</f>
        <v>100</v>
      </c>
      <c r="V26" s="1379" t="s">
        <v>1398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1398</v>
      </c>
      <c r="S27" s="1375">
        <f>F27</f>
        <v>100</v>
      </c>
      <c r="T27" s="1374" t="s">
        <v>1398</v>
      </c>
      <c r="U27" s="1375">
        <f>H27</f>
        <v>100</v>
      </c>
      <c r="V27" s="1374" t="s">
        <v>1398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1398</v>
      </c>
      <c r="S28" s="1380">
        <f t="shared" ref="S28:S40" si="12">F28</f>
        <v>100</v>
      </c>
      <c r="T28" s="1379" t="s">
        <v>1398</v>
      </c>
      <c r="U28" s="1380">
        <f t="shared" ref="U28:U40" si="13">H28</f>
        <v>100</v>
      </c>
      <c r="V28" s="1379" t="s">
        <v>1398</v>
      </c>
      <c r="W28" s="1380">
        <f t="shared" ref="W28:W40" si="14">J28</f>
        <v>100</v>
      </c>
      <c r="X28" s="1366"/>
      <c r="Y28" s="1332"/>
      <c r="Z28" s="1353">
        <f t="shared" ref="Z28:Z40" si="15">Q28</f>
        <v>111</v>
      </c>
      <c r="AA28" s="1395">
        <f t="shared" si="3"/>
        <v>1</v>
      </c>
      <c r="AB28" s="1395">
        <f t="shared" si="4"/>
        <v>1</v>
      </c>
      <c r="AC28" s="1395">
        <f t="shared" si="5"/>
        <v>1</v>
      </c>
    </row>
    <row r="29" ht="28.5" spans="1:29">
      <c r="A29" s="1581" t="s">
        <v>1418</v>
      </c>
      <c r="B29" s="1178" t="s">
        <v>1419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1420</v>
      </c>
      <c r="Q29" s="717" t="str">
        <f t="shared" si="11"/>
        <v>建筑类型</v>
      </c>
      <c r="R29" s="1379" t="s">
        <v>1398</v>
      </c>
      <c r="S29" s="1380">
        <f t="shared" si="12"/>
        <v>100</v>
      </c>
      <c r="T29" s="1379" t="s">
        <v>1398</v>
      </c>
      <c r="U29" s="1380">
        <f t="shared" si="13"/>
        <v>100</v>
      </c>
      <c r="V29" s="1379" t="s">
        <v>1398</v>
      </c>
      <c r="W29" s="1380">
        <f t="shared" si="14"/>
        <v>100</v>
      </c>
      <c r="X29" s="1366"/>
      <c r="Y29" s="1341" t="s">
        <v>1420</v>
      </c>
      <c r="Z29" s="1353" t="str">
        <f t="shared" si="15"/>
        <v>建筑类型</v>
      </c>
      <c r="AA29" s="1395">
        <f t="shared" si="3"/>
        <v>1</v>
      </c>
      <c r="AB29" s="1395">
        <f t="shared" si="4"/>
        <v>1</v>
      </c>
      <c r="AC29" s="1395">
        <f t="shared" si="5"/>
        <v>1</v>
      </c>
    </row>
    <row r="30" s="1134" customFormat="1" ht="15" spans="1:29">
      <c r="A30" s="1241"/>
      <c r="B30" s="1182" t="s">
        <v>1421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1398</v>
      </c>
      <c r="S30" s="1382" t="e">
        <f t="shared" si="12"/>
        <v>#N/A</v>
      </c>
      <c r="T30" s="1381" t="s">
        <v>1398</v>
      </c>
      <c r="U30" s="1382" t="e">
        <f t="shared" si="13"/>
        <v>#N/A</v>
      </c>
      <c r="V30" s="1381" t="s">
        <v>1398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1398</v>
      </c>
      <c r="S31" s="1380">
        <f t="shared" si="12"/>
        <v>100</v>
      </c>
      <c r="T31" s="1379" t="s">
        <v>1398</v>
      </c>
      <c r="U31" s="1380">
        <f t="shared" si="13"/>
        <v>100</v>
      </c>
      <c r="V31" s="1379" t="s">
        <v>1398</v>
      </c>
      <c r="W31" s="1380">
        <f t="shared" si="14"/>
        <v>100</v>
      </c>
      <c r="X31" s="1366"/>
      <c r="Y31" s="1341"/>
      <c r="Z31" s="1353" t="str">
        <f t="shared" si="15"/>
        <v>建筑结构</v>
      </c>
      <c r="AA31" s="1395">
        <f t="shared" si="3"/>
        <v>1</v>
      </c>
      <c r="AB31" s="1395">
        <f t="shared" si="4"/>
        <v>1</v>
      </c>
      <c r="AC31" s="1395">
        <f t="shared" si="5"/>
        <v>1</v>
      </c>
    </row>
    <row r="32" ht="15" spans="1:29">
      <c r="A32" s="1236"/>
      <c r="B32" s="1182" t="s">
        <v>1424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1398</v>
      </c>
      <c r="S32" s="1380">
        <f t="shared" si="12"/>
        <v>100</v>
      </c>
      <c r="T32" s="1379" t="s">
        <v>1398</v>
      </c>
      <c r="U32" s="1380">
        <f t="shared" si="13"/>
        <v>100</v>
      </c>
      <c r="V32" s="1379" t="s">
        <v>1398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1398</v>
      </c>
      <c r="S33" s="1380" t="e">
        <f t="shared" si="12"/>
        <v>#N/A</v>
      </c>
      <c r="T33" s="1379" t="s">
        <v>1398</v>
      </c>
      <c r="U33" s="1380" t="e">
        <f t="shared" si="13"/>
        <v>#N/A</v>
      </c>
      <c r="V33" s="1379" t="s">
        <v>1398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1425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1398</v>
      </c>
      <c r="S34" s="1375">
        <f t="shared" si="12"/>
        <v>100</v>
      </c>
      <c r="T34" s="1374" t="s">
        <v>1398</v>
      </c>
      <c r="U34" s="1375">
        <f t="shared" si="13"/>
        <v>100</v>
      </c>
      <c r="V34" s="1374" t="s">
        <v>1398</v>
      </c>
      <c r="W34" s="1375">
        <f t="shared" si="14"/>
        <v>100</v>
      </c>
      <c r="X34" s="1376"/>
      <c r="Y34" s="1341"/>
      <c r="Z34" s="1394" t="str">
        <f t="shared" si="15"/>
        <v>物业管理</v>
      </c>
      <c r="AA34" s="1393">
        <f t="shared" si="3"/>
        <v>1</v>
      </c>
      <c r="AB34" s="1393">
        <f t="shared" si="4"/>
        <v>1</v>
      </c>
      <c r="AC34" s="1393">
        <f t="shared" si="5"/>
        <v>1</v>
      </c>
    </row>
    <row r="35" ht="15" spans="1:29">
      <c r="A35" s="1236"/>
      <c r="B35" s="1182" t="s">
        <v>1426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1420</v>
      </c>
      <c r="Q35" s="717" t="str">
        <f t="shared" si="11"/>
        <v>市政基础设施</v>
      </c>
      <c r="R35" s="1379" t="s">
        <v>1398</v>
      </c>
      <c r="S35" s="1380">
        <f t="shared" si="12"/>
        <v>100</v>
      </c>
      <c r="T35" s="1379" t="s">
        <v>1398</v>
      </c>
      <c r="U35" s="1380">
        <f t="shared" si="13"/>
        <v>100</v>
      </c>
      <c r="V35" s="1379" t="s">
        <v>1398</v>
      </c>
      <c r="W35" s="1380">
        <f t="shared" si="14"/>
        <v>100</v>
      </c>
      <c r="X35" s="1366"/>
      <c r="Y35" s="1341" t="s">
        <v>1420</v>
      </c>
      <c r="Z35" s="1353" t="str">
        <f t="shared" si="15"/>
        <v>市政基础设施</v>
      </c>
      <c r="AA35" s="1395">
        <f t="shared" si="3"/>
        <v>1</v>
      </c>
      <c r="AB35" s="1395">
        <f t="shared" si="4"/>
        <v>1</v>
      </c>
      <c r="AC35" s="1395">
        <f t="shared" si="5"/>
        <v>1</v>
      </c>
    </row>
    <row r="36" ht="15" spans="1:29">
      <c r="A36" s="1236"/>
      <c r="B36" s="1182" t="s">
        <v>1429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1398</v>
      </c>
      <c r="S36" s="1380">
        <f t="shared" si="12"/>
        <v>100</v>
      </c>
      <c r="T36" s="1379" t="s">
        <v>1398</v>
      </c>
      <c r="U36" s="1380">
        <f t="shared" si="13"/>
        <v>100</v>
      </c>
      <c r="V36" s="1379" t="s">
        <v>1398</v>
      </c>
      <c r="W36" s="1380">
        <f t="shared" si="14"/>
        <v>100</v>
      </c>
      <c r="X36" s="1366"/>
      <c r="Y36" s="1341"/>
      <c r="Z36" s="1353" t="str">
        <f t="shared" si="15"/>
        <v>内部装修</v>
      </c>
      <c r="AA36" s="1395">
        <f t="shared" si="3"/>
        <v>1</v>
      </c>
      <c r="AB36" s="1395">
        <f t="shared" si="4"/>
        <v>1</v>
      </c>
      <c r="AC36" s="1395">
        <f t="shared" si="5"/>
        <v>1</v>
      </c>
    </row>
    <row r="37" ht="15" spans="1:29">
      <c r="A37" s="1236"/>
      <c r="B37" s="1182" t="s">
        <v>1642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1398</v>
      </c>
      <c r="S37" s="1380">
        <f t="shared" si="12"/>
        <v>100</v>
      </c>
      <c r="T37" s="1379" t="s">
        <v>1398</v>
      </c>
      <c r="U37" s="1380">
        <f t="shared" si="13"/>
        <v>100</v>
      </c>
      <c r="V37" s="1379" t="s">
        <v>1398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1398</v>
      </c>
      <c r="S38" s="1382">
        <f t="shared" si="12"/>
        <v>100</v>
      </c>
      <c r="T38" s="1381" t="s">
        <v>1398</v>
      </c>
      <c r="U38" s="1382">
        <f t="shared" si="13"/>
        <v>100</v>
      </c>
      <c r="V38" s="1381" t="s">
        <v>1398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1398</v>
      </c>
      <c r="S39" s="1380">
        <f t="shared" si="12"/>
        <v>100</v>
      </c>
      <c r="T39" s="1379" t="s">
        <v>1398</v>
      </c>
      <c r="U39" s="1380">
        <f t="shared" si="13"/>
        <v>100</v>
      </c>
      <c r="V39" s="1379" t="s">
        <v>1398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1398</v>
      </c>
      <c r="S40" s="1380">
        <f t="shared" si="12"/>
        <v>100</v>
      </c>
      <c r="T40" s="1379" t="s">
        <v>1398</v>
      </c>
      <c r="U40" s="1380">
        <f t="shared" si="13"/>
        <v>100</v>
      </c>
      <c r="V40" s="1379" t="s">
        <v>1398</v>
      </c>
      <c r="W40" s="1380">
        <f t="shared" si="14"/>
        <v>100</v>
      </c>
      <c r="X40" s="1366"/>
      <c r="Y40" s="1707"/>
      <c r="Z40" s="1353">
        <f t="shared" si="15"/>
        <v>111</v>
      </c>
      <c r="AA40" s="1395">
        <f t="shared" si="3"/>
        <v>1</v>
      </c>
      <c r="AB40" s="1395">
        <f t="shared" si="4"/>
        <v>1</v>
      </c>
      <c r="AC40" s="1395">
        <f t="shared" si="5"/>
        <v>1</v>
      </c>
    </row>
    <row r="41" ht="15" spans="1:29">
      <c r="A41" s="1243" t="s">
        <v>1431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1432</v>
      </c>
      <c r="B42" s="1598"/>
      <c r="C42" s="1599" t="e">
        <f>R43</f>
        <v>#DIV/0!</v>
      </c>
      <c r="D42" s="1254" t="s">
        <v>1433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1434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1438</v>
      </c>
      <c r="B51" s="1301"/>
      <c r="C51" s="1302"/>
      <c r="D51" s="1302"/>
      <c r="E51" s="1302"/>
      <c r="F51" s="1303"/>
      <c r="G51" s="1303"/>
      <c r="H51" s="1302"/>
      <c r="I51" s="1302"/>
      <c r="J51" s="1302"/>
      <c r="K51" s="1546"/>
      <c r="L51" s="1547"/>
      <c r="M51" s="1361"/>
      <c r="N51" s="1361"/>
      <c r="O51" s="1361"/>
      <c r="P51" s="1711"/>
      <c r="Q51" s="1713"/>
    </row>
    <row r="52" s="1137" customFormat="1" ht="15" spans="1:16">
      <c r="A52" s="1603" t="s">
        <v>1396</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1439</v>
      </c>
      <c r="B54" s="1405"/>
      <c r="C54" s="1406"/>
      <c r="D54" s="1407"/>
      <c r="E54" s="1407"/>
      <c r="F54" s="1407"/>
      <c r="G54" s="1407"/>
      <c r="H54" s="1407"/>
      <c r="I54" s="1407"/>
      <c r="J54" s="1407"/>
      <c r="K54" s="1407"/>
      <c r="L54" s="1407"/>
      <c r="M54" s="1455"/>
      <c r="N54" s="1714"/>
      <c r="O54" s="1715"/>
      <c r="P54" s="1713"/>
      <c r="Q54" s="1713"/>
    </row>
    <row r="55" s="1132" customFormat="1" ht="15" spans="1:17">
      <c r="A55" s="1408" t="s">
        <v>1399</v>
      </c>
      <c r="B55" s="1409"/>
      <c r="C55" s="1410" t="s">
        <v>1440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1441</v>
      </c>
      <c r="B57" s="1415" t="s">
        <v>1404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1409</v>
      </c>
      <c r="B70" s="1415" t="s">
        <v>1641</v>
      </c>
      <c r="C70" s="1436" t="s">
        <v>1442</v>
      </c>
      <c r="D70" s="1436" t="s">
        <v>1443</v>
      </c>
      <c r="E70" s="1436" t="s">
        <v>1444</v>
      </c>
      <c r="F70" s="1436" t="s">
        <v>1445</v>
      </c>
      <c r="G70" s="1436" t="s">
        <v>1446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1412</v>
      </c>
      <c r="C72" s="1438" t="s">
        <v>1442</v>
      </c>
      <c r="D72" s="1438" t="s">
        <v>1443</v>
      </c>
      <c r="E72" s="1438" t="s">
        <v>1444</v>
      </c>
      <c r="F72" s="1438" t="s">
        <v>1445</v>
      </c>
      <c r="G72" s="1438" t="s">
        <v>1446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1413</v>
      </c>
      <c r="C74" s="1438" t="s">
        <v>1442</v>
      </c>
      <c r="D74" s="1438" t="s">
        <v>1443</v>
      </c>
      <c r="E74" s="1438" t="s">
        <v>1444</v>
      </c>
      <c r="F74" s="1438" t="s">
        <v>1445</v>
      </c>
      <c r="G74" s="1438" t="s">
        <v>1446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1414</v>
      </c>
      <c r="C76" s="1443" t="s">
        <v>1447</v>
      </c>
      <c r="D76" s="1443" t="s">
        <v>1448</v>
      </c>
      <c r="E76" s="1443" t="s">
        <v>1449</v>
      </c>
      <c r="F76" s="1443" t="s">
        <v>1450</v>
      </c>
      <c r="G76" s="1443" t="s">
        <v>1451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1477</v>
      </c>
      <c r="C78" s="1438" t="s">
        <v>1442</v>
      </c>
      <c r="D78" s="1438" t="s">
        <v>1443</v>
      </c>
      <c r="E78" s="1438" t="s">
        <v>1444</v>
      </c>
      <c r="F78" s="1438" t="s">
        <v>1445</v>
      </c>
      <c r="G78" s="1438" t="s">
        <v>1446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1418</v>
      </c>
      <c r="B88" s="1415" t="s">
        <v>1419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1424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1425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1426</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1429</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1643</v>
      </c>
      <c r="C106" s="1438" t="s">
        <v>1442</v>
      </c>
      <c r="D106" s="1438" t="s">
        <v>1443</v>
      </c>
      <c r="E106" s="1438" t="s">
        <v>1444</v>
      </c>
      <c r="F106" s="1438" t="s">
        <v>1445</v>
      </c>
      <c r="G106" s="1438" t="s">
        <v>1446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1645</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1382</v>
      </c>
      <c r="D3" s="1565">
        <f>SUMIF('数据-汇总表'!$C19:$C33,D1,'数据-汇总表'!$E19:$E33)</f>
        <v>0</v>
      </c>
      <c r="E3" s="1564" t="s">
        <v>1646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6" si="3">D8/F8</f>
        <v>1</v>
      </c>
      <c r="AB8" s="1393">
        <f t="shared" ref="AB8:AB36" si="4">D8/H8</f>
        <v>1</v>
      </c>
      <c r="AC8" s="1393">
        <f t="shared" ref="AC8:AC36" si="5">D8/J8</f>
        <v>1</v>
      </c>
    </row>
    <row r="9" s="1132" customFormat="1" spans="1:29">
      <c r="A9" s="1634" t="s">
        <v>1403</v>
      </c>
      <c r="B9" s="1635" t="s">
        <v>1404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637"/>
      <c r="B10" s="1638" t="s">
        <v>1407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51" t="s">
        <v>1409</v>
      </c>
      <c r="B14" s="1200" t="s">
        <v>1412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1415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1479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650" t="s">
        <v>1418</v>
      </c>
      <c r="B26" s="1651" t="s">
        <v>1647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1420</v>
      </c>
      <c r="Q26" s="717" t="str">
        <f t="shared" si="11"/>
        <v>配套类型</v>
      </c>
      <c r="R26" s="1379" t="s">
        <v>1398</v>
      </c>
      <c r="S26" s="1380">
        <f t="shared" ref="S26:S36" si="12">F26</f>
        <v>0</v>
      </c>
      <c r="T26" s="1379" t="s">
        <v>1398</v>
      </c>
      <c r="U26" s="1380">
        <f t="shared" ref="U26:U36" si="13">H26</f>
        <v>0</v>
      </c>
      <c r="V26" s="1379" t="s">
        <v>1398</v>
      </c>
      <c r="W26" s="1380">
        <f t="shared" ref="W26:W36" si="14">J26</f>
        <v>0</v>
      </c>
      <c r="X26" s="1366"/>
      <c r="Y26" s="1341" t="s">
        <v>1420</v>
      </c>
      <c r="Z26" s="1353" t="str">
        <f t="shared" ref="Z26:Z36" si="15">Q26</f>
        <v>配套类型</v>
      </c>
      <c r="AA26" s="1395" t="e">
        <f t="shared" si="3"/>
        <v>#DIV/0!</v>
      </c>
      <c r="AB26" s="1395" t="e">
        <f t="shared" si="4"/>
        <v>#DIV/0!</v>
      </c>
      <c r="AC26" s="1395" t="e">
        <f t="shared" si="5"/>
        <v>#DIV/0!</v>
      </c>
    </row>
    <row r="27" s="1134" customFormat="1" ht="15" spans="1:29">
      <c r="A27" s="1653"/>
      <c r="B27" s="1222" t="s">
        <v>1648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1398</v>
      </c>
      <c r="S27" s="1382">
        <f t="shared" si="12"/>
        <v>100</v>
      </c>
      <c r="T27" s="1381" t="s">
        <v>1398</v>
      </c>
      <c r="U27" s="1382">
        <f t="shared" si="13"/>
        <v>100</v>
      </c>
      <c r="V27" s="1381" t="s">
        <v>1398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1424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1398</v>
      </c>
      <c r="S28" s="1380">
        <f t="shared" si="12"/>
        <v>100</v>
      </c>
      <c r="T28" s="1379" t="s">
        <v>1398</v>
      </c>
      <c r="U28" s="1380">
        <f t="shared" si="13"/>
        <v>100</v>
      </c>
      <c r="V28" s="1379" t="s">
        <v>1398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1398</v>
      </c>
      <c r="S29" s="1380" t="e">
        <f t="shared" si="12"/>
        <v>#N/A</v>
      </c>
      <c r="T29" s="1379" t="s">
        <v>1398</v>
      </c>
      <c r="U29" s="1380" t="e">
        <f t="shared" si="13"/>
        <v>#N/A</v>
      </c>
      <c r="V29" s="1379" t="s">
        <v>1398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1398</v>
      </c>
      <c r="S30" s="1380">
        <f t="shared" si="12"/>
        <v>100</v>
      </c>
      <c r="T30" s="1379" t="s">
        <v>1398</v>
      </c>
      <c r="U30" s="1380">
        <f t="shared" si="13"/>
        <v>100</v>
      </c>
      <c r="V30" s="1379" t="s">
        <v>1398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1398</v>
      </c>
      <c r="S31" s="1375" t="e">
        <f t="shared" si="12"/>
        <v>#N/A</v>
      </c>
      <c r="T31" s="1374" t="s">
        <v>1398</v>
      </c>
      <c r="U31" s="1375" t="e">
        <f t="shared" si="13"/>
        <v>#N/A</v>
      </c>
      <c r="V31" s="1374" t="s">
        <v>1398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1420</v>
      </c>
      <c r="Q32" s="717" t="str">
        <f t="shared" si="11"/>
        <v>车位类型</v>
      </c>
      <c r="R32" s="1379" t="s">
        <v>1398</v>
      </c>
      <c r="S32" s="1380">
        <f t="shared" si="12"/>
        <v>100</v>
      </c>
      <c r="T32" s="1379" t="s">
        <v>1398</v>
      </c>
      <c r="U32" s="1380">
        <f t="shared" si="13"/>
        <v>100</v>
      </c>
      <c r="V32" s="1379" t="s">
        <v>1398</v>
      </c>
      <c r="W32" s="1380">
        <f t="shared" si="14"/>
        <v>100</v>
      </c>
      <c r="X32" s="1366"/>
      <c r="Y32" s="1341" t="s">
        <v>1420</v>
      </c>
      <c r="Z32" s="1353" t="str">
        <f t="shared" si="15"/>
        <v>车位类型</v>
      </c>
      <c r="AA32" s="1395">
        <f t="shared" si="3"/>
        <v>1</v>
      </c>
      <c r="AB32" s="1395">
        <f t="shared" si="4"/>
        <v>1</v>
      </c>
      <c r="AC32" s="1395">
        <f t="shared" si="5"/>
        <v>1</v>
      </c>
    </row>
    <row r="33" ht="15" spans="1:29">
      <c r="A33" s="1655"/>
      <c r="B33" s="1222" t="s">
        <v>1653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1398</v>
      </c>
      <c r="S33" s="1380">
        <f t="shared" si="12"/>
        <v>100</v>
      </c>
      <c r="T33" s="1379" t="s">
        <v>1398</v>
      </c>
      <c r="U33" s="1380">
        <f t="shared" si="13"/>
        <v>100</v>
      </c>
      <c r="V33" s="1379" t="s">
        <v>1398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1398</v>
      </c>
      <c r="S35" s="1382">
        <f t="shared" si="12"/>
        <v>100</v>
      </c>
      <c r="T35" s="1381" t="s">
        <v>1398</v>
      </c>
      <c r="U35" s="1382">
        <f t="shared" si="13"/>
        <v>100</v>
      </c>
      <c r="V35" s="1381" t="s">
        <v>1398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1398</v>
      </c>
      <c r="S36" s="1380">
        <f t="shared" si="12"/>
        <v>100</v>
      </c>
      <c r="T36" s="1379" t="s">
        <v>1398</v>
      </c>
      <c r="U36" s="1380">
        <f t="shared" si="13"/>
        <v>100</v>
      </c>
      <c r="V36" s="1379" t="s">
        <v>1398</v>
      </c>
      <c r="W36" s="1380">
        <f t="shared" si="14"/>
        <v>100</v>
      </c>
      <c r="X36" s="1366"/>
      <c r="Y36" s="1341"/>
      <c r="Z36" s="1353">
        <f t="shared" si="15"/>
        <v>111</v>
      </c>
      <c r="AA36" s="1395">
        <f t="shared" si="3"/>
        <v>1</v>
      </c>
      <c r="AB36" s="1395">
        <f t="shared" si="4"/>
        <v>1</v>
      </c>
      <c r="AC36" s="1395">
        <f t="shared" si="5"/>
        <v>1</v>
      </c>
    </row>
    <row r="37" ht="15" spans="1:29">
      <c r="A37" s="1243" t="s">
        <v>1654</v>
      </c>
      <c r="B37" s="1658" t="s">
        <v>1655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1432</v>
      </c>
      <c r="B38" s="1598" t="str">
        <f>B37</f>
        <v>元/平方米</v>
      </c>
      <c r="C38" s="1599" t="e">
        <f>R39</f>
        <v>#DIV/0!</v>
      </c>
      <c r="D38" s="1254" t="s">
        <v>1433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1656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1435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1436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1437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1438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1396</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1439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1399</v>
      </c>
      <c r="B51" s="1409"/>
      <c r="C51" s="1410" t="s">
        <v>1440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1441</v>
      </c>
      <c r="B53" s="1415" t="s">
        <v>1404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1409</v>
      </c>
      <c r="B63" s="1415" t="s">
        <v>1412</v>
      </c>
      <c r="C63" s="1436" t="s">
        <v>1442</v>
      </c>
      <c r="D63" s="1436" t="s">
        <v>1443</v>
      </c>
      <c r="E63" s="1436" t="s">
        <v>1444</v>
      </c>
      <c r="F63" s="1436" t="s">
        <v>1445</v>
      </c>
      <c r="G63" s="1436" t="s">
        <v>1446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1413</v>
      </c>
      <c r="C65" s="1438" t="s">
        <v>1442</v>
      </c>
      <c r="D65" s="1438" t="s">
        <v>1443</v>
      </c>
      <c r="E65" s="1438" t="s">
        <v>1444</v>
      </c>
      <c r="F65" s="1438" t="s">
        <v>1445</v>
      </c>
      <c r="G65" s="1438" t="s">
        <v>1446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1414</v>
      </c>
      <c r="C67" s="1443" t="s">
        <v>1447</v>
      </c>
      <c r="D67" s="1443" t="s">
        <v>1448</v>
      </c>
      <c r="E67" s="1443" t="s">
        <v>1449</v>
      </c>
      <c r="F67" s="1443" t="s">
        <v>1450</v>
      </c>
      <c r="G67" s="1443" t="s">
        <v>1451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1415</v>
      </c>
      <c r="C69" s="1438" t="s">
        <v>1442</v>
      </c>
      <c r="D69" s="1438" t="s">
        <v>1443</v>
      </c>
      <c r="E69" s="1438" t="s">
        <v>1444</v>
      </c>
      <c r="F69" s="1438" t="s">
        <v>1445</v>
      </c>
      <c r="G69" s="1438" t="s">
        <v>1446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1479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1418</v>
      </c>
      <c r="B79" s="1415" t="s">
        <v>1657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1648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1424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1658</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4" si="3">D8/F8</f>
        <v>1</v>
      </c>
      <c r="AB8" s="1393">
        <f t="shared" ref="AB8:AB34" si="4">D8/H8</f>
        <v>1</v>
      </c>
      <c r="AC8" s="1393">
        <f t="shared" ref="AC8:AC34" si="5">D8/J8</f>
        <v>1</v>
      </c>
    </row>
    <row r="9" s="1132" customFormat="1" spans="1:29">
      <c r="A9" s="1177" t="s">
        <v>1403</v>
      </c>
      <c r="B9" s="1178" t="s">
        <v>1404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181"/>
      <c r="B10" s="1182" t="s">
        <v>1407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99" t="s">
        <v>1409</v>
      </c>
      <c r="B14" s="1520" t="s">
        <v>1412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1415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1479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581" t="s">
        <v>1418</v>
      </c>
      <c r="B26" s="1178" t="s">
        <v>1424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1420</v>
      </c>
      <c r="Q26" s="717" t="str">
        <f t="shared" si="11"/>
        <v>公共部分装修</v>
      </c>
      <c r="R26" s="1379" t="s">
        <v>1398</v>
      </c>
      <c r="S26" s="1380">
        <f t="shared" ref="S26:S34" si="12">F26</f>
        <v>100</v>
      </c>
      <c r="T26" s="1379" t="s">
        <v>1398</v>
      </c>
      <c r="U26" s="1380">
        <f t="shared" ref="U26:U34" si="13">H26</f>
        <v>100</v>
      </c>
      <c r="V26" s="1379" t="s">
        <v>1398</v>
      </c>
      <c r="W26" s="1380">
        <f t="shared" ref="W26:W34" si="14">J26</f>
        <v>100</v>
      </c>
      <c r="X26" s="1366"/>
      <c r="Y26" s="1341" t="s">
        <v>1420</v>
      </c>
      <c r="Z26" s="1353" t="str">
        <f t="shared" ref="Z26:Z34" si="15">Q26</f>
        <v>公共部分装修</v>
      </c>
      <c r="AA26" s="1395">
        <f t="shared" si="3"/>
        <v>1</v>
      </c>
      <c r="AB26" s="1395">
        <f t="shared" si="4"/>
        <v>1</v>
      </c>
      <c r="AC26" s="1395">
        <f t="shared" si="5"/>
        <v>1</v>
      </c>
    </row>
    <row r="27" s="1134" customFormat="1" ht="15" spans="1:29">
      <c r="A27" s="1241"/>
      <c r="B27" s="1182" t="s">
        <v>1649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1398</v>
      </c>
      <c r="S27" s="1382" t="e">
        <f t="shared" si="12"/>
        <v>#N/A</v>
      </c>
      <c r="T27" s="1381" t="s">
        <v>1398</v>
      </c>
      <c r="U27" s="1382" t="e">
        <f t="shared" si="13"/>
        <v>#N/A</v>
      </c>
      <c r="V27" s="1381" t="s">
        <v>1398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1398</v>
      </c>
      <c r="S28" s="1380">
        <f t="shared" si="12"/>
        <v>100</v>
      </c>
      <c r="T28" s="1379" t="s">
        <v>1398</v>
      </c>
      <c r="U28" s="1380">
        <f t="shared" si="13"/>
        <v>100</v>
      </c>
      <c r="V28" s="1379" t="s">
        <v>1398</v>
      </c>
      <c r="W28" s="1380">
        <f t="shared" si="14"/>
        <v>100</v>
      </c>
      <c r="X28" s="1366"/>
      <c r="Y28" s="1341"/>
      <c r="Z28" s="1353" t="str">
        <f t="shared" si="15"/>
        <v>物业等级</v>
      </c>
      <c r="AA28" s="1395">
        <f t="shared" si="3"/>
        <v>1</v>
      </c>
      <c r="AB28" s="1395">
        <f t="shared" si="4"/>
        <v>1</v>
      </c>
      <c r="AC28" s="1395">
        <f t="shared" si="5"/>
        <v>1</v>
      </c>
    </row>
    <row r="29" ht="15" spans="1:29">
      <c r="A29" s="1236"/>
      <c r="B29" s="1182" t="s">
        <v>1659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1398</v>
      </c>
      <c r="S29" s="1380">
        <f t="shared" si="12"/>
        <v>100</v>
      </c>
      <c r="T29" s="1379" t="s">
        <v>1398</v>
      </c>
      <c r="U29" s="1380">
        <f t="shared" si="13"/>
        <v>100</v>
      </c>
      <c r="V29" s="1379" t="s">
        <v>1398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1398</v>
      </c>
      <c r="S30" s="1380" t="e">
        <f t="shared" si="12"/>
        <v>#N/A</v>
      </c>
      <c r="T30" s="1379" t="s">
        <v>1398</v>
      </c>
      <c r="U30" s="1380" t="e">
        <f t="shared" si="13"/>
        <v>#N/A</v>
      </c>
      <c r="V30" s="1379" t="s">
        <v>1398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1398</v>
      </c>
      <c r="S31" s="1375">
        <f t="shared" si="12"/>
        <v>100</v>
      </c>
      <c r="T31" s="1374" t="s">
        <v>1398</v>
      </c>
      <c r="U31" s="1375">
        <f t="shared" si="13"/>
        <v>100</v>
      </c>
      <c r="V31" s="1374" t="s">
        <v>1398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1420</v>
      </c>
      <c r="Q32" s="717">
        <f t="shared" si="11"/>
        <v>111</v>
      </c>
      <c r="R32" s="1379" t="s">
        <v>1398</v>
      </c>
      <c r="S32" s="1380">
        <f t="shared" si="12"/>
        <v>100</v>
      </c>
      <c r="T32" s="1379" t="s">
        <v>1398</v>
      </c>
      <c r="U32" s="1380">
        <f t="shared" si="13"/>
        <v>100</v>
      </c>
      <c r="V32" s="1379" t="s">
        <v>1398</v>
      </c>
      <c r="W32" s="1380">
        <f t="shared" si="14"/>
        <v>100</v>
      </c>
      <c r="X32" s="1366"/>
      <c r="Y32" s="1341" t="s">
        <v>1420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1398</v>
      </c>
      <c r="S33" s="1380">
        <f t="shared" si="12"/>
        <v>100</v>
      </c>
      <c r="T33" s="1379" t="s">
        <v>1398</v>
      </c>
      <c r="U33" s="1380">
        <f t="shared" si="13"/>
        <v>100</v>
      </c>
      <c r="V33" s="1379" t="s">
        <v>1398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ht="15" spans="1:29">
      <c r="A35" s="1243" t="s">
        <v>1431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1432</v>
      </c>
      <c r="B36" s="1598"/>
      <c r="C36" s="1599" t="e">
        <f>R37</f>
        <v>#DIV/0!</v>
      </c>
      <c r="D36" s="1254" t="s">
        <v>1433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1434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1435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1436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1437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1438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1396</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1439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1399</v>
      </c>
      <c r="B49" s="1409"/>
      <c r="C49" s="1410" t="s">
        <v>1440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1441</v>
      </c>
      <c r="B51" s="1415" t="s">
        <v>1404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1409</v>
      </c>
      <c r="B61" s="1415" t="s">
        <v>1412</v>
      </c>
      <c r="C61" s="1436" t="s">
        <v>1442</v>
      </c>
      <c r="D61" s="1436" t="s">
        <v>1443</v>
      </c>
      <c r="E61" s="1436" t="s">
        <v>1444</v>
      </c>
      <c r="F61" s="1436" t="s">
        <v>1445</v>
      </c>
      <c r="G61" s="1436" t="s">
        <v>1446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1661</v>
      </c>
      <c r="C63" s="1438" t="s">
        <v>1442</v>
      </c>
      <c r="D63" s="1438" t="s">
        <v>1443</v>
      </c>
      <c r="E63" s="1438" t="s">
        <v>1444</v>
      </c>
      <c r="F63" s="1438" t="s">
        <v>1445</v>
      </c>
      <c r="G63" s="1438" t="s">
        <v>1446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1414</v>
      </c>
      <c r="C65" s="1443" t="s">
        <v>1447</v>
      </c>
      <c r="D65" s="1443" t="s">
        <v>1448</v>
      </c>
      <c r="E65" s="1443" t="s">
        <v>1449</v>
      </c>
      <c r="F65" s="1443" t="s">
        <v>1450</v>
      </c>
      <c r="G65" s="1443" t="s">
        <v>1451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1415</v>
      </c>
      <c r="C67" s="1438" t="s">
        <v>1442</v>
      </c>
      <c r="D67" s="1438" t="s">
        <v>1443</v>
      </c>
      <c r="E67" s="1438" t="s">
        <v>1444</v>
      </c>
      <c r="F67" s="1438" t="s">
        <v>1445</v>
      </c>
      <c r="G67" s="1438" t="s">
        <v>1446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1479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1418</v>
      </c>
      <c r="B77" s="1415" t="s">
        <v>1424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1662</v>
      </c>
      <c r="B1" s="1142"/>
      <c r="C1" s="1143" t="s">
        <v>1663</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5" si="3">D8/F8</f>
        <v>#DIV/0!</v>
      </c>
      <c r="AB8" s="1393" t="e">
        <f t="shared" ref="AB8:AB45" si="4">D8/H8</f>
        <v>#DIV/0!</v>
      </c>
      <c r="AC8" s="1393" t="e">
        <f t="shared" ref="AC8:AC45" si="5">D8/J8</f>
        <v>#DIV/0!</v>
      </c>
    </row>
    <row r="9" s="1132" customFormat="1" spans="1:29">
      <c r="A9" s="1177" t="s">
        <v>1403</v>
      </c>
      <c r="B9" s="1178" t="s">
        <v>1404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518"/>
      <c r="F10" s="1184">
        <f>ROUND(100/'数据-取费表'!G16,0)</f>
        <v>109</v>
      </c>
      <c r="G10" s="1519"/>
      <c r="H10" s="1184">
        <f>ROUND(100/'数据-取费表'!G16,0)</f>
        <v>109</v>
      </c>
      <c r="I10" s="1519"/>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1398</v>
      </c>
      <c r="S12" s="1375">
        <f t="shared" si="0"/>
        <v>100</v>
      </c>
      <c r="T12" s="1374" t="s">
        <v>1398</v>
      </c>
      <c r="U12" s="1375">
        <f t="shared" si="1"/>
        <v>100</v>
      </c>
      <c r="V12" s="1374" t="s">
        <v>1398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94.5" spans="1:29">
      <c r="A15" s="1199" t="s">
        <v>1409</v>
      </c>
      <c r="B15" s="1520" t="s">
        <v>1410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1398</v>
      </c>
      <c r="S17" s="1380">
        <f>F17</f>
        <v>100</v>
      </c>
      <c r="T17" s="1379" t="s">
        <v>1398</v>
      </c>
      <c r="U17" s="1380">
        <f>H17</f>
        <v>100</v>
      </c>
      <c r="V17" s="1379" t="s">
        <v>1398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1474</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1398</v>
      </c>
      <c r="S19" s="1380">
        <f>F19</f>
        <v>100</v>
      </c>
      <c r="T19" s="1379" t="s">
        <v>1398</v>
      </c>
      <c r="U19" s="1380">
        <f>H19</f>
        <v>100</v>
      </c>
      <c r="V19" s="1379" t="s">
        <v>1398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1398</v>
      </c>
      <c r="S21" s="1380">
        <f>F21</f>
        <v>100</v>
      </c>
      <c r="T21" s="1379" t="s">
        <v>1398</v>
      </c>
      <c r="U21" s="1380">
        <f>H21</f>
        <v>100</v>
      </c>
      <c r="V21" s="1379" t="s">
        <v>1398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1398</v>
      </c>
      <c r="S23" s="1380">
        <f>F23</f>
        <v>100</v>
      </c>
      <c r="T23" s="1379" t="s">
        <v>1398</v>
      </c>
      <c r="U23" s="1380">
        <f>H23</f>
        <v>100</v>
      </c>
      <c r="V23" s="1379" t="s">
        <v>1398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1666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1398</v>
      </c>
      <c r="S25" s="1380">
        <f>F25</f>
        <v>100</v>
      </c>
      <c r="T25" s="1379" t="s">
        <v>1398</v>
      </c>
      <c r="U25" s="1380">
        <f>H25</f>
        <v>100</v>
      </c>
      <c r="V25" s="1379" t="s">
        <v>1398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1398</v>
      </c>
      <c r="S27" s="1375">
        <f>F27</f>
        <v>100</v>
      </c>
      <c r="T27" s="1374" t="s">
        <v>1398</v>
      </c>
      <c r="U27" s="1375">
        <f>H27</f>
        <v>100</v>
      </c>
      <c r="V27" s="1374" t="s">
        <v>1398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1398</v>
      </c>
      <c r="S29" s="1375">
        <f>F29</f>
        <v>100</v>
      </c>
      <c r="T29" s="1374" t="s">
        <v>1398</v>
      </c>
      <c r="U29" s="1375">
        <f>H29</f>
        <v>100</v>
      </c>
      <c r="V29" s="1374" t="s">
        <v>1398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1398</v>
      </c>
      <c r="S31" s="1380">
        <f t="shared" ref="S31:S45" si="10">F31</f>
        <v>100</v>
      </c>
      <c r="T31" s="1379" t="s">
        <v>1398</v>
      </c>
      <c r="U31" s="1380">
        <f t="shared" ref="U31:U45" si="11">H31</f>
        <v>100</v>
      </c>
      <c r="V31" s="1379" t="s">
        <v>1398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1478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1398</v>
      </c>
      <c r="S32" s="1380">
        <f t="shared" si="10"/>
        <v>100</v>
      </c>
      <c r="T32" s="1379" t="s">
        <v>1398</v>
      </c>
      <c r="U32" s="1380">
        <f t="shared" si="11"/>
        <v>100</v>
      </c>
      <c r="V32" s="1379" t="s">
        <v>1398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1667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1398</v>
      </c>
      <c r="S34" s="1380">
        <f t="shared" si="10"/>
        <v>100</v>
      </c>
      <c r="T34" s="1379" t="s">
        <v>1398</v>
      </c>
      <c r="U34" s="1380">
        <f t="shared" si="11"/>
        <v>100</v>
      </c>
      <c r="V34" s="1379" t="s">
        <v>1398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1398</v>
      </c>
      <c r="S35" s="1380">
        <f t="shared" si="10"/>
        <v>100</v>
      </c>
      <c r="T35" s="1379" t="s">
        <v>1398</v>
      </c>
      <c r="U35" s="1380">
        <f t="shared" si="11"/>
        <v>100</v>
      </c>
      <c r="V35" s="1379" t="s">
        <v>1398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1420</v>
      </c>
      <c r="Q36" s="717">
        <f t="shared" si="8"/>
        <v>111</v>
      </c>
      <c r="R36" s="1379" t="s">
        <v>1398</v>
      </c>
      <c r="S36" s="1380">
        <f t="shared" si="10"/>
        <v>100</v>
      </c>
      <c r="T36" s="1379" t="s">
        <v>1398</v>
      </c>
      <c r="U36" s="1380">
        <f t="shared" si="11"/>
        <v>100</v>
      </c>
      <c r="V36" s="1379" t="s">
        <v>1398</v>
      </c>
      <c r="W36" s="1380">
        <f t="shared" si="12"/>
        <v>100</v>
      </c>
      <c r="X36" s="1366"/>
      <c r="Y36" s="1341" t="s">
        <v>1420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1398</v>
      </c>
      <c r="S37" s="1382">
        <f t="shared" si="10"/>
        <v>100</v>
      </c>
      <c r="T37" s="1381" t="s">
        <v>1398</v>
      </c>
      <c r="U37" s="1382">
        <f t="shared" si="11"/>
        <v>100</v>
      </c>
      <c r="V37" s="1381" t="s">
        <v>1398</v>
      </c>
      <c r="W37" s="1382">
        <f t="shared" si="12"/>
        <v>100</v>
      </c>
      <c r="X37" s="1383"/>
      <c r="Y37" s="1341"/>
      <c r="Z37" s="1396">
        <f t="shared" si="13"/>
        <v>111</v>
      </c>
      <c r="AA37" s="1395">
        <f t="shared" si="3"/>
        <v>1</v>
      </c>
      <c r="AB37" s="1395">
        <f t="shared" si="4"/>
        <v>1</v>
      </c>
      <c r="AC37" s="1395">
        <f t="shared" si="5"/>
        <v>1</v>
      </c>
    </row>
    <row r="38" ht="15" spans="1:29">
      <c r="A38" s="1236" t="s">
        <v>1418</v>
      </c>
      <c r="B38" s="1233" t="s">
        <v>1668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1398</v>
      </c>
      <c r="S38" s="1380" t="e">
        <f t="shared" si="10"/>
        <v>#N/A</v>
      </c>
      <c r="T38" s="1379" t="s">
        <v>1398</v>
      </c>
      <c r="U38" s="1380" t="e">
        <f t="shared" si="11"/>
        <v>#N/A</v>
      </c>
      <c r="V38" s="1379" t="s">
        <v>1398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1398</v>
      </c>
      <c r="S39" s="1380">
        <f t="shared" si="10"/>
        <v>100</v>
      </c>
      <c r="T39" s="1379" t="s">
        <v>1398</v>
      </c>
      <c r="U39" s="1380">
        <f t="shared" si="11"/>
        <v>100</v>
      </c>
      <c r="V39" s="1379" t="s">
        <v>1398</v>
      </c>
      <c r="W39" s="1380">
        <f t="shared" si="12"/>
        <v>100</v>
      </c>
      <c r="X39" s="1366"/>
      <c r="Y39" s="1341"/>
      <c r="Z39" s="1353" t="str">
        <f t="shared" si="13"/>
        <v>宗地形状</v>
      </c>
      <c r="AA39" s="1395">
        <f t="shared" si="3"/>
        <v>1</v>
      </c>
      <c r="AB39" s="1395">
        <f t="shared" si="4"/>
        <v>1</v>
      </c>
      <c r="AC39" s="1395">
        <f t="shared" si="5"/>
        <v>1</v>
      </c>
    </row>
    <row r="40" ht="15" spans="1:29">
      <c r="A40" s="1236"/>
      <c r="B40" s="1182" t="s">
        <v>1670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1398</v>
      </c>
      <c r="S40" s="1380">
        <f t="shared" si="10"/>
        <v>100</v>
      </c>
      <c r="T40" s="1379" t="s">
        <v>1398</v>
      </c>
      <c r="U40" s="1380">
        <f t="shared" si="11"/>
        <v>100</v>
      </c>
      <c r="V40" s="1379" t="s">
        <v>1398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1398</v>
      </c>
      <c r="S41" s="1375">
        <f t="shared" si="10"/>
        <v>100</v>
      </c>
      <c r="T41" s="1374" t="s">
        <v>1398</v>
      </c>
      <c r="U41" s="1375">
        <f t="shared" si="11"/>
        <v>100</v>
      </c>
      <c r="V41" s="1374" t="s">
        <v>1398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1420</v>
      </c>
      <c r="Q42" s="717" t="str">
        <f t="shared" si="14"/>
        <v>工程地质条件</v>
      </c>
      <c r="R42" s="1379" t="s">
        <v>1398</v>
      </c>
      <c r="S42" s="1380">
        <f t="shared" si="10"/>
        <v>100</v>
      </c>
      <c r="T42" s="1379" t="s">
        <v>1398</v>
      </c>
      <c r="U42" s="1380">
        <f t="shared" si="11"/>
        <v>100</v>
      </c>
      <c r="V42" s="1379" t="s">
        <v>1398</v>
      </c>
      <c r="W42" s="1380">
        <f t="shared" si="12"/>
        <v>100</v>
      </c>
      <c r="X42" s="1366"/>
      <c r="Y42" s="1341" t="s">
        <v>1420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1398</v>
      </c>
      <c r="S43" s="1380">
        <f t="shared" si="10"/>
        <v>100</v>
      </c>
      <c r="T43" s="1379" t="s">
        <v>1398</v>
      </c>
      <c r="U43" s="1380">
        <f t="shared" si="11"/>
        <v>100</v>
      </c>
      <c r="V43" s="1379" t="s">
        <v>1398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1398</v>
      </c>
      <c r="S44" s="1380">
        <f t="shared" si="10"/>
        <v>100</v>
      </c>
      <c r="T44" s="1379" t="s">
        <v>1398</v>
      </c>
      <c r="U44" s="1380">
        <f t="shared" si="11"/>
        <v>100</v>
      </c>
      <c r="V44" s="1379" t="s">
        <v>1398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1398</v>
      </c>
      <c r="S45" s="1382">
        <f t="shared" si="10"/>
        <v>100</v>
      </c>
      <c r="T45" s="1381" t="s">
        <v>1398</v>
      </c>
      <c r="U45" s="1382">
        <f t="shared" si="11"/>
        <v>100</v>
      </c>
      <c r="V45" s="1381" t="s">
        <v>1398</v>
      </c>
      <c r="W45" s="1382">
        <f t="shared" si="12"/>
        <v>100</v>
      </c>
      <c r="X45" s="1383"/>
      <c r="Y45" s="1341"/>
      <c r="Z45" s="1396">
        <f t="shared" si="13"/>
        <v>111</v>
      </c>
      <c r="AA45" s="1395">
        <f t="shared" si="3"/>
        <v>1</v>
      </c>
      <c r="AB45" s="1395">
        <f t="shared" si="4"/>
        <v>1</v>
      </c>
      <c r="AC45" s="1395">
        <f t="shared" si="5"/>
        <v>1</v>
      </c>
    </row>
    <row r="46" ht="15" spans="1:29">
      <c r="A46" s="1243" t="s">
        <v>1654</v>
      </c>
      <c r="B46" s="1244" t="s">
        <v>1673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1432</v>
      </c>
      <c r="B47" s="1252"/>
      <c r="C47" s="1253" t="e">
        <f>R48</f>
        <v>#DIV/0!</v>
      </c>
      <c r="D47" s="1254" t="s">
        <v>1433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1435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1436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1437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1675</v>
      </c>
      <c r="B55" s="1270" t="s">
        <v>1676</v>
      </c>
      <c r="C55" s="1271" t="s">
        <v>1677</v>
      </c>
      <c r="D55" s="1272" t="s">
        <v>1678</v>
      </c>
      <c r="E55" s="1273" t="s">
        <v>1679</v>
      </c>
      <c r="F55" s="1531" t="s">
        <v>1680</v>
      </c>
      <c r="G55" s="1153" t="s">
        <v>1681</v>
      </c>
      <c r="H55" s="712"/>
      <c r="I55" s="1535" t="s">
        <v>1682</v>
      </c>
      <c r="J55" s="1536">
        <f>项目基本情况!F35</f>
        <v>0</v>
      </c>
      <c r="K55" s="1354" t="s">
        <v>1683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1684</v>
      </c>
      <c r="B56" s="1276" t="e">
        <f>C48</f>
        <v>#DIV/0!</v>
      </c>
      <c r="C56" s="1277">
        <v>1</v>
      </c>
      <c r="D56" s="1278">
        <v>1</v>
      </c>
      <c r="E56" s="1277">
        <f>'数据-汇总表'!E8+'数据-汇总表'!E9</f>
        <v>280.4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1685</v>
      </c>
      <c r="B57" s="419" t="e">
        <f>ROUND($C$48*C57*D57,0)</f>
        <v>#DIV/0!</v>
      </c>
      <c r="C57" s="631">
        <f t="shared" ref="C57:C64" si="16">IF($C$55="北京市系数",I57,J57)</f>
        <v>0</v>
      </c>
      <c r="D57" s="1282">
        <v>0.25</v>
      </c>
      <c r="E57" s="1283"/>
      <c r="F57" s="1532" t="e">
        <f t="shared" si="15"/>
        <v>#DIV/0!</v>
      </c>
      <c r="G57" s="1284" t="s">
        <v>1686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1689</v>
      </c>
      <c r="B60" s="419" t="e">
        <f t="shared" si="17"/>
        <v>#DIV/0!</v>
      </c>
      <c r="C60" s="631">
        <f t="shared" si="16"/>
        <v>0</v>
      </c>
      <c r="D60" s="1282">
        <v>0.25</v>
      </c>
      <c r="E60" s="418">
        <f>'数据-汇总表'!E11</f>
        <v>0</v>
      </c>
      <c r="F60" s="1532" t="e">
        <f t="shared" si="15"/>
        <v>#DIV/0!</v>
      </c>
      <c r="G60" s="1288" t="s">
        <v>1690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1691</v>
      </c>
      <c r="B61" s="419" t="e">
        <f t="shared" si="17"/>
        <v>#DIV/0!</v>
      </c>
      <c r="C61" s="631">
        <f t="shared" si="16"/>
        <v>0</v>
      </c>
      <c r="D61" s="1282">
        <v>0.25</v>
      </c>
      <c r="E61" s="418">
        <f>'数据-汇总表'!E12</f>
        <v>0</v>
      </c>
      <c r="F61" s="1532" t="e">
        <f t="shared" si="15"/>
        <v>#DIV/0!</v>
      </c>
      <c r="G61" s="1289" t="s">
        <v>1692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1693</v>
      </c>
      <c r="B62" s="419" t="e">
        <f t="shared" si="17"/>
        <v>#DIV/0!</v>
      </c>
      <c r="C62" s="631">
        <f t="shared" si="16"/>
        <v>0</v>
      </c>
      <c r="D62" s="1282">
        <v>0.25</v>
      </c>
      <c r="E62" s="418">
        <f>'数据-汇总表'!E13</f>
        <v>0</v>
      </c>
      <c r="F62" s="1532" t="e">
        <f t="shared" si="15"/>
        <v>#DIV/0!</v>
      </c>
      <c r="G62" s="1289" t="s">
        <v>1694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1695</v>
      </c>
      <c r="B63" s="419" t="e">
        <f t="shared" si="17"/>
        <v>#DIV/0!</v>
      </c>
      <c r="C63" s="631">
        <f t="shared" si="16"/>
        <v>0</v>
      </c>
      <c r="D63" s="1282">
        <v>0.25</v>
      </c>
      <c r="E63" s="418">
        <f>'数据-汇总表'!E14</f>
        <v>0</v>
      </c>
      <c r="F63" s="1532" t="e">
        <f t="shared" si="15"/>
        <v>#DIV/0!</v>
      </c>
      <c r="G63" s="1288" t="s">
        <v>1686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1696</v>
      </c>
      <c r="B64" s="419" t="e">
        <f t="shared" si="17"/>
        <v>#DIV/0!</v>
      </c>
      <c r="C64" s="631">
        <f t="shared" si="16"/>
        <v>0</v>
      </c>
      <c r="D64" s="1282">
        <v>0.25</v>
      </c>
      <c r="E64" s="418">
        <f>'数据-汇总表'!E15</f>
        <v>0</v>
      </c>
      <c r="F64" s="1532" t="e">
        <f t="shared" si="15"/>
        <v>#DIV/0!</v>
      </c>
      <c r="G64" s="1290" t="s">
        <v>1690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1697</v>
      </c>
      <c r="B65" s="1293" t="s">
        <v>1698</v>
      </c>
      <c r="C65" s="1293" t="s">
        <v>1698</v>
      </c>
      <c r="D65" s="1293" t="s">
        <v>1698</v>
      </c>
      <c r="E65" s="1293">
        <f>IF(B46="楼面地价",SUM(E56:E64),'数据-汇总表'!D3)</f>
        <v>280.4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1438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1439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1399</v>
      </c>
      <c r="B72" s="1409"/>
      <c r="C72" s="1410" t="s">
        <v>1440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1441</v>
      </c>
      <c r="B74" s="1415" t="s">
        <v>1404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1409</v>
      </c>
      <c r="B87" s="1415" t="s">
        <v>1410</v>
      </c>
      <c r="C87" s="1436" t="s">
        <v>1442</v>
      </c>
      <c r="D87" s="1436" t="s">
        <v>1443</v>
      </c>
      <c r="E87" s="1436" t="s">
        <v>1444</v>
      </c>
      <c r="F87" s="1436" t="s">
        <v>1445</v>
      </c>
      <c r="G87" s="1436" t="s">
        <v>1446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1632</v>
      </c>
      <c r="C89" s="1438" t="s">
        <v>1442</v>
      </c>
      <c r="D89" s="1438" t="s">
        <v>1443</v>
      </c>
      <c r="E89" s="1438" t="s">
        <v>1444</v>
      </c>
      <c r="F89" s="1438" t="s">
        <v>1445</v>
      </c>
      <c r="G89" s="1438" t="s">
        <v>1446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1474</v>
      </c>
      <c r="C91" s="1438" t="s">
        <v>1442</v>
      </c>
      <c r="D91" s="1438" t="s">
        <v>1443</v>
      </c>
      <c r="E91" s="1438" t="s">
        <v>1444</v>
      </c>
      <c r="F91" s="1438" t="s">
        <v>1445</v>
      </c>
      <c r="G91" s="1438" t="s">
        <v>1446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1412</v>
      </c>
      <c r="C93" s="1438" t="s">
        <v>1442</v>
      </c>
      <c r="D93" s="1438" t="s">
        <v>1443</v>
      </c>
      <c r="E93" s="1438" t="s">
        <v>1444</v>
      </c>
      <c r="F93" s="1438" t="s">
        <v>1445</v>
      </c>
      <c r="G93" s="1438" t="s">
        <v>1446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1665</v>
      </c>
      <c r="C95" s="1438" t="s">
        <v>1442</v>
      </c>
      <c r="D95" s="1438" t="s">
        <v>1443</v>
      </c>
      <c r="E95" s="1438" t="s">
        <v>1444</v>
      </c>
      <c r="F95" s="1438" t="s">
        <v>1445</v>
      </c>
      <c r="G95" s="1438" t="s">
        <v>1446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1666</v>
      </c>
      <c r="C97" s="1436" t="s">
        <v>1442</v>
      </c>
      <c r="D97" s="1436" t="s">
        <v>1443</v>
      </c>
      <c r="E97" s="1436" t="s">
        <v>1444</v>
      </c>
      <c r="F97" s="1436" t="s">
        <v>1445</v>
      </c>
      <c r="G97" s="1436" t="s">
        <v>1446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1413</v>
      </c>
      <c r="C99" s="1436" t="s">
        <v>1442</v>
      </c>
      <c r="D99" s="1436" t="s">
        <v>1443</v>
      </c>
      <c r="E99" s="1436" t="s">
        <v>1444</v>
      </c>
      <c r="F99" s="1436" t="s">
        <v>1445</v>
      </c>
      <c r="G99" s="1436" t="s">
        <v>1446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1414</v>
      </c>
      <c r="C101" s="1443" t="s">
        <v>1447</v>
      </c>
      <c r="D101" s="1443" t="s">
        <v>1448</v>
      </c>
      <c r="E101" s="1443" t="s">
        <v>1449</v>
      </c>
      <c r="F101" s="1443" t="s">
        <v>1450</v>
      </c>
      <c r="G101" s="1443" t="s">
        <v>1451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1701</v>
      </c>
      <c r="D103" s="1420" t="s">
        <v>1702</v>
      </c>
      <c r="E103" s="1420" t="s">
        <v>1703</v>
      </c>
      <c r="F103" s="1420" t="s">
        <v>1704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1478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1667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1418</v>
      </c>
      <c r="B115" s="1415" t="s">
        <v>1668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1662</v>
      </c>
      <c r="B1" s="1142"/>
      <c r="C1" s="1143" t="s">
        <v>1640</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1705</v>
      </c>
      <c r="D6" s="1166"/>
      <c r="E6" s="1167" t="s">
        <v>1705</v>
      </c>
      <c r="F6" s="1168"/>
      <c r="G6" s="1165" t="s">
        <v>1705</v>
      </c>
      <c r="H6" s="1166"/>
      <c r="I6" s="1165" t="s">
        <v>1705</v>
      </c>
      <c r="J6" s="1166"/>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0" si="3">D8/F8</f>
        <v>#DIV/0!</v>
      </c>
      <c r="AB8" s="1393" t="e">
        <f t="shared" ref="AB8:AB40" si="4">D8/H8</f>
        <v>#DIV/0!</v>
      </c>
      <c r="AC8" s="1393" t="e">
        <f t="shared" ref="AC8:AC40" si="5">D8/J8</f>
        <v>#DIV/0!</v>
      </c>
    </row>
    <row r="9" s="1132" customFormat="1" spans="1:29">
      <c r="A9" s="1177" t="s">
        <v>1403</v>
      </c>
      <c r="B9" s="1178" t="s">
        <v>1404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183"/>
      <c r="F10" s="1184">
        <f>ROUND(100/'数据-取费表'!G16,0)</f>
        <v>109</v>
      </c>
      <c r="G10" s="1183"/>
      <c r="H10" s="1184">
        <f>ROUND(100/'数据-取费表'!G16,0)</f>
        <v>109</v>
      </c>
      <c r="I10" s="1183"/>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200" t="s">
        <v>1641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1398</v>
      </c>
      <c r="S19" s="1380">
        <f>F19</f>
        <v>100</v>
      </c>
      <c r="T19" s="1379" t="s">
        <v>1398</v>
      </c>
      <c r="U19" s="1380">
        <f>H19</f>
        <v>100</v>
      </c>
      <c r="V19" s="1379" t="s">
        <v>1398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1706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1398</v>
      </c>
      <c r="S21" s="1380">
        <f>F21</f>
        <v>100</v>
      </c>
      <c r="T21" s="1379" t="s">
        <v>1398</v>
      </c>
      <c r="U21" s="1380">
        <f>H21</f>
        <v>100</v>
      </c>
      <c r="V21" s="1379" t="s">
        <v>1398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1398</v>
      </c>
      <c r="S23" s="1375">
        <f>F23</f>
        <v>100</v>
      </c>
      <c r="T23" s="1374" t="s">
        <v>1398</v>
      </c>
      <c r="U23" s="1375">
        <f>H23</f>
        <v>100</v>
      </c>
      <c r="V23" s="1374" t="s">
        <v>1398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1398</v>
      </c>
      <c r="S25" s="1375">
        <f>F25</f>
        <v>100</v>
      </c>
      <c r="T25" s="1374" t="s">
        <v>1398</v>
      </c>
      <c r="U25" s="1375">
        <f>H25</f>
        <v>100</v>
      </c>
      <c r="V25" s="1374" t="s">
        <v>1398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1398</v>
      </c>
      <c r="S27" s="1380">
        <f t="shared" ref="S27:S40" si="10">F27</f>
        <v>100</v>
      </c>
      <c r="T27" s="1379" t="s">
        <v>1398</v>
      </c>
      <c r="U27" s="1380">
        <f t="shared" ref="U27:U40" si="11">H27</f>
        <v>100</v>
      </c>
      <c r="V27" s="1379" t="s">
        <v>1398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1478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1398</v>
      </c>
      <c r="S28" s="1380">
        <f t="shared" si="10"/>
        <v>100</v>
      </c>
      <c r="T28" s="1379" t="s">
        <v>1398</v>
      </c>
      <c r="U28" s="1380">
        <f t="shared" si="11"/>
        <v>100</v>
      </c>
      <c r="V28" s="1379" t="s">
        <v>1398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1667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1398</v>
      </c>
      <c r="S30" s="1380">
        <f t="shared" si="10"/>
        <v>100</v>
      </c>
      <c r="T30" s="1379" t="s">
        <v>1398</v>
      </c>
      <c r="U30" s="1380">
        <f t="shared" si="11"/>
        <v>100</v>
      </c>
      <c r="V30" s="1379" t="s">
        <v>1398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1398</v>
      </c>
      <c r="S31" s="1380">
        <f t="shared" si="10"/>
        <v>100</v>
      </c>
      <c r="T31" s="1379" t="s">
        <v>1398</v>
      </c>
      <c r="U31" s="1380">
        <f t="shared" si="11"/>
        <v>100</v>
      </c>
      <c r="V31" s="1379" t="s">
        <v>1398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1420</v>
      </c>
      <c r="Q32" s="717">
        <f t="shared" si="8"/>
        <v>111</v>
      </c>
      <c r="R32" s="1379" t="s">
        <v>1398</v>
      </c>
      <c r="S32" s="1380">
        <f t="shared" si="10"/>
        <v>100</v>
      </c>
      <c r="T32" s="1379" t="s">
        <v>1398</v>
      </c>
      <c r="U32" s="1380">
        <f t="shared" si="11"/>
        <v>100</v>
      </c>
      <c r="V32" s="1379" t="s">
        <v>1398</v>
      </c>
      <c r="W32" s="1380">
        <f t="shared" si="12"/>
        <v>100</v>
      </c>
      <c r="X32" s="1366"/>
      <c r="Y32" s="1341" t="s">
        <v>1420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1398</v>
      </c>
      <c r="S33" s="1382">
        <f t="shared" si="10"/>
        <v>100</v>
      </c>
      <c r="T33" s="1381" t="s">
        <v>1398</v>
      </c>
      <c r="U33" s="1382">
        <f t="shared" si="11"/>
        <v>100</v>
      </c>
      <c r="V33" s="1381" t="s">
        <v>1398</v>
      </c>
      <c r="W33" s="1382">
        <f t="shared" si="12"/>
        <v>100</v>
      </c>
      <c r="X33" s="1383"/>
      <c r="Y33" s="1341"/>
      <c r="Z33" s="1396">
        <f t="shared" si="13"/>
        <v>111</v>
      </c>
      <c r="AA33" s="1395">
        <f t="shared" si="3"/>
        <v>1</v>
      </c>
      <c r="AB33" s="1395">
        <f t="shared" si="4"/>
        <v>1</v>
      </c>
      <c r="AC33" s="1395">
        <f t="shared" si="5"/>
        <v>1</v>
      </c>
    </row>
    <row r="34" ht="15" spans="1:29">
      <c r="A34" s="1199" t="s">
        <v>1418</v>
      </c>
      <c r="B34" s="1233" t="s">
        <v>1668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1398</v>
      </c>
      <c r="S34" s="1380" t="e">
        <f t="shared" si="10"/>
        <v>#N/A</v>
      </c>
      <c r="T34" s="1379" t="s">
        <v>1398</v>
      </c>
      <c r="U34" s="1380" t="e">
        <f t="shared" si="11"/>
        <v>#N/A</v>
      </c>
      <c r="V34" s="1379" t="s">
        <v>1398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1398</v>
      </c>
      <c r="S35" s="1380">
        <f t="shared" si="10"/>
        <v>100</v>
      </c>
      <c r="T35" s="1379" t="s">
        <v>1398</v>
      </c>
      <c r="U35" s="1380">
        <f t="shared" si="11"/>
        <v>100</v>
      </c>
      <c r="V35" s="1379" t="s">
        <v>1398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1398</v>
      </c>
      <c r="S36" s="1375">
        <f t="shared" si="10"/>
        <v>100</v>
      </c>
      <c r="T36" s="1374" t="s">
        <v>1398</v>
      </c>
      <c r="U36" s="1375">
        <f t="shared" si="11"/>
        <v>100</v>
      </c>
      <c r="V36" s="1374" t="s">
        <v>1398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1420</v>
      </c>
      <c r="Q37" s="717" t="str">
        <f t="shared" si="14"/>
        <v>工程地质条件</v>
      </c>
      <c r="R37" s="1379" t="s">
        <v>1398</v>
      </c>
      <c r="S37" s="1380">
        <f t="shared" si="10"/>
        <v>100</v>
      </c>
      <c r="T37" s="1379" t="s">
        <v>1398</v>
      </c>
      <c r="U37" s="1380">
        <f t="shared" si="11"/>
        <v>100</v>
      </c>
      <c r="V37" s="1379" t="s">
        <v>1398</v>
      </c>
      <c r="W37" s="1380">
        <f t="shared" si="12"/>
        <v>100</v>
      </c>
      <c r="X37" s="1366"/>
      <c r="Y37" s="1341" t="s">
        <v>1420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1398</v>
      </c>
      <c r="S38" s="1380">
        <f t="shared" si="10"/>
        <v>100</v>
      </c>
      <c r="T38" s="1379" t="s">
        <v>1398</v>
      </c>
      <c r="U38" s="1380">
        <f t="shared" si="11"/>
        <v>100</v>
      </c>
      <c r="V38" s="1379" t="s">
        <v>1398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1398</v>
      </c>
      <c r="S39" s="1380">
        <f t="shared" si="10"/>
        <v>100</v>
      </c>
      <c r="T39" s="1379" t="s">
        <v>1398</v>
      </c>
      <c r="U39" s="1380">
        <f t="shared" si="11"/>
        <v>100</v>
      </c>
      <c r="V39" s="1379" t="s">
        <v>1398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1398</v>
      </c>
      <c r="S40" s="1382">
        <f t="shared" si="10"/>
        <v>100</v>
      </c>
      <c r="T40" s="1381" t="s">
        <v>1398</v>
      </c>
      <c r="U40" s="1382">
        <f t="shared" si="11"/>
        <v>100</v>
      </c>
      <c r="V40" s="1381" t="s">
        <v>1398</v>
      </c>
      <c r="W40" s="1382">
        <f t="shared" si="12"/>
        <v>100</v>
      </c>
      <c r="X40" s="1383"/>
      <c r="Y40" s="1341"/>
      <c r="Z40" s="1396">
        <f t="shared" si="13"/>
        <v>111</v>
      </c>
      <c r="AA40" s="1395">
        <f t="shared" si="3"/>
        <v>1</v>
      </c>
      <c r="AB40" s="1395">
        <f t="shared" si="4"/>
        <v>1</v>
      </c>
      <c r="AC40" s="1395">
        <f t="shared" si="5"/>
        <v>1</v>
      </c>
    </row>
    <row r="41" ht="15" spans="1:29">
      <c r="A41" s="1243" t="s">
        <v>1654</v>
      </c>
      <c r="B41" s="1244" t="s">
        <v>1707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1432</v>
      </c>
      <c r="B42" s="1252"/>
      <c r="C42" s="1253" t="e">
        <f>R43</f>
        <v>#DIV/0!</v>
      </c>
      <c r="D42" s="1254" t="s">
        <v>1433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1434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1675</v>
      </c>
      <c r="B50" s="1270" t="s">
        <v>1676</v>
      </c>
      <c r="C50" s="1271" t="s">
        <v>1677</v>
      </c>
      <c r="D50" s="1272" t="s">
        <v>1678</v>
      </c>
      <c r="E50" s="1273" t="s">
        <v>1679</v>
      </c>
      <c r="F50" s="1274" t="s">
        <v>1680</v>
      </c>
      <c r="G50" s="1153" t="s">
        <v>1681</v>
      </c>
      <c r="H50" s="712"/>
      <c r="I50" s="1353" t="s">
        <v>1708</v>
      </c>
      <c r="J50" s="1353">
        <f>项目基本情况!F35</f>
        <v>0</v>
      </c>
      <c r="K50" s="1354" t="s">
        <v>1683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1684</v>
      </c>
      <c r="B51" s="1276" t="e">
        <f>C43</f>
        <v>#DIV/0!</v>
      </c>
      <c r="C51" s="1277">
        <v>1</v>
      </c>
      <c r="D51" s="1278">
        <v>1</v>
      </c>
      <c r="E51" s="1277">
        <f>'数据-汇总表'!E8+'数据-汇总表'!E9</f>
        <v>280.4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1685</v>
      </c>
      <c r="B52" s="419" t="e">
        <f>ROUND($C$43*C52*D52,0)</f>
        <v>#DIV/0!</v>
      </c>
      <c r="C52" s="631">
        <f t="shared" ref="C52:C60" si="16">IF($C$50="北京市系数",I52,J52)</f>
        <v>0</v>
      </c>
      <c r="D52" s="1282">
        <v>0.25</v>
      </c>
      <c r="E52" s="1283"/>
      <c r="F52" s="1279" t="e">
        <f t="shared" si="15"/>
        <v>#DIV/0!</v>
      </c>
      <c r="G52" s="1284" t="s">
        <v>1686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1689</v>
      </c>
      <c r="B56" s="419" t="e">
        <f t="shared" si="17"/>
        <v>#DIV/0!</v>
      </c>
      <c r="C56" s="631">
        <f t="shared" si="16"/>
        <v>0</v>
      </c>
      <c r="D56" s="1282">
        <v>0.25</v>
      </c>
      <c r="E56" s="418">
        <f>'数据-汇总表'!E11</f>
        <v>0</v>
      </c>
      <c r="F56" s="1279" t="e">
        <f t="shared" si="15"/>
        <v>#DIV/0!</v>
      </c>
      <c r="G56" s="1288" t="s">
        <v>1690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1691</v>
      </c>
      <c r="B57" s="419" t="e">
        <f t="shared" si="17"/>
        <v>#DIV/0!</v>
      </c>
      <c r="C57" s="631">
        <f t="shared" si="16"/>
        <v>0</v>
      </c>
      <c r="D57" s="1282">
        <v>0.25</v>
      </c>
      <c r="E57" s="418">
        <f>'数据-汇总表'!E12</f>
        <v>0</v>
      </c>
      <c r="F57" s="1279" t="e">
        <f t="shared" si="15"/>
        <v>#DIV/0!</v>
      </c>
      <c r="G57" s="1289" t="s">
        <v>1692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1693</v>
      </c>
      <c r="B58" s="419" t="e">
        <f t="shared" si="17"/>
        <v>#DIV/0!</v>
      </c>
      <c r="C58" s="631">
        <f t="shared" si="16"/>
        <v>0</v>
      </c>
      <c r="D58" s="1282">
        <v>0.25</v>
      </c>
      <c r="E58" s="418">
        <f>'数据-汇总表'!E13</f>
        <v>0</v>
      </c>
      <c r="F58" s="1279" t="e">
        <f t="shared" si="15"/>
        <v>#DIV/0!</v>
      </c>
      <c r="G58" s="1289" t="s">
        <v>1694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1695</v>
      </c>
      <c r="B59" s="419" t="e">
        <f t="shared" si="17"/>
        <v>#DIV/0!</v>
      </c>
      <c r="C59" s="631">
        <f t="shared" si="16"/>
        <v>0</v>
      </c>
      <c r="D59" s="1282">
        <v>0.25</v>
      </c>
      <c r="E59" s="418">
        <f>'数据-汇总表'!E14</f>
        <v>0</v>
      </c>
      <c r="F59" s="1279" t="e">
        <f t="shared" si="15"/>
        <v>#DIV/0!</v>
      </c>
      <c r="G59" s="1288" t="s">
        <v>1686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1696</v>
      </c>
      <c r="B60" s="419" t="e">
        <f t="shared" si="17"/>
        <v>#DIV/0!</v>
      </c>
      <c r="C60" s="631">
        <f t="shared" si="16"/>
        <v>0</v>
      </c>
      <c r="D60" s="1282">
        <v>0.25</v>
      </c>
      <c r="E60" s="418">
        <f>'数据-汇总表'!E15</f>
        <v>0</v>
      </c>
      <c r="F60" s="1279" t="e">
        <f t="shared" si="15"/>
        <v>#DIV/0!</v>
      </c>
      <c r="G60" s="1290" t="s">
        <v>1690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1697</v>
      </c>
      <c r="B61" s="1293" t="s">
        <v>1698</v>
      </c>
      <c r="C61" s="1293" t="s">
        <v>1698</v>
      </c>
      <c r="D61" s="1293" t="s">
        <v>1698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1438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1439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1399</v>
      </c>
      <c r="B68" s="1409"/>
      <c r="C68" s="1410" t="s">
        <v>1440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1441</v>
      </c>
      <c r="B70" s="1415" t="s">
        <v>1404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1409</v>
      </c>
      <c r="B83" s="1415" t="s">
        <v>1641</v>
      </c>
      <c r="C83" s="1436" t="s">
        <v>1442</v>
      </c>
      <c r="D83" s="1436" t="s">
        <v>1443</v>
      </c>
      <c r="E83" s="1436" t="s">
        <v>1444</v>
      </c>
      <c r="F83" s="1436" t="s">
        <v>1445</v>
      </c>
      <c r="G83" s="1436" t="s">
        <v>1446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1412</v>
      </c>
      <c r="C85" s="1438" t="s">
        <v>1442</v>
      </c>
      <c r="D85" s="1438" t="s">
        <v>1443</v>
      </c>
      <c r="E85" s="1438" t="s">
        <v>1444</v>
      </c>
      <c r="F85" s="1438" t="s">
        <v>1445</v>
      </c>
      <c r="G85" s="1438" t="s">
        <v>1446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1665</v>
      </c>
      <c r="C87" s="1436" t="s">
        <v>1442</v>
      </c>
      <c r="D87" s="1436" t="s">
        <v>1443</v>
      </c>
      <c r="E87" s="1436" t="s">
        <v>1444</v>
      </c>
      <c r="F87" s="1436" t="s">
        <v>1445</v>
      </c>
      <c r="G87" s="1436" t="s">
        <v>1446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1666</v>
      </c>
      <c r="C89" s="1436" t="s">
        <v>1442</v>
      </c>
      <c r="D89" s="1436" t="s">
        <v>1443</v>
      </c>
      <c r="E89" s="1436" t="s">
        <v>1444</v>
      </c>
      <c r="F89" s="1436" t="s">
        <v>1445</v>
      </c>
      <c r="G89" s="1436" t="s">
        <v>1446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1413</v>
      </c>
      <c r="C91" s="1436" t="s">
        <v>1442</v>
      </c>
      <c r="D91" s="1436" t="s">
        <v>1443</v>
      </c>
      <c r="E91" s="1436" t="s">
        <v>1444</v>
      </c>
      <c r="F91" s="1436" t="s">
        <v>1445</v>
      </c>
      <c r="G91" s="1436" t="s">
        <v>1446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1414</v>
      </c>
      <c r="C93" s="1443" t="s">
        <v>1447</v>
      </c>
      <c r="D93" s="1443" t="s">
        <v>1448</v>
      </c>
      <c r="E93" s="1443" t="s">
        <v>1449</v>
      </c>
      <c r="F93" s="1443" t="s">
        <v>1450</v>
      </c>
      <c r="G93" s="1443" t="s">
        <v>1451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1701</v>
      </c>
      <c r="D95" s="1420" t="s">
        <v>1702</v>
      </c>
      <c r="E95" s="1420" t="s">
        <v>1703</v>
      </c>
      <c r="F95" s="1420" t="s">
        <v>1704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1478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1667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1418</v>
      </c>
      <c r="B107" s="1415" t="s">
        <v>1668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1710</v>
      </c>
      <c r="C1" s="1013" t="s">
        <v>1711</v>
      </c>
      <c r="D1" s="1014"/>
      <c r="E1" s="1014"/>
      <c r="F1" s="1014"/>
      <c r="G1" s="1014"/>
      <c r="H1" s="1014"/>
      <c r="I1" s="1014"/>
      <c r="J1" s="1014"/>
      <c r="K1" s="1014"/>
      <c r="L1" s="1014"/>
      <c r="M1" s="1014"/>
      <c r="N1" s="1014"/>
      <c r="O1" s="1014"/>
      <c r="P1" s="1014"/>
      <c r="Q1" s="1014"/>
      <c r="R1" s="1014"/>
      <c r="S1" s="1096"/>
      <c r="T1" s="1012" t="s">
        <v>1712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1716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1717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1718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1719</v>
      </c>
      <c r="B17" s="1047" t="s">
        <v>1720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1721</v>
      </c>
      <c r="E19" s="1057"/>
      <c r="F19" s="1057"/>
      <c r="G19" s="1057"/>
      <c r="H19" s="1058"/>
      <c r="I19" s="1055"/>
      <c r="J19" s="1055"/>
      <c r="K19" s="1055"/>
      <c r="L19" s="1055"/>
      <c r="M19" s="1055"/>
      <c r="N19" s="1055"/>
      <c r="O19" s="1055"/>
      <c r="P19" s="1055"/>
      <c r="Q19" s="1055"/>
      <c r="R19" s="1123"/>
      <c r="S19" s="1054"/>
    </row>
    <row r="20" ht="16.5" spans="1:19">
      <c r="A20" s="1059" t="s">
        <v>1722</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1723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1725</v>
      </c>
      <c r="B23" s="1068" t="s">
        <v>505</v>
      </c>
      <c r="C23" s="1068" t="s">
        <v>1712</v>
      </c>
      <c r="D23" s="1068" t="str">
        <f>B5</f>
        <v>修正项2</v>
      </c>
      <c r="E23" s="1068" t="s">
        <v>1712</v>
      </c>
      <c r="F23" s="1068" t="str">
        <f>B7</f>
        <v>修正项3</v>
      </c>
      <c r="G23" s="1068" t="s">
        <v>1712</v>
      </c>
      <c r="H23" s="1068" t="str">
        <f>B9</f>
        <v>修正项4</v>
      </c>
      <c r="I23" s="1068" t="s">
        <v>1712</v>
      </c>
      <c r="J23" s="1068" t="str">
        <f>B11</f>
        <v>修正项5</v>
      </c>
      <c r="K23" s="1068" t="s">
        <v>1712</v>
      </c>
      <c r="L23" s="1068" t="str">
        <f>B13</f>
        <v>修正项6</v>
      </c>
      <c r="M23" s="1068" t="s">
        <v>1712</v>
      </c>
      <c r="N23" s="1068" t="str">
        <f>B15</f>
        <v>修正项7</v>
      </c>
      <c r="O23" s="1068" t="s">
        <v>1712</v>
      </c>
      <c r="P23" s="1068" t="str">
        <f>B17</f>
        <v>楼层</v>
      </c>
      <c r="Q23" s="1068" t="s">
        <v>1712</v>
      </c>
      <c r="R23" s="1126" t="s">
        <v>1726</v>
      </c>
      <c r="S23" s="1068" t="s">
        <v>1727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1728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1730</v>
      </c>
      <c r="D2" s="993" t="s">
        <v>1731</v>
      </c>
      <c r="E2" s="995">
        <f ca="1">SUMIF(E6:E13,"&lt;&gt;#ref!",E6:E13)</f>
        <v>0</v>
      </c>
      <c r="F2" s="992"/>
      <c r="G2" s="992"/>
      <c r="H2" s="992"/>
      <c r="I2" s="992"/>
      <c r="J2" s="992"/>
      <c r="K2" s="992"/>
      <c r="L2" s="992"/>
      <c r="M2" s="992"/>
      <c r="N2" s="992"/>
      <c r="O2" s="992"/>
      <c r="P2" s="992"/>
    </row>
    <row r="3" ht="15.75" spans="1:16">
      <c r="A3" s="993" t="s">
        <v>1732</v>
      </c>
      <c r="B3" s="994" t="e">
        <f ca="1">ROUND(B2*10000/E2,0)</f>
        <v>#DIV/0!</v>
      </c>
      <c r="C3" s="993" t="s">
        <v>1733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1734</v>
      </c>
      <c r="B5" s="998" t="s">
        <v>1735</v>
      </c>
      <c r="C5" s="999"/>
      <c r="D5" s="992"/>
      <c r="E5" s="1000" t="s">
        <v>1736</v>
      </c>
      <c r="F5" s="992"/>
      <c r="G5" s="992"/>
      <c r="H5" s="992"/>
      <c r="I5" s="992"/>
      <c r="J5" s="992"/>
      <c r="K5" s="992"/>
      <c r="L5" s="992"/>
      <c r="M5" s="992"/>
      <c r="N5" s="992"/>
      <c r="O5" s="992"/>
      <c r="P5" s="992"/>
    </row>
    <row r="6" spans="1:16">
      <c r="A6" s="1001" t="s">
        <v>1737</v>
      </c>
      <c r="B6" s="994" t="e">
        <f ca="1">SUMIF(INDIRECT("'"&amp;A6&amp;"'"&amp;"!A:A"),"总价",INDIRECT("'"&amp;A6&amp;"'"&amp;"!B:B"))</f>
        <v>#DIV/0!</v>
      </c>
      <c r="C6" s="993" t="s">
        <v>1730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1730</v>
      </c>
      <c r="D8" s="992"/>
      <c r="E8" s="995" t="e">
        <f ca="1" t="shared" si="0"/>
        <v>#REF!</v>
      </c>
      <c r="F8" s="992"/>
      <c r="G8" s="992"/>
      <c r="H8" s="992"/>
      <c r="I8" s="992"/>
      <c r="J8" s="992"/>
      <c r="K8" s="992"/>
      <c r="L8" s="992"/>
      <c r="M8" s="992"/>
      <c r="N8" s="992"/>
      <c r="O8" s="992"/>
      <c r="P8" s="992"/>
    </row>
    <row r="9" ht="15.75" spans="1:16">
      <c r="A9" s="1001"/>
      <c r="B9" s="994" t="e">
        <f ca="1" t="shared" si="1"/>
        <v>#REF!</v>
      </c>
      <c r="C9" s="993" t="s">
        <v>1730</v>
      </c>
      <c r="D9" s="992"/>
      <c r="E9" s="995" t="e">
        <f ca="1" t="shared" si="0"/>
        <v>#REF!</v>
      </c>
      <c r="F9" s="992"/>
      <c r="G9" s="992"/>
      <c r="H9" s="992"/>
      <c r="I9" s="992"/>
      <c r="J9" s="992"/>
      <c r="K9" s="992"/>
      <c r="L9" s="992"/>
      <c r="M9" s="992"/>
      <c r="N9" s="992"/>
      <c r="O9" s="992"/>
      <c r="P9" s="992"/>
    </row>
    <row r="10" ht="15.75" spans="1:16">
      <c r="A10" s="1001"/>
      <c r="B10" s="994" t="e">
        <f ca="1" t="shared" si="1"/>
        <v>#REF!</v>
      </c>
      <c r="C10" s="993" t="s">
        <v>1730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1738</v>
      </c>
      <c r="B1" s="399"/>
      <c r="C1" s="402" t="s">
        <v>1382</v>
      </c>
      <c r="D1" s="592">
        <f>SUM(D33:D34,D37:D42)</f>
        <v>0</v>
      </c>
      <c r="E1" s="593"/>
      <c r="F1" s="593"/>
      <c r="G1" s="593"/>
      <c r="H1" s="593"/>
      <c r="I1" s="593"/>
      <c r="J1" s="593"/>
      <c r="K1" s="585"/>
      <c r="L1" s="805" t="s">
        <v>1739</v>
      </c>
      <c r="M1" s="806">
        <f>SUMPRODUCT((区片价!B5:B9=I2)*(区片价!C3:G3=E2)*(区片价!C5:G9))</f>
        <v>0</v>
      </c>
      <c r="N1" s="807">
        <f>SUMPRODUCT((因素修正幅度!B5:B9=I2)*(因素修正幅度!C3:G3=E2)*(因素修正幅度!C5:G9))</f>
        <v>0</v>
      </c>
      <c r="O1" s="586"/>
      <c r="P1" s="586"/>
      <c r="Q1" s="585"/>
      <c r="R1" s="900" t="s">
        <v>1740</v>
      </c>
      <c r="S1" s="900" t="s">
        <v>1741</v>
      </c>
      <c r="T1" s="900" t="s">
        <v>1742</v>
      </c>
      <c r="U1" s="900" t="s">
        <v>1743</v>
      </c>
      <c r="V1" s="900" t="s">
        <v>1744</v>
      </c>
      <c r="W1" s="901"/>
      <c r="X1" s="901"/>
      <c r="Y1" s="901"/>
      <c r="Z1" s="901"/>
      <c r="AA1" s="901"/>
      <c r="AB1" s="901"/>
      <c r="AC1" s="914"/>
      <c r="AD1" s="915"/>
      <c r="AE1" s="915"/>
      <c r="AF1" s="915"/>
      <c r="AG1" s="915"/>
      <c r="AH1" s="915"/>
      <c r="AI1" s="915"/>
      <c r="AJ1" s="924"/>
    </row>
    <row r="2" ht="15.75" spans="1:36">
      <c r="A2" s="402" t="s">
        <v>1034</v>
      </c>
      <c r="B2" s="406" t="e">
        <f>C30</f>
        <v>#DIV/0!</v>
      </c>
      <c r="C2" s="594" t="s">
        <v>1035</v>
      </c>
      <c r="D2" s="595" t="s">
        <v>1745</v>
      </c>
      <c r="E2" s="596"/>
      <c r="F2" s="595" t="s">
        <v>1746</v>
      </c>
      <c r="G2" s="597">
        <f>IF(E2="商业",项目基本情况!B37,IF(E2="办公",项目基本情况!C37,IF(E2="住宅",项目基本情况!D37,IF(E2="工业",项目基本情况!E37,项目基本情况!F37))))</f>
        <v>0</v>
      </c>
      <c r="H2" s="595" t="s">
        <v>1747</v>
      </c>
      <c r="I2" s="597">
        <f>IF(E2="商业",项目基本情况!B38,IF(E2="办公",项目基本情况!C38,IF(E2="住宅",项目基本情况!D38,IF(E2="工业",项目基本情况!E38,项目基本情况!F38))))</f>
        <v>0</v>
      </c>
      <c r="J2" s="808"/>
      <c r="K2" s="585"/>
      <c r="L2" s="809" t="s">
        <v>1748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1036</v>
      </c>
      <c r="B3" s="406" t="e">
        <f>ROUND(B2*10000/D1,0)</f>
        <v>#DIV/0!</v>
      </c>
      <c r="C3" s="594" t="s">
        <v>1037</v>
      </c>
      <c r="D3" s="595" t="s">
        <v>1749</v>
      </c>
      <c r="E3" s="598"/>
      <c r="F3" s="599"/>
      <c r="G3" s="600">
        <f>IF(F3="宗地容积率",'数据-汇总表'!I4,IF(F3="估价对象容积率",'数据-汇总表'!I6,'数据-汇总表'!I7))</f>
        <v>0</v>
      </c>
      <c r="H3" s="601" t="s">
        <v>1750</v>
      </c>
      <c r="I3" s="811"/>
      <c r="J3" s="808" t="s">
        <v>1751</v>
      </c>
      <c r="K3" s="585"/>
      <c r="L3" s="809" t="s">
        <v>1752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940</v>
      </c>
      <c r="B5" s="606" t="s">
        <v>1754</v>
      </c>
      <c r="C5" s="607" t="e">
        <f>ROUND(IF(E2="商业",C6*C7*C17+C20,(IF(E2="住宅",C6*C13*C17+C20,IF(E2="办公",C6*C12*C17+C20,C6+C20)))),0)</f>
        <v>#DIV/0!</v>
      </c>
      <c r="D5" s="608" t="e">
        <f>ROUND(C6*C17+C20,0)</f>
        <v>#DIV/0!</v>
      </c>
      <c r="E5" s="608"/>
      <c r="F5" s="609"/>
      <c r="G5" s="610"/>
      <c r="H5" s="610"/>
      <c r="I5" s="610"/>
      <c r="J5" s="813"/>
      <c r="K5" s="814"/>
      <c r="L5" s="809" t="s">
        <v>1755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1039</v>
      </c>
      <c r="B6" s="612" t="s">
        <v>1756</v>
      </c>
      <c r="C6" s="613">
        <f>SUMIF(L1:L12,G2,M1:M12)</f>
        <v>0</v>
      </c>
      <c r="D6" s="614"/>
      <c r="E6" s="615"/>
      <c r="F6" s="615"/>
      <c r="G6" s="616"/>
      <c r="H6" s="616"/>
      <c r="I6" s="616"/>
      <c r="J6" s="815"/>
      <c r="K6" s="816"/>
      <c r="L6" s="809" t="s">
        <v>1757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1758</v>
      </c>
      <c r="B7" s="618" t="s">
        <v>1759</v>
      </c>
      <c r="C7" s="619" t="e">
        <f>IF(C8="不临65条商业街",1,ROUND(1+(1.6*E8+1.2*E9+0.8*E10+0.4*E11)*C9,4))</f>
        <v>#DIV/0!</v>
      </c>
      <c r="D7" s="620" t="s">
        <v>1760</v>
      </c>
      <c r="E7" s="621"/>
      <c r="F7" s="622"/>
      <c r="G7" s="623"/>
      <c r="H7" s="623"/>
      <c r="I7" s="623"/>
      <c r="J7" s="817"/>
      <c r="K7" s="816"/>
      <c r="L7" s="809" t="s">
        <v>1761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1762</v>
      </c>
      <c r="X7" s="906">
        <f>G2</f>
        <v>0</v>
      </c>
      <c r="Y7" s="906" t="s">
        <v>1763</v>
      </c>
      <c r="Z7" s="918">
        <f>G3</f>
        <v>0</v>
      </c>
      <c r="AA7" s="901"/>
      <c r="AB7" s="901"/>
      <c r="AC7" s="914"/>
      <c r="AD7" s="915"/>
      <c r="AE7" s="915"/>
      <c r="AF7" s="915"/>
      <c r="AG7" s="915"/>
      <c r="AH7" s="915"/>
      <c r="AI7" s="915"/>
      <c r="AJ7" s="924"/>
    </row>
    <row r="8" ht="15" spans="1:36">
      <c r="A8" s="624"/>
      <c r="B8" s="601" t="s">
        <v>1764</v>
      </c>
      <c r="C8" s="625"/>
      <c r="D8" s="626" t="s">
        <v>1765</v>
      </c>
      <c r="E8" s="627" t="e">
        <f>ROUND(C11/E7,4)</f>
        <v>#DIV/0!</v>
      </c>
      <c r="F8" s="628" t="s">
        <v>1766</v>
      </c>
      <c r="G8" s="629"/>
      <c r="H8" s="629"/>
      <c r="I8" s="629"/>
      <c r="J8" s="818"/>
      <c r="K8" s="585"/>
      <c r="L8" s="809" t="s">
        <v>1767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1768</v>
      </c>
      <c r="X8" s="908"/>
      <c r="Y8" s="919" t="s">
        <v>1769</v>
      </c>
      <c r="Z8" s="919" t="s">
        <v>1770</v>
      </c>
      <c r="AA8" s="919" t="s">
        <v>1771</v>
      </c>
      <c r="AB8" s="919" t="s">
        <v>1772</v>
      </c>
      <c r="AC8" s="919" t="s">
        <v>1773</v>
      </c>
      <c r="AD8" s="919" t="s">
        <v>1774</v>
      </c>
      <c r="AE8" s="919" t="s">
        <v>1775</v>
      </c>
      <c r="AF8" s="919" t="s">
        <v>1776</v>
      </c>
      <c r="AG8" s="919" t="s">
        <v>1777</v>
      </c>
      <c r="AH8" s="919" t="s">
        <v>1778</v>
      </c>
      <c r="AI8" s="919" t="s">
        <v>1779</v>
      </c>
      <c r="AJ8" s="919" t="s">
        <v>1780</v>
      </c>
    </row>
    <row r="9" ht="15" spans="1:36">
      <c r="A9" s="624"/>
      <c r="B9" s="601" t="s">
        <v>1781</v>
      </c>
      <c r="C9" s="630">
        <f>SUMIF(修正!C73:C140,C8,修正!E73:E140)</f>
        <v>0</v>
      </c>
      <c r="D9" s="631" t="s">
        <v>1782</v>
      </c>
      <c r="E9" s="631" t="e">
        <f>ROUND(C11/E7,4)</f>
        <v>#DIV/0!</v>
      </c>
      <c r="F9" s="628" t="s">
        <v>1783</v>
      </c>
      <c r="G9" s="629"/>
      <c r="H9" s="629"/>
      <c r="I9" s="629"/>
      <c r="J9" s="818"/>
      <c r="K9" s="585"/>
      <c r="L9" s="809" t="s">
        <v>1784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1786</v>
      </c>
      <c r="C10" s="631">
        <f>SUMIF(修正!C73:C140,C8,修正!F73:F140)</f>
        <v>0</v>
      </c>
      <c r="D10" s="631" t="s">
        <v>1787</v>
      </c>
      <c r="E10" s="631" t="e">
        <f>ROUND(C11/E7,4)</f>
        <v>#DIV/0!</v>
      </c>
      <c r="F10" s="628" t="s">
        <v>1788</v>
      </c>
      <c r="G10" s="629"/>
      <c r="H10" s="629"/>
      <c r="I10" s="629"/>
      <c r="J10" s="818"/>
      <c r="K10" s="585"/>
      <c r="L10" s="809" t="s">
        <v>1789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1790</v>
      </c>
      <c r="C11" s="634">
        <f>C10/4</f>
        <v>0</v>
      </c>
      <c r="D11" s="634" t="s">
        <v>1791</v>
      </c>
      <c r="E11" s="634" t="e">
        <f>ROUND(C11/E7,4)</f>
        <v>#DIV/0!</v>
      </c>
      <c r="F11" s="635" t="s">
        <v>1792</v>
      </c>
      <c r="G11" s="636"/>
      <c r="H11" s="636"/>
      <c r="I11" s="636"/>
      <c r="J11" s="819"/>
      <c r="K11" s="585"/>
      <c r="L11" s="809" t="s">
        <v>1793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1794</v>
      </c>
      <c r="B12" s="637" t="s">
        <v>1795</v>
      </c>
      <c r="C12" s="638"/>
      <c r="D12" s="639" t="s">
        <v>1796</v>
      </c>
      <c r="E12" s="640" t="s">
        <v>1797</v>
      </c>
      <c r="F12" s="641"/>
      <c r="G12" s="642"/>
      <c r="H12" s="642"/>
      <c r="I12" s="642"/>
      <c r="J12" s="820"/>
      <c r="K12" s="585"/>
      <c r="L12" s="821" t="s">
        <v>1798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1799</v>
      </c>
      <c r="B13" s="643" t="s">
        <v>1800</v>
      </c>
      <c r="C13" s="619">
        <f>ROUND(C16*D16*E16*F16*G16*H16*I16*J16,4)</f>
        <v>0</v>
      </c>
      <c r="D13" s="644" t="s">
        <v>1801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1802</v>
      </c>
      <c r="C14" s="649" t="s">
        <v>1803</v>
      </c>
      <c r="D14" s="650" t="s">
        <v>1804</v>
      </c>
      <c r="E14" s="651" t="s">
        <v>1805</v>
      </c>
      <c r="F14" s="652" t="s">
        <v>1806</v>
      </c>
      <c r="G14" s="652" t="s">
        <v>1806</v>
      </c>
      <c r="H14" s="652" t="s">
        <v>1806</v>
      </c>
      <c r="I14" s="652" t="s">
        <v>1806</v>
      </c>
      <c r="J14" s="652" t="s">
        <v>1806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1807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1808</v>
      </c>
      <c r="B17" s="663" t="s">
        <v>1809</v>
      </c>
      <c r="C17" s="664">
        <f>ROUND(IF(OR(E2="工业",E2="公共服务"),1,IF(AND(E18=0,E19=0),1,IF(AND(E18=J24,E19=G19),0.8,IF(E19=0,1+E17*(-0.2),1+E17*G17*(-0.2))))),4)</f>
        <v>1</v>
      </c>
      <c r="D17" s="665" t="s">
        <v>1810</v>
      </c>
      <c r="E17" s="664" t="e">
        <f>ROUND(G18/I18,2)</f>
        <v>#DIV/0!</v>
      </c>
      <c r="F17" s="665" t="s">
        <v>1811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1812</v>
      </c>
      <c r="E18" s="670"/>
      <c r="F18" s="671" t="s">
        <v>1813</v>
      </c>
      <c r="G18" s="668">
        <f>ROUND(1-(1/(POWER(1+G24,E18))),4)</f>
        <v>0</v>
      </c>
      <c r="H18" s="671" t="s">
        <v>1814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1815</v>
      </c>
      <c r="E19" s="675"/>
      <c r="F19" s="676" t="s">
        <v>1816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1817</v>
      </c>
      <c r="B20" s="678" t="s">
        <v>1818</v>
      </c>
      <c r="C20" s="679" t="e">
        <f>ROUND(IF(F21="与级别开发程度一致",0,(G21-E21)/C21),0)</f>
        <v>#DIV/0!</v>
      </c>
      <c r="D20" s="680" t="s">
        <v>1819</v>
      </c>
      <c r="E20" s="681"/>
      <c r="F20" s="682" t="s">
        <v>1820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1822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956</v>
      </c>
      <c r="B23" s="698" t="s">
        <v>1823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1824</v>
      </c>
      <c r="E23" s="701">
        <v>44197</v>
      </c>
      <c r="F23" s="700" t="s">
        <v>1825</v>
      </c>
      <c r="G23" s="702">
        <f>'数据-取费表'!B2</f>
        <v>45960</v>
      </c>
      <c r="H23" s="703"/>
      <c r="I23" s="842" t="str">
        <f>IF(H23="季度增幅（自定义）",SUMIF(N25:N28,E2,O25:O28),"")</f>
        <v/>
      </c>
      <c r="J23" s="843"/>
      <c r="K23" s="839"/>
      <c r="L23" s="844" t="s">
        <v>1826</v>
      </c>
      <c r="M23" s="845">
        <f>ROUND(SUMIF(地价!B2:G2,E2,地价!B16:G16),0)</f>
        <v>0</v>
      </c>
      <c r="N23" s="846" t="s">
        <v>1827</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1828</v>
      </c>
      <c r="C24" s="706" t="e">
        <f>ROUND(POWER(1+G24,J24-I24)*(POWER(1+G24,I24)-1)/(POWER(1+G24,J24)-1),4)</f>
        <v>#DIV/0!</v>
      </c>
      <c r="D24" s="707" t="s">
        <v>1829</v>
      </c>
      <c r="E24" s="708">
        <f>存贷款利率!E28/100</f>
        <v>0.0435</v>
      </c>
      <c r="F24" s="707" t="s">
        <v>1830</v>
      </c>
      <c r="G24" s="709">
        <f>SUMIF(M30:Q30,E2,M33:Q33)</f>
        <v>0</v>
      </c>
      <c r="H24" s="707" t="s">
        <v>1831</v>
      </c>
      <c r="I24" s="849" t="e">
        <f>SUMIF('数据-取费表'!C6:C15,E2,'数据-取费表'!F6:F15)/COUNTIF('数据-取费表'!C6:C15,E2)</f>
        <v>#DIV/0!</v>
      </c>
      <c r="J24" s="850">
        <f>IF(E2="住宅",70,IF(E2="商业",40,50))</f>
        <v>50</v>
      </c>
      <c r="K24" s="839"/>
      <c r="L24" s="851" t="s">
        <v>1832</v>
      </c>
      <c r="M24" s="852">
        <f>ROUND(SUMPRODUCT((地价!A4:A16=YEAR(G23)&amp;"-"&amp;ROUNDUP(MONTH(G23)/3,0))*(地价!B2:G2=E2)*(地价!B4:G16)),0)</f>
        <v>0</v>
      </c>
      <c r="N24" s="853" t="s">
        <v>1833</v>
      </c>
      <c r="O24" s="854" t="s">
        <v>1834</v>
      </c>
      <c r="P24" s="855" t="s">
        <v>1835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1836</v>
      </c>
      <c r="C25" s="712">
        <f>IF(B25="容积率修正",IF(G3&lt;10,D26,J26),C27)</f>
        <v>0</v>
      </c>
      <c r="D25" s="713"/>
      <c r="E25" s="713"/>
      <c r="F25" s="713"/>
      <c r="G25" s="713"/>
      <c r="H25" s="713"/>
      <c r="I25" s="713"/>
      <c r="J25" s="856"/>
      <c r="K25" s="839"/>
      <c r="L25" s="840"/>
      <c r="M25" s="840"/>
      <c r="N25" s="857" t="s">
        <v>1837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1838</v>
      </c>
      <c r="B26" s="715" t="s">
        <v>1839</v>
      </c>
      <c r="C26" s="716" t="s">
        <v>1840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1841</v>
      </c>
      <c r="J26" s="860" t="str">
        <f>IF(G3&gt;=10,D115,"——")</f>
        <v>——</v>
      </c>
      <c r="K26" s="839"/>
      <c r="L26" s="840"/>
      <c r="M26" s="840"/>
      <c r="N26" s="857" t="s">
        <v>1842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1843</v>
      </c>
      <c r="B27" s="718" t="s">
        <v>1844</v>
      </c>
      <c r="C27" s="719">
        <f>ROUND(IF(I3&lt;6,SUMPRODUCT((B106:B110=I3)*(C105:N105=G2)*(C106:N110)),SUMIF(C105:N105,G2,C112:N112)),4)</f>
        <v>0</v>
      </c>
      <c r="D27" s="720"/>
      <c r="E27" s="720"/>
      <c r="F27" s="721"/>
      <c r="G27" s="722"/>
      <c r="H27" s="723"/>
      <c r="I27" s="861"/>
      <c r="J27" s="862"/>
      <c r="K27" s="585"/>
      <c r="L27" s="586"/>
      <c r="M27" s="586"/>
      <c r="N27" s="857" t="s">
        <v>1845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1846</v>
      </c>
      <c r="B28" s="698" t="s">
        <v>1847</v>
      </c>
      <c r="C28" s="699">
        <f>SUMIF(A47:A101,E2,B47:B101)</f>
        <v>0</v>
      </c>
      <c r="D28" s="724"/>
      <c r="E28" s="725"/>
      <c r="F28" s="725"/>
      <c r="G28" s="725"/>
      <c r="H28" s="725"/>
      <c r="I28" s="725"/>
      <c r="J28" s="863"/>
      <c r="K28" s="839"/>
      <c r="L28" s="840"/>
      <c r="M28" s="840"/>
      <c r="N28" s="864" t="s">
        <v>1848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1849</v>
      </c>
      <c r="B29" s="726" t="s">
        <v>1850</v>
      </c>
      <c r="C29" s="727"/>
      <c r="D29" s="623"/>
      <c r="E29" s="623"/>
      <c r="F29" s="728"/>
      <c r="G29" s="623"/>
      <c r="H29" s="623"/>
      <c r="I29" s="623"/>
      <c r="J29" s="817"/>
      <c r="K29" s="585"/>
      <c r="L29" s="586"/>
      <c r="M29" s="586"/>
      <c r="N29" s="867" t="s">
        <v>1851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1852</v>
      </c>
      <c r="C30" s="730" t="e">
        <f>IF(B25="容积率修正",E33+SUM(E37:E42),SUM(V2:V16)+SUM(E37:E42))</f>
        <v>#DIV/0!</v>
      </c>
      <c r="D30" s="731"/>
      <c r="E30" s="720"/>
      <c r="F30" s="732"/>
      <c r="G30" s="720"/>
      <c r="H30" s="720"/>
      <c r="I30" s="720"/>
      <c r="J30" s="870"/>
      <c r="K30" s="585"/>
      <c r="L30" s="871" t="s">
        <v>1745</v>
      </c>
      <c r="M30" s="872" t="s">
        <v>1853</v>
      </c>
      <c r="N30" s="872" t="s">
        <v>1854</v>
      </c>
      <c r="O30" s="872" t="s">
        <v>1855</v>
      </c>
      <c r="P30" s="872" t="s">
        <v>1856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1857</v>
      </c>
      <c r="C31" s="734" t="e">
        <f>E34+SUM(I37:I42)</f>
        <v>#DIV/0!</v>
      </c>
      <c r="D31" s="735"/>
      <c r="E31" s="736"/>
      <c r="F31" s="737"/>
      <c r="G31" s="736"/>
      <c r="H31" s="736"/>
      <c r="I31" s="736"/>
      <c r="J31" s="873"/>
      <c r="K31" s="585"/>
      <c r="L31" s="874" t="s">
        <v>1858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1859</v>
      </c>
      <c r="C32" s="740" t="s">
        <v>1860</v>
      </c>
      <c r="D32" s="740" t="s">
        <v>606</v>
      </c>
      <c r="E32" s="741" t="s">
        <v>1861</v>
      </c>
      <c r="F32" s="742"/>
      <c r="G32" s="646"/>
      <c r="H32" s="646"/>
      <c r="I32" s="646"/>
      <c r="J32" s="823"/>
      <c r="K32" s="585"/>
      <c r="L32" s="875" t="s">
        <v>1830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1862</v>
      </c>
      <c r="C33" s="745" t="e">
        <f>ROUND(C5*C22*C23*C24*C25*C28,0)</f>
        <v>#DIV/0!</v>
      </c>
      <c r="D33" s="746"/>
      <c r="E33" s="747" t="e">
        <f>ROUND(C33*D33/10000,0)</f>
        <v>#DIV/0!</v>
      </c>
      <c r="F33" s="748" t="s">
        <v>1863</v>
      </c>
      <c r="G33" s="749"/>
      <c r="H33" s="749"/>
      <c r="I33" s="749"/>
      <c r="J33" s="877"/>
      <c r="K33" s="585"/>
      <c r="L33" s="878" t="s">
        <v>1864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1865</v>
      </c>
      <c r="C34" s="688" t="e">
        <f>ROUND(IF(E2="工业",C33*M42,IF(B25="楼层修正",SUM(V2:V16)*M41*10000/D34,C33*M41)),0)</f>
        <v>#DIV/0!</v>
      </c>
      <c r="D34" s="752"/>
      <c r="E34" s="747" t="e">
        <f>ROUND(IF(B25="楼层修正",SUM(V2:V16)*M40,C34*D34/10000),0)</f>
        <v>#DIV/0!</v>
      </c>
      <c r="F34" s="753" t="s">
        <v>1866</v>
      </c>
      <c r="G34" s="754"/>
      <c r="H34" s="754"/>
      <c r="I34" s="754"/>
      <c r="J34" s="880"/>
      <c r="K34" s="585"/>
      <c r="L34" s="878" t="s">
        <v>1867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1868</v>
      </c>
      <c r="C35" s="757" t="s">
        <v>1869</v>
      </c>
      <c r="D35" s="646"/>
      <c r="E35" s="758"/>
      <c r="F35" s="758"/>
      <c r="G35" s="644" t="s">
        <v>1866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1860</v>
      </c>
      <c r="D36" s="761" t="s">
        <v>606</v>
      </c>
      <c r="E36" s="761" t="s">
        <v>1861</v>
      </c>
      <c r="F36" s="592" t="s">
        <v>1870</v>
      </c>
      <c r="G36" s="762" t="s">
        <v>1860</v>
      </c>
      <c r="H36" s="762" t="s">
        <v>606</v>
      </c>
      <c r="I36" s="762" t="s">
        <v>1861</v>
      </c>
      <c r="J36" s="453"/>
      <c r="K36" s="882" t="s">
        <v>1871</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1873</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1876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1877</v>
      </c>
      <c r="M40" s="889"/>
      <c r="Z40" s="769"/>
      <c r="AA40" s="769"/>
      <c r="AB40" s="769"/>
      <c r="AC40" s="769"/>
      <c r="AD40" s="769"/>
      <c r="AE40" s="769"/>
      <c r="AF40" s="769"/>
      <c r="AG40" s="769"/>
      <c r="AH40" s="769"/>
      <c r="AI40" s="769"/>
      <c r="AJ40" s="769"/>
    </row>
    <row r="41" s="585" customFormat="1" spans="1:36">
      <c r="A41" s="766"/>
      <c r="B41" s="649" t="s">
        <v>1878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1879</v>
      </c>
      <c r="M41" s="891">
        <v>0.25</v>
      </c>
      <c r="Z41" s="769"/>
      <c r="AA41" s="769"/>
      <c r="AB41" s="769"/>
      <c r="AC41" s="769"/>
      <c r="AD41" s="769"/>
      <c r="AE41" s="769"/>
      <c r="AF41" s="769"/>
      <c r="AG41" s="769"/>
      <c r="AH41" s="769"/>
      <c r="AI41" s="769"/>
      <c r="AJ41" s="769"/>
    </row>
    <row r="42" s="585" customFormat="1" ht="13.5" spans="1:36">
      <c r="A42" s="750"/>
      <c r="B42" s="767" t="s">
        <v>1880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1856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1881</v>
      </c>
      <c r="C44" s="592" t="e">
        <f>ROUND(POWER(1+E44,H44-G44)*(POWER(1+E44,G44)-1)/(POWER(1+E44,H44)-1),4)</f>
        <v>#DIV/0!</v>
      </c>
      <c r="D44" s="631" t="s">
        <v>1830</v>
      </c>
      <c r="E44" s="771">
        <f>G24</f>
        <v>0</v>
      </c>
      <c r="F44" s="631" t="s">
        <v>1831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1884</v>
      </c>
      <c r="B49" s="785" t="s">
        <v>1885</v>
      </c>
      <c r="C49" s="785" t="s">
        <v>1886</v>
      </c>
      <c r="D49" s="785" t="s">
        <v>1887</v>
      </c>
      <c r="E49" s="786" t="s">
        <v>1888</v>
      </c>
      <c r="F49" s="787" t="s">
        <v>1889</v>
      </c>
      <c r="G49" s="785" t="s">
        <v>1712</v>
      </c>
      <c r="H49" s="788" t="s">
        <v>1890</v>
      </c>
      <c r="I49" s="785" t="s">
        <v>1891</v>
      </c>
      <c r="J49" s="896" t="s">
        <v>1442</v>
      </c>
      <c r="K49" s="896" t="s">
        <v>1443</v>
      </c>
      <c r="L49" s="896" t="s">
        <v>1444</v>
      </c>
      <c r="M49" s="896" t="s">
        <v>1445</v>
      </c>
      <c r="N49" s="896" t="s">
        <v>1446</v>
      </c>
      <c r="AA49" s="769"/>
      <c r="AB49" s="769"/>
      <c r="AC49" s="769"/>
      <c r="AD49" s="769"/>
      <c r="AE49" s="769"/>
      <c r="AF49" s="769"/>
      <c r="AG49" s="769"/>
      <c r="AH49" s="769"/>
      <c r="AI49" s="769"/>
      <c r="AJ49" s="769"/>
      <c r="AK49" s="769"/>
    </row>
    <row r="50" s="585" customFormat="1" ht="36.75" spans="1:37">
      <c r="A50" s="784" t="s">
        <v>1892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1895</v>
      </c>
      <c r="B53" s="798" t="s">
        <v>1896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1898</v>
      </c>
      <c r="B55" s="799" t="s">
        <v>1899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1884</v>
      </c>
      <c r="B60" s="785"/>
      <c r="C60" s="785" t="s">
        <v>1886</v>
      </c>
      <c r="D60" s="785" t="s">
        <v>1887</v>
      </c>
      <c r="E60" s="786" t="s">
        <v>1888</v>
      </c>
      <c r="F60" s="787" t="s">
        <v>1904</v>
      </c>
      <c r="G60" s="785" t="s">
        <v>1712</v>
      </c>
      <c r="H60" s="788" t="s">
        <v>1890</v>
      </c>
      <c r="I60" s="785" t="s">
        <v>1891</v>
      </c>
      <c r="J60" s="896" t="s">
        <v>1442</v>
      </c>
      <c r="K60" s="896" t="s">
        <v>1443</v>
      </c>
      <c r="L60" s="896" t="s">
        <v>1444</v>
      </c>
      <c r="M60" s="896" t="s">
        <v>1445</v>
      </c>
      <c r="N60" s="896" t="s">
        <v>1446</v>
      </c>
      <c r="AA60" s="769"/>
      <c r="AB60" s="769"/>
      <c r="AC60" s="769"/>
      <c r="AD60" s="769"/>
      <c r="AE60" s="769"/>
      <c r="AF60" s="769"/>
      <c r="AG60" s="769"/>
      <c r="AH60" s="769"/>
      <c r="AI60" s="769"/>
      <c r="AJ60" s="769"/>
      <c r="AK60" s="769"/>
    </row>
    <row r="61" s="585" customFormat="1" ht="36.75" spans="1:37">
      <c r="A61" s="784" t="s">
        <v>1905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1895</v>
      </c>
      <c r="B64" s="798" t="s">
        <v>1896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1898</v>
      </c>
      <c r="B66" s="799" t="s">
        <v>1899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1906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1884</v>
      </c>
      <c r="B71" s="785"/>
      <c r="C71" s="785" t="s">
        <v>1886</v>
      </c>
      <c r="D71" s="785" t="s">
        <v>1887</v>
      </c>
      <c r="E71" s="786" t="s">
        <v>1888</v>
      </c>
      <c r="F71" s="787" t="s">
        <v>1904</v>
      </c>
      <c r="G71" s="785" t="s">
        <v>1712</v>
      </c>
      <c r="H71" s="788" t="s">
        <v>1890</v>
      </c>
      <c r="I71" s="785" t="s">
        <v>1891</v>
      </c>
      <c r="J71" s="896" t="s">
        <v>1442</v>
      </c>
      <c r="K71" s="896" t="s">
        <v>1443</v>
      </c>
      <c r="L71" s="896" t="s">
        <v>1444</v>
      </c>
      <c r="M71" s="896" t="s">
        <v>1445</v>
      </c>
      <c r="N71" s="896" t="s">
        <v>1446</v>
      </c>
      <c r="AA71" s="769"/>
      <c r="AB71" s="769"/>
      <c r="AC71" s="769"/>
      <c r="AD71" s="769"/>
      <c r="AE71" s="769"/>
      <c r="AF71" s="769"/>
      <c r="AG71" s="769"/>
      <c r="AH71" s="769"/>
      <c r="AI71" s="769"/>
      <c r="AJ71" s="769"/>
      <c r="AK71" s="769"/>
    </row>
    <row r="72" s="585" customFormat="1" ht="48" spans="1:37">
      <c r="A72" s="784" t="s">
        <v>1907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1898</v>
      </c>
      <c r="B78" s="799" t="s">
        <v>1899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1910</v>
      </c>
      <c r="B81" s="779">
        <f>1+E83</f>
        <v>1</v>
      </c>
      <c r="C81" s="781"/>
      <c r="D81" s="781"/>
      <c r="E81" s="782"/>
      <c r="F81" s="783"/>
      <c r="G81" s="777"/>
      <c r="H81" s="777"/>
      <c r="I81" s="777"/>
      <c r="J81" s="776"/>
      <c r="K81" s="776"/>
      <c r="L81" s="776"/>
      <c r="M81" s="776"/>
      <c r="N81" s="776"/>
      <c r="Z81" s="589"/>
      <c r="AA81" s="587"/>
      <c r="AG81" s="591"/>
      <c r="AK81" s="587"/>
    </row>
    <row r="82" ht="24.75" spans="1:37">
      <c r="A82" s="784" t="s">
        <v>1884</v>
      </c>
      <c r="B82" s="785"/>
      <c r="C82" s="785" t="s">
        <v>1886</v>
      </c>
      <c r="D82" s="785" t="s">
        <v>1887</v>
      </c>
      <c r="E82" s="786" t="s">
        <v>1888</v>
      </c>
      <c r="F82" s="787" t="s">
        <v>1904</v>
      </c>
      <c r="G82" s="785" t="s">
        <v>1712</v>
      </c>
      <c r="H82" s="788" t="s">
        <v>1890</v>
      </c>
      <c r="I82" s="785" t="s">
        <v>1891</v>
      </c>
      <c r="J82" s="896" t="s">
        <v>1442</v>
      </c>
      <c r="K82" s="896" t="s">
        <v>1443</v>
      </c>
      <c r="L82" s="896" t="s">
        <v>1444</v>
      </c>
      <c r="M82" s="896" t="s">
        <v>1445</v>
      </c>
      <c r="N82" s="896" t="s">
        <v>1446</v>
      </c>
      <c r="Z82" s="589"/>
      <c r="AA82" s="587"/>
      <c r="AG82" s="591"/>
      <c r="AK82" s="587"/>
    </row>
    <row r="83" ht="38.25" spans="1:37">
      <c r="A83" s="784" t="s">
        <v>1911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1908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1898</v>
      </c>
      <c r="B89" s="799" t="s">
        <v>1912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1884</v>
      </c>
      <c r="B92" s="943"/>
      <c r="C92" s="943" t="s">
        <v>1886</v>
      </c>
      <c r="D92" s="943" t="s">
        <v>1887</v>
      </c>
      <c r="E92" s="912" t="s">
        <v>1888</v>
      </c>
      <c r="F92" s="944" t="s">
        <v>1904</v>
      </c>
      <c r="G92" s="943" t="s">
        <v>1712</v>
      </c>
      <c r="H92" s="945" t="s">
        <v>1890</v>
      </c>
      <c r="I92" s="943" t="s">
        <v>1891</v>
      </c>
      <c r="J92" s="981" t="s">
        <v>1442</v>
      </c>
      <c r="K92" s="981" t="s">
        <v>1443</v>
      </c>
      <c r="L92" s="981" t="s">
        <v>1444</v>
      </c>
      <c r="M92" s="981" t="s">
        <v>1445</v>
      </c>
      <c r="N92" s="981" t="s">
        <v>1446</v>
      </c>
    </row>
    <row r="93" ht="24" spans="1:14">
      <c r="A93" s="797" t="s">
        <v>1914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1895</v>
      </c>
      <c r="B96" s="951" t="s">
        <v>1896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1897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1898</v>
      </c>
      <c r="B98" s="952" t="s">
        <v>1899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1915</v>
      </c>
      <c r="B103" s="956"/>
      <c r="C103" s="956"/>
      <c r="D103" s="956"/>
      <c r="E103" s="956"/>
      <c r="F103" s="956"/>
      <c r="G103" s="956"/>
      <c r="H103" s="956"/>
      <c r="I103" s="956"/>
      <c r="J103" s="956"/>
      <c r="K103" s="956"/>
      <c r="L103" s="956"/>
      <c r="M103" s="956"/>
      <c r="N103" s="956"/>
    </row>
    <row r="104" spans="1:14">
      <c r="A104" s="957" t="s">
        <v>1916</v>
      </c>
      <c r="B104" s="957" t="s">
        <v>1917</v>
      </c>
      <c r="C104" s="958" t="s">
        <v>1918</v>
      </c>
      <c r="D104" s="959"/>
      <c r="E104" s="959"/>
      <c r="F104" s="959"/>
      <c r="G104" s="959"/>
      <c r="H104" s="959"/>
      <c r="I104" s="959"/>
      <c r="J104" s="982"/>
      <c r="K104" s="983"/>
      <c r="L104" s="983"/>
      <c r="M104" s="983"/>
      <c r="N104" s="983"/>
    </row>
    <row r="105" spans="1:14">
      <c r="A105" s="957"/>
      <c r="B105" s="957"/>
      <c r="C105" s="957" t="s">
        <v>1769</v>
      </c>
      <c r="D105" s="957" t="s">
        <v>1770</v>
      </c>
      <c r="E105" s="957" t="s">
        <v>1771</v>
      </c>
      <c r="F105" s="957" t="s">
        <v>1772</v>
      </c>
      <c r="G105" s="957" t="s">
        <v>1773</v>
      </c>
      <c r="H105" s="957" t="s">
        <v>1774</v>
      </c>
      <c r="I105" s="957" t="s">
        <v>1775</v>
      </c>
      <c r="J105" s="957" t="s">
        <v>1776</v>
      </c>
      <c r="K105" s="957" t="s">
        <v>1777</v>
      </c>
      <c r="L105" s="957" t="s">
        <v>1778</v>
      </c>
      <c r="M105" s="957" t="s">
        <v>1779</v>
      </c>
      <c r="N105" s="957" t="s">
        <v>1780</v>
      </c>
    </row>
    <row r="106" spans="1:14">
      <c r="A106" s="960" t="s">
        <v>1919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1921</v>
      </c>
      <c r="B116" s="967">
        <f>G3</f>
        <v>0</v>
      </c>
      <c r="C116" s="968" t="s">
        <v>1922</v>
      </c>
      <c r="D116" s="969">
        <f>SUMPRODUCT((A118:A122=F116)*(B117:M117=H116)*B118:M122)</f>
        <v>0</v>
      </c>
      <c r="E116" s="595" t="s">
        <v>1745</v>
      </c>
      <c r="F116" s="970">
        <f>E2</f>
        <v>0</v>
      </c>
      <c r="G116" s="595" t="s">
        <v>1746</v>
      </c>
      <c r="H116" s="970">
        <f>G2</f>
        <v>0</v>
      </c>
      <c r="I116" s="595"/>
      <c r="J116" s="984"/>
      <c r="K116" s="984"/>
      <c r="L116" s="984"/>
      <c r="M116" s="984"/>
      <c r="N116" s="965"/>
    </row>
    <row r="117" spans="1:14">
      <c r="A117" s="971"/>
      <c r="B117" s="972" t="s">
        <v>1923</v>
      </c>
      <c r="C117" s="972" t="s">
        <v>1924</v>
      </c>
      <c r="D117" s="972" t="s">
        <v>1925</v>
      </c>
      <c r="E117" s="973" t="s">
        <v>1926</v>
      </c>
      <c r="F117" s="973" t="s">
        <v>1927</v>
      </c>
      <c r="G117" s="973" t="s">
        <v>1928</v>
      </c>
      <c r="H117" s="974" t="s">
        <v>1929</v>
      </c>
      <c r="I117" s="974" t="s">
        <v>1930</v>
      </c>
      <c r="J117" s="985" t="s">
        <v>1931</v>
      </c>
      <c r="K117" s="985" t="s">
        <v>1932</v>
      </c>
      <c r="L117" s="985" t="s">
        <v>1933</v>
      </c>
      <c r="M117" s="986" t="s">
        <v>1934</v>
      </c>
      <c r="N117" s="965"/>
    </row>
    <row r="118" spans="1:14">
      <c r="A118" s="975" t="s">
        <v>1853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1855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1856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1937</v>
      </c>
      <c r="B18" s="526"/>
      <c r="C18" s="527"/>
      <c r="D18" s="527"/>
      <c r="E18" s="526"/>
      <c r="F18" s="527"/>
      <c r="G18" s="527"/>
    </row>
    <row r="19" customHeight="1" spans="1:7">
      <c r="A19" s="525" t="s">
        <v>1938</v>
      </c>
      <c r="B19" s="528" t="s">
        <v>1939</v>
      </c>
      <c r="C19" s="528" t="s">
        <v>1940</v>
      </c>
      <c r="D19" s="529"/>
      <c r="E19" s="525" t="s">
        <v>1941</v>
      </c>
      <c r="F19" s="530"/>
      <c r="G19" s="530"/>
    </row>
    <row r="20" customHeight="1" spans="1:7">
      <c r="A20" s="531" t="s">
        <v>229</v>
      </c>
      <c r="B20" s="532" t="s">
        <v>1942</v>
      </c>
      <c r="C20" s="532" t="s">
        <v>244</v>
      </c>
      <c r="D20" s="532"/>
      <c r="E20" s="533">
        <v>1</v>
      </c>
      <c r="F20" s="534" t="s">
        <v>1943</v>
      </c>
      <c r="G20" s="534"/>
    </row>
    <row r="21" customHeight="1" spans="1:7">
      <c r="A21" s="535"/>
      <c r="B21" s="536"/>
      <c r="C21" s="536" t="s">
        <v>259</v>
      </c>
      <c r="D21" s="536"/>
      <c r="E21" s="537">
        <v>1</v>
      </c>
      <c r="F21" s="534" t="s">
        <v>1944</v>
      </c>
      <c r="G21" s="534"/>
    </row>
    <row r="22" customHeight="1" spans="1:7">
      <c r="A22" s="535"/>
      <c r="B22" s="536"/>
      <c r="C22" s="536" t="s">
        <v>270</v>
      </c>
      <c r="D22" s="536"/>
      <c r="E22" s="537">
        <v>0.9</v>
      </c>
      <c r="F22" s="534" t="s">
        <v>1945</v>
      </c>
      <c r="G22" s="534"/>
    </row>
    <row r="23" customHeight="1" spans="1:7">
      <c r="A23" s="535"/>
      <c r="B23" s="536"/>
      <c r="C23" s="536" t="s">
        <v>281</v>
      </c>
      <c r="D23" s="536"/>
      <c r="E23" s="537">
        <v>0.9</v>
      </c>
      <c r="F23" s="534" t="s">
        <v>1946</v>
      </c>
      <c r="G23" s="534"/>
    </row>
    <row r="24" customHeight="1" spans="1:7">
      <c r="A24" s="535"/>
      <c r="B24" s="536"/>
      <c r="C24" s="536" t="s">
        <v>290</v>
      </c>
      <c r="D24" s="536"/>
      <c r="E24" s="537">
        <v>0.8</v>
      </c>
      <c r="F24" s="534" t="s">
        <v>1947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1948</v>
      </c>
      <c r="G27" s="534"/>
    </row>
    <row r="28" customHeight="1" spans="1:7">
      <c r="A28" s="544" t="s">
        <v>230</v>
      </c>
      <c r="B28" s="545" t="s">
        <v>1942</v>
      </c>
      <c r="C28" s="546" t="s">
        <v>245</v>
      </c>
      <c r="D28" s="547"/>
      <c r="E28" s="548">
        <v>1</v>
      </c>
      <c r="F28" s="534" t="s">
        <v>1949</v>
      </c>
      <c r="G28" s="534"/>
    </row>
    <row r="29" customHeight="1" spans="1:7">
      <c r="A29" s="549" t="s">
        <v>231</v>
      </c>
      <c r="B29" s="550" t="s">
        <v>231</v>
      </c>
      <c r="C29" s="551" t="s">
        <v>246</v>
      </c>
      <c r="D29" s="552"/>
      <c r="E29" s="533">
        <v>1</v>
      </c>
      <c r="F29" s="534" t="s">
        <v>1950</v>
      </c>
      <c r="G29" s="534"/>
    </row>
    <row r="30" customHeight="1" spans="1:7">
      <c r="A30" s="553"/>
      <c r="B30" s="554"/>
      <c r="C30" s="555" t="s">
        <v>260</v>
      </c>
      <c r="D30" s="556"/>
      <c r="E30" s="537">
        <v>1</v>
      </c>
      <c r="F30" s="534" t="s">
        <v>1951</v>
      </c>
      <c r="G30" s="534"/>
    </row>
    <row r="31" customHeight="1" spans="1:7">
      <c r="A31" s="553"/>
      <c r="B31" s="554"/>
      <c r="C31" s="555" t="s">
        <v>271</v>
      </c>
      <c r="D31" s="556"/>
      <c r="E31" s="537">
        <v>0.8</v>
      </c>
      <c r="F31" s="534" t="s">
        <v>1952</v>
      </c>
      <c r="G31" s="534"/>
    </row>
    <row r="32" customHeight="1" spans="1:7">
      <c r="A32" s="553"/>
      <c r="B32" s="554"/>
      <c r="C32" s="555" t="s">
        <v>282</v>
      </c>
      <c r="D32" s="556"/>
      <c r="E32" s="537">
        <v>0.8</v>
      </c>
      <c r="F32" s="534" t="s">
        <v>1953</v>
      </c>
      <c r="G32" s="534"/>
    </row>
    <row r="33" customHeight="1" spans="1:7">
      <c r="A33" s="553"/>
      <c r="B33" s="554"/>
      <c r="C33" s="555" t="s">
        <v>291</v>
      </c>
      <c r="D33" s="556"/>
      <c r="E33" s="537">
        <v>0.8</v>
      </c>
      <c r="F33" s="534" t="s">
        <v>1954</v>
      </c>
      <c r="G33" s="534"/>
    </row>
    <row r="34" customHeight="1" spans="1:7">
      <c r="A34" s="553"/>
      <c r="B34" s="554"/>
      <c r="C34" s="555" t="s">
        <v>299</v>
      </c>
      <c r="D34" s="556"/>
      <c r="E34" s="537">
        <v>0.7</v>
      </c>
      <c r="F34" s="534" t="s">
        <v>1955</v>
      </c>
      <c r="G34" s="534"/>
    </row>
    <row r="35" customHeight="1" spans="1:7">
      <c r="A35" s="553"/>
      <c r="B35" s="554"/>
      <c r="C35" s="555" t="s">
        <v>307</v>
      </c>
      <c r="D35" s="556"/>
      <c r="E35" s="537">
        <v>0.8</v>
      </c>
      <c r="F35" s="534" t="s">
        <v>1956</v>
      </c>
      <c r="G35" s="534"/>
    </row>
    <row r="36" customHeight="1" spans="1:7">
      <c r="A36" s="553"/>
      <c r="B36" s="554"/>
      <c r="C36" s="555" t="s">
        <v>314</v>
      </c>
      <c r="D36" s="556"/>
      <c r="E36" s="537">
        <v>0.6</v>
      </c>
      <c r="F36" s="534" t="s">
        <v>1957</v>
      </c>
      <c r="G36" s="534"/>
    </row>
    <row r="37" customHeight="1" spans="1:7">
      <c r="A37" s="553"/>
      <c r="B37" s="554"/>
      <c r="C37" s="555" t="s">
        <v>320</v>
      </c>
      <c r="D37" s="556"/>
      <c r="E37" s="537">
        <v>0.2</v>
      </c>
      <c r="F37" s="534" t="s">
        <v>1958</v>
      </c>
      <c r="G37" s="534"/>
    </row>
    <row r="38" customHeight="1" spans="1:7">
      <c r="A38" s="553"/>
      <c r="B38" s="554"/>
      <c r="C38" s="555" t="s">
        <v>326</v>
      </c>
      <c r="D38" s="556"/>
      <c r="E38" s="537">
        <v>0.2</v>
      </c>
      <c r="F38" s="534" t="s">
        <v>1959</v>
      </c>
      <c r="G38" s="534"/>
    </row>
    <row r="39" customHeight="1" spans="1:7">
      <c r="A39" s="553"/>
      <c r="B39" s="557" t="s">
        <v>1960</v>
      </c>
      <c r="C39" s="555" t="s">
        <v>332</v>
      </c>
      <c r="D39" s="556"/>
      <c r="E39" s="537">
        <v>0.6</v>
      </c>
      <c r="F39" s="534" t="s">
        <v>1961</v>
      </c>
      <c r="G39" s="534"/>
    </row>
    <row r="40" customHeight="1" spans="1:7">
      <c r="A40" s="553"/>
      <c r="B40" s="554"/>
      <c r="C40" s="555" t="s">
        <v>338</v>
      </c>
      <c r="D40" s="556"/>
      <c r="E40" s="537">
        <v>0.6</v>
      </c>
      <c r="F40" s="534" t="s">
        <v>1962</v>
      </c>
      <c r="G40" s="534"/>
    </row>
    <row r="41" customHeight="1" spans="1:7">
      <c r="A41" s="544"/>
      <c r="B41" s="545"/>
      <c r="C41" s="558" t="s">
        <v>342</v>
      </c>
      <c r="D41" s="559"/>
      <c r="E41" s="560">
        <v>0.6</v>
      </c>
      <c r="F41" s="534" t="s">
        <v>1963</v>
      </c>
      <c r="G41" s="534"/>
    </row>
    <row r="42" customHeight="1" spans="1:7">
      <c r="A42" s="561" t="s">
        <v>232</v>
      </c>
      <c r="B42" s="562" t="s">
        <v>232</v>
      </c>
      <c r="C42" s="563" t="s">
        <v>247</v>
      </c>
      <c r="D42" s="564"/>
      <c r="E42" s="565">
        <v>1</v>
      </c>
      <c r="F42" s="534" t="s">
        <v>1964</v>
      </c>
      <c r="G42" s="534"/>
    </row>
    <row r="43" customHeight="1" spans="1:7">
      <c r="A43" s="531" t="s">
        <v>233</v>
      </c>
      <c r="B43" s="550" t="s">
        <v>1965</v>
      </c>
      <c r="C43" s="551" t="s">
        <v>248</v>
      </c>
      <c r="D43" s="552"/>
      <c r="E43" s="533">
        <v>1</v>
      </c>
      <c r="F43" s="534" t="s">
        <v>1966</v>
      </c>
      <c r="G43" s="534"/>
    </row>
    <row r="44" customHeight="1" spans="1:7">
      <c r="A44" s="535"/>
      <c r="B44" s="554"/>
      <c r="C44" s="555" t="s">
        <v>261</v>
      </c>
      <c r="D44" s="556"/>
      <c r="E44" s="537">
        <v>1</v>
      </c>
      <c r="F44" s="534" t="s">
        <v>1967</v>
      </c>
      <c r="G44" s="534"/>
    </row>
    <row r="45" customHeight="1" spans="1:7">
      <c r="A45" s="535"/>
      <c r="B45" s="566"/>
      <c r="C45" s="555" t="s">
        <v>272</v>
      </c>
      <c r="D45" s="556"/>
      <c r="E45" s="537">
        <v>1.5</v>
      </c>
      <c r="F45" s="534" t="s">
        <v>1968</v>
      </c>
      <c r="G45" s="534"/>
    </row>
    <row r="46" customHeight="1" spans="1:7">
      <c r="A46" s="535"/>
      <c r="B46" s="536" t="s">
        <v>231</v>
      </c>
      <c r="C46" s="555" t="s">
        <v>283</v>
      </c>
      <c r="D46" s="556"/>
      <c r="E46" s="537">
        <v>2</v>
      </c>
      <c r="F46" s="534" t="s">
        <v>1969</v>
      </c>
      <c r="G46" s="534"/>
    </row>
    <row r="47" customHeight="1" spans="1:7">
      <c r="A47" s="535"/>
      <c r="B47" s="557" t="s">
        <v>1970</v>
      </c>
      <c r="C47" s="555" t="s">
        <v>292</v>
      </c>
      <c r="D47" s="556"/>
      <c r="E47" s="537">
        <v>1</v>
      </c>
      <c r="F47" s="534" t="s">
        <v>1971</v>
      </c>
      <c r="G47" s="534"/>
    </row>
    <row r="48" customHeight="1" spans="1:7">
      <c r="A48" s="535"/>
      <c r="B48" s="554"/>
      <c r="C48" s="555" t="s">
        <v>300</v>
      </c>
      <c r="D48" s="556"/>
      <c r="E48" s="537">
        <v>1</v>
      </c>
      <c r="F48" s="534" t="s">
        <v>1972</v>
      </c>
      <c r="G48" s="534"/>
    </row>
    <row r="49" customHeight="1" spans="1:7">
      <c r="A49" s="535"/>
      <c r="B49" s="554"/>
      <c r="C49" s="555" t="s">
        <v>308</v>
      </c>
      <c r="D49" s="556"/>
      <c r="E49" s="537">
        <v>1</v>
      </c>
      <c r="F49" s="534" t="s">
        <v>1973</v>
      </c>
      <c r="G49" s="534"/>
    </row>
    <row r="50" customHeight="1" spans="1:7">
      <c r="A50" s="535"/>
      <c r="B50" s="554"/>
      <c r="C50" s="555" t="s">
        <v>315</v>
      </c>
      <c r="D50" s="556"/>
      <c r="E50" s="537">
        <v>1</v>
      </c>
      <c r="F50" s="534" t="s">
        <v>1974</v>
      </c>
      <c r="G50" s="534"/>
    </row>
    <row r="51" customHeight="1" spans="1:7">
      <c r="A51" s="535"/>
      <c r="B51" s="554"/>
      <c r="C51" s="555" t="s">
        <v>321</v>
      </c>
      <c r="D51" s="556"/>
      <c r="E51" s="537">
        <v>1</v>
      </c>
      <c r="F51" s="534" t="s">
        <v>1975</v>
      </c>
      <c r="G51" s="534"/>
    </row>
    <row r="52" customHeight="1" spans="1:7">
      <c r="A52" s="535"/>
      <c r="B52" s="554"/>
      <c r="C52" s="555" t="s">
        <v>327</v>
      </c>
      <c r="D52" s="556"/>
      <c r="E52" s="537">
        <v>1</v>
      </c>
      <c r="F52" s="534" t="s">
        <v>1976</v>
      </c>
      <c r="G52" s="534"/>
    </row>
    <row r="53" customHeight="1" spans="1:7">
      <c r="A53" s="540"/>
      <c r="B53" s="545"/>
      <c r="C53" s="558" t="s">
        <v>333</v>
      </c>
      <c r="D53" s="559"/>
      <c r="E53" s="560">
        <v>1</v>
      </c>
      <c r="F53" s="534" t="s">
        <v>1977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1978</v>
      </c>
      <c r="G56" s="525" t="s">
        <v>468</v>
      </c>
    </row>
    <row r="57" customHeight="1" spans="1:7">
      <c r="A57" s="569"/>
      <c r="B57" s="525" t="s">
        <v>229</v>
      </c>
      <c r="C57" s="525" t="s">
        <v>229</v>
      </c>
      <c r="D57" s="525" t="s">
        <v>229</v>
      </c>
      <c r="E57" s="523" t="s">
        <v>230</v>
      </c>
      <c r="F57" s="523" t="s">
        <v>233</v>
      </c>
      <c r="G57" s="523" t="s">
        <v>1645</v>
      </c>
    </row>
    <row r="58" customHeight="1" spans="1:7">
      <c r="A58" s="570"/>
      <c r="B58" s="523">
        <v>1</v>
      </c>
      <c r="C58" s="523">
        <v>2</v>
      </c>
      <c r="D58" s="523">
        <v>3</v>
      </c>
      <c r="E58" s="571" t="s">
        <v>1979</v>
      </c>
      <c r="F58" s="571" t="s">
        <v>1979</v>
      </c>
      <c r="G58" s="571" t="s">
        <v>1979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1980</v>
      </c>
      <c r="E72" s="583"/>
      <c r="F72" s="583"/>
    </row>
    <row r="73" customHeight="1" spans="1:6">
      <c r="A73" s="536" t="s">
        <v>1981</v>
      </c>
      <c r="B73" s="536" t="s">
        <v>1982</v>
      </c>
      <c r="C73" s="536" t="s">
        <v>1983</v>
      </c>
      <c r="D73" s="536" t="s">
        <v>1984</v>
      </c>
      <c r="E73" s="536" t="s">
        <v>1985</v>
      </c>
      <c r="F73" s="536" t="s">
        <v>1986</v>
      </c>
    </row>
    <row r="74" ht="13.5" spans="1:6">
      <c r="A74" s="536"/>
      <c r="B74" s="536"/>
      <c r="C74" s="536" t="s">
        <v>1987</v>
      </c>
      <c r="D74" s="536"/>
      <c r="E74" s="536" t="s">
        <v>124</v>
      </c>
      <c r="F74" s="536" t="s">
        <v>124</v>
      </c>
    </row>
    <row r="75" ht="13.5" spans="1:6">
      <c r="A75" s="536">
        <v>1</v>
      </c>
      <c r="B75" s="557" t="s">
        <v>1988</v>
      </c>
      <c r="C75" s="523" t="s">
        <v>1989</v>
      </c>
      <c r="D75" s="523" t="s">
        <v>1990</v>
      </c>
      <c r="E75" s="536">
        <v>0.2</v>
      </c>
      <c r="F75" s="536">
        <v>25</v>
      </c>
    </row>
    <row r="76" ht="24" spans="1:6">
      <c r="A76" s="536">
        <v>2</v>
      </c>
      <c r="B76" s="554"/>
      <c r="C76" s="523" t="s">
        <v>1991</v>
      </c>
      <c r="D76" s="523" t="s">
        <v>1992</v>
      </c>
      <c r="E76" s="536">
        <v>0.2</v>
      </c>
      <c r="F76" s="536">
        <v>25</v>
      </c>
    </row>
    <row r="77" ht="24" spans="1:6">
      <c r="A77" s="536">
        <v>3</v>
      </c>
      <c r="B77" s="554"/>
      <c r="C77" s="523" t="s">
        <v>1993</v>
      </c>
      <c r="D77" s="523" t="s">
        <v>1994</v>
      </c>
      <c r="E77" s="536">
        <v>0.2</v>
      </c>
      <c r="F77" s="536">
        <v>25</v>
      </c>
    </row>
    <row r="78" ht="13.5" spans="1:6">
      <c r="A78" s="536">
        <v>4</v>
      </c>
      <c r="B78" s="554"/>
      <c r="C78" s="523" t="s">
        <v>1995</v>
      </c>
      <c r="D78" s="523" t="s">
        <v>1996</v>
      </c>
      <c r="E78" s="536">
        <v>0.15</v>
      </c>
      <c r="F78" s="536">
        <v>20</v>
      </c>
    </row>
    <row r="79" ht="24" spans="1:6">
      <c r="A79" s="536">
        <v>5</v>
      </c>
      <c r="B79" s="554"/>
      <c r="C79" s="523" t="s">
        <v>1997</v>
      </c>
      <c r="D79" s="523" t="s">
        <v>1998</v>
      </c>
      <c r="E79" s="536">
        <v>0.15</v>
      </c>
      <c r="F79" s="536">
        <v>20</v>
      </c>
    </row>
    <row r="80" ht="24" spans="1:6">
      <c r="A80" s="536">
        <v>6</v>
      </c>
      <c r="B80" s="554"/>
      <c r="C80" s="523" t="s">
        <v>1999</v>
      </c>
      <c r="D80" s="523" t="s">
        <v>2000</v>
      </c>
      <c r="E80" s="536">
        <v>0.15</v>
      </c>
      <c r="F80" s="536">
        <v>20</v>
      </c>
    </row>
    <row r="81" ht="24" spans="1:6">
      <c r="A81" s="536">
        <v>7</v>
      </c>
      <c r="B81" s="554"/>
      <c r="C81" s="523" t="s">
        <v>2001</v>
      </c>
      <c r="D81" s="523" t="s">
        <v>2002</v>
      </c>
      <c r="E81" s="536">
        <v>0.15</v>
      </c>
      <c r="F81" s="536">
        <v>20</v>
      </c>
    </row>
    <row r="82" ht="24" spans="1:6">
      <c r="A82" s="536">
        <v>8</v>
      </c>
      <c r="B82" s="554"/>
      <c r="C82" s="523" t="s">
        <v>2003</v>
      </c>
      <c r="D82" s="523" t="s">
        <v>2004</v>
      </c>
      <c r="E82" s="536">
        <v>0.1</v>
      </c>
      <c r="F82" s="536">
        <v>15</v>
      </c>
    </row>
    <row r="83" ht="24" spans="1:6">
      <c r="A83" s="536">
        <v>9</v>
      </c>
      <c r="B83" s="554"/>
      <c r="C83" s="523" t="s">
        <v>2005</v>
      </c>
      <c r="D83" s="523" t="s">
        <v>2006</v>
      </c>
      <c r="E83" s="536">
        <v>0.1</v>
      </c>
      <c r="F83" s="536">
        <v>15</v>
      </c>
    </row>
    <row r="84" ht="24" spans="1:6">
      <c r="A84" s="536">
        <v>10</v>
      </c>
      <c r="B84" s="554"/>
      <c r="C84" s="523" t="s">
        <v>2007</v>
      </c>
      <c r="D84" s="523" t="s">
        <v>2008</v>
      </c>
      <c r="E84" s="536">
        <v>0.1</v>
      </c>
      <c r="F84" s="536">
        <v>15</v>
      </c>
    </row>
    <row r="85" ht="24" spans="1:6">
      <c r="A85" s="536">
        <v>11</v>
      </c>
      <c r="B85" s="554"/>
      <c r="C85" s="523" t="s">
        <v>2009</v>
      </c>
      <c r="D85" s="523" t="s">
        <v>2010</v>
      </c>
      <c r="E85" s="536">
        <v>0.1</v>
      </c>
      <c r="F85" s="536">
        <v>15</v>
      </c>
    </row>
    <row r="86" ht="24" spans="1:6">
      <c r="A86" s="536">
        <v>12</v>
      </c>
      <c r="B86" s="554"/>
      <c r="C86" s="523" t="s">
        <v>2011</v>
      </c>
      <c r="D86" s="523" t="s">
        <v>2012</v>
      </c>
      <c r="E86" s="536">
        <v>0.1</v>
      </c>
      <c r="F86" s="536">
        <v>15</v>
      </c>
    </row>
    <row r="87" ht="13.5" spans="1:6">
      <c r="A87" s="536">
        <v>13</v>
      </c>
      <c r="B87" s="554"/>
      <c r="C87" s="523" t="s">
        <v>2013</v>
      </c>
      <c r="D87" s="523" t="s">
        <v>2014</v>
      </c>
      <c r="E87" s="536">
        <v>0.1</v>
      </c>
      <c r="F87" s="536">
        <v>15</v>
      </c>
    </row>
    <row r="88" ht="13.5" spans="1:6">
      <c r="A88" s="536">
        <v>14</v>
      </c>
      <c r="B88" s="554"/>
      <c r="C88" s="523" t="s">
        <v>2015</v>
      </c>
      <c r="D88" s="523" t="s">
        <v>2016</v>
      </c>
      <c r="E88" s="536">
        <v>0.1</v>
      </c>
      <c r="F88" s="536">
        <v>15</v>
      </c>
    </row>
    <row r="89" ht="13.5" spans="1:6">
      <c r="A89" s="536">
        <v>15</v>
      </c>
      <c r="B89" s="554"/>
      <c r="C89" s="523" t="s">
        <v>2017</v>
      </c>
      <c r="D89" s="523" t="s">
        <v>2018</v>
      </c>
      <c r="E89" s="536">
        <v>0.1</v>
      </c>
      <c r="F89" s="536">
        <v>15</v>
      </c>
    </row>
    <row r="90" ht="24" spans="1:6">
      <c r="A90" s="536">
        <v>16</v>
      </c>
      <c r="B90" s="554"/>
      <c r="C90" s="523" t="s">
        <v>2019</v>
      </c>
      <c r="D90" s="523" t="s">
        <v>2020</v>
      </c>
      <c r="E90" s="536">
        <v>0.1</v>
      </c>
      <c r="F90" s="536">
        <v>15</v>
      </c>
    </row>
    <row r="91" ht="24" spans="1:6">
      <c r="A91" s="536">
        <v>17</v>
      </c>
      <c r="B91" s="566"/>
      <c r="C91" s="523" t="s">
        <v>2021</v>
      </c>
      <c r="D91" s="523" t="s">
        <v>2022</v>
      </c>
      <c r="E91" s="536">
        <v>0.1</v>
      </c>
      <c r="F91" s="536">
        <v>15</v>
      </c>
    </row>
    <row r="92" ht="13.5" spans="1:6">
      <c r="A92" s="536">
        <v>18</v>
      </c>
      <c r="B92" s="557" t="s">
        <v>2023</v>
      </c>
      <c r="C92" s="523" t="s">
        <v>2024</v>
      </c>
      <c r="D92" s="523" t="s">
        <v>2025</v>
      </c>
      <c r="E92" s="536">
        <v>0.2</v>
      </c>
      <c r="F92" s="536">
        <v>25</v>
      </c>
    </row>
    <row r="93" ht="24" spans="1:6">
      <c r="A93" s="536">
        <v>19</v>
      </c>
      <c r="B93" s="554"/>
      <c r="C93" s="523" t="s">
        <v>2026</v>
      </c>
      <c r="D93" s="523" t="s">
        <v>2027</v>
      </c>
      <c r="E93" s="536">
        <v>0.2</v>
      </c>
      <c r="F93" s="536">
        <v>25</v>
      </c>
    </row>
    <row r="94" ht="13.5" spans="1:6">
      <c r="A94" s="536">
        <v>20</v>
      </c>
      <c r="B94" s="554"/>
      <c r="C94" s="523" t="s">
        <v>2028</v>
      </c>
      <c r="D94" s="523" t="s">
        <v>2029</v>
      </c>
      <c r="E94" s="536">
        <v>0.15</v>
      </c>
      <c r="F94" s="536">
        <v>20</v>
      </c>
    </row>
    <row r="95" ht="13.5" spans="1:6">
      <c r="A95" s="536">
        <v>21</v>
      </c>
      <c r="B95" s="554"/>
      <c r="C95" s="523" t="s">
        <v>2030</v>
      </c>
      <c r="D95" s="523" t="s">
        <v>2031</v>
      </c>
      <c r="E95" s="536">
        <v>0.15</v>
      </c>
      <c r="F95" s="536">
        <v>20</v>
      </c>
    </row>
    <row r="96" ht="13.5" spans="1:6">
      <c r="A96" s="536">
        <v>22</v>
      </c>
      <c r="B96" s="554"/>
      <c r="C96" s="523" t="s">
        <v>2032</v>
      </c>
      <c r="D96" s="523" t="s">
        <v>2033</v>
      </c>
      <c r="E96" s="536">
        <v>0.15</v>
      </c>
      <c r="F96" s="536">
        <v>20</v>
      </c>
    </row>
    <row r="97" ht="36" spans="1:6">
      <c r="A97" s="536">
        <v>23</v>
      </c>
      <c r="B97" s="554"/>
      <c r="C97" s="523" t="s">
        <v>2034</v>
      </c>
      <c r="D97" s="523" t="s">
        <v>2035</v>
      </c>
      <c r="E97" s="536">
        <v>0.15</v>
      </c>
      <c r="F97" s="536">
        <v>20</v>
      </c>
    </row>
    <row r="98" ht="13.5" spans="1:6">
      <c r="A98" s="536">
        <v>24</v>
      </c>
      <c r="B98" s="554"/>
      <c r="C98" s="523" t="s">
        <v>2036</v>
      </c>
      <c r="D98" s="523" t="s">
        <v>2037</v>
      </c>
      <c r="E98" s="536">
        <v>0.1</v>
      </c>
      <c r="F98" s="536">
        <v>15</v>
      </c>
    </row>
    <row r="99" ht="13.5" spans="1:6">
      <c r="A99" s="536">
        <v>25</v>
      </c>
      <c r="B99" s="554"/>
      <c r="C99" s="523" t="s">
        <v>2038</v>
      </c>
      <c r="D99" s="523" t="s">
        <v>2039</v>
      </c>
      <c r="E99" s="536">
        <v>0.1</v>
      </c>
      <c r="F99" s="536">
        <v>15</v>
      </c>
    </row>
    <row r="100" ht="24" spans="1:6">
      <c r="A100" s="536">
        <v>26</v>
      </c>
      <c r="B100" s="554"/>
      <c r="C100" s="523" t="s">
        <v>2040</v>
      </c>
      <c r="D100" s="523" t="s">
        <v>2041</v>
      </c>
      <c r="E100" s="536">
        <v>0.1</v>
      </c>
      <c r="F100" s="536">
        <v>15</v>
      </c>
    </row>
    <row r="101" ht="24" spans="1:6">
      <c r="A101" s="536">
        <v>27</v>
      </c>
      <c r="B101" s="554"/>
      <c r="C101" s="523" t="s">
        <v>2042</v>
      </c>
      <c r="D101" s="523" t="s">
        <v>2043</v>
      </c>
      <c r="E101" s="536">
        <v>0.1</v>
      </c>
      <c r="F101" s="536">
        <v>15</v>
      </c>
    </row>
    <row r="102" ht="13.5" spans="1:6">
      <c r="A102" s="536">
        <v>28</v>
      </c>
      <c r="B102" s="554"/>
      <c r="C102" s="523" t="s">
        <v>2044</v>
      </c>
      <c r="D102" s="523" t="s">
        <v>2045</v>
      </c>
      <c r="E102" s="536">
        <v>0.1</v>
      </c>
      <c r="F102" s="536">
        <v>15</v>
      </c>
    </row>
    <row r="103" ht="13.5" spans="1:6">
      <c r="A103" s="536">
        <v>29</v>
      </c>
      <c r="B103" s="554"/>
      <c r="C103" s="523" t="s">
        <v>2046</v>
      </c>
      <c r="D103" s="523" t="s">
        <v>2047</v>
      </c>
      <c r="E103" s="536">
        <v>0.1</v>
      </c>
      <c r="F103" s="536">
        <v>15</v>
      </c>
    </row>
    <row r="104" ht="13.5" spans="1:6">
      <c r="A104" s="536">
        <v>30</v>
      </c>
      <c r="B104" s="554"/>
      <c r="C104" s="523" t="s">
        <v>2048</v>
      </c>
      <c r="D104" s="523" t="s">
        <v>2049</v>
      </c>
      <c r="E104" s="536">
        <v>0.1</v>
      </c>
      <c r="F104" s="536">
        <v>15</v>
      </c>
    </row>
    <row r="105" ht="24" spans="1:6">
      <c r="A105" s="536">
        <v>31</v>
      </c>
      <c r="B105" s="554"/>
      <c r="C105" s="523" t="s">
        <v>2050</v>
      </c>
      <c r="D105" s="523" t="s">
        <v>2051</v>
      </c>
      <c r="E105" s="536">
        <v>0.1</v>
      </c>
      <c r="F105" s="536">
        <v>15</v>
      </c>
    </row>
    <row r="106" ht="24" spans="1:6">
      <c r="A106" s="536">
        <v>32</v>
      </c>
      <c r="B106" s="554"/>
      <c r="C106" s="523" t="s">
        <v>2052</v>
      </c>
      <c r="D106" s="523" t="s">
        <v>2053</v>
      </c>
      <c r="E106" s="536">
        <v>0.1</v>
      </c>
      <c r="F106" s="536">
        <v>15</v>
      </c>
    </row>
    <row r="107" ht="24" spans="1:6">
      <c r="A107" s="536">
        <v>33</v>
      </c>
      <c r="B107" s="554"/>
      <c r="C107" s="523" t="s">
        <v>2054</v>
      </c>
      <c r="D107" s="523" t="s">
        <v>2055</v>
      </c>
      <c r="E107" s="536">
        <v>0.1</v>
      </c>
      <c r="F107" s="536">
        <v>15</v>
      </c>
    </row>
    <row r="108" ht="24" spans="1:6">
      <c r="A108" s="536">
        <v>34</v>
      </c>
      <c r="B108" s="566"/>
      <c r="C108" s="523" t="s">
        <v>2056</v>
      </c>
      <c r="D108" s="523" t="s">
        <v>2057</v>
      </c>
      <c r="E108" s="536">
        <v>0.1</v>
      </c>
      <c r="F108" s="536">
        <v>15</v>
      </c>
    </row>
    <row r="109" ht="24" spans="1:6">
      <c r="A109" s="536">
        <v>35</v>
      </c>
      <c r="B109" s="557" t="s">
        <v>2058</v>
      </c>
      <c r="C109" s="536" t="s">
        <v>2059</v>
      </c>
      <c r="D109" s="523" t="s">
        <v>2060</v>
      </c>
      <c r="E109" s="536">
        <v>0.15</v>
      </c>
      <c r="F109" s="536">
        <v>20</v>
      </c>
    </row>
    <row r="110" ht="13.5" spans="1:6">
      <c r="A110" s="536">
        <v>36</v>
      </c>
      <c r="B110" s="554"/>
      <c r="C110" s="536" t="s">
        <v>2061</v>
      </c>
      <c r="D110" s="523" t="s">
        <v>2062</v>
      </c>
      <c r="E110" s="536">
        <v>0.15</v>
      </c>
      <c r="F110" s="536">
        <v>20</v>
      </c>
    </row>
    <row r="111" ht="13.5" spans="1:6">
      <c r="A111" s="536">
        <v>37</v>
      </c>
      <c r="B111" s="554"/>
      <c r="C111" s="536" t="s">
        <v>2063</v>
      </c>
      <c r="D111" s="523" t="s">
        <v>2064</v>
      </c>
      <c r="E111" s="536">
        <v>0.15</v>
      </c>
      <c r="F111" s="536">
        <v>20</v>
      </c>
    </row>
    <row r="112" ht="13.5" spans="1:6">
      <c r="A112" s="536">
        <v>38</v>
      </c>
      <c r="B112" s="554"/>
      <c r="C112" s="536" t="s">
        <v>2065</v>
      </c>
      <c r="D112" s="523" t="s">
        <v>2066</v>
      </c>
      <c r="E112" s="536">
        <v>0.1</v>
      </c>
      <c r="F112" s="536">
        <v>15</v>
      </c>
    </row>
    <row r="113" ht="24" spans="1:6">
      <c r="A113" s="536">
        <v>39</v>
      </c>
      <c r="B113" s="554"/>
      <c r="C113" s="536" t="s">
        <v>2067</v>
      </c>
      <c r="D113" s="523" t="s">
        <v>2068</v>
      </c>
      <c r="E113" s="536">
        <v>0.1</v>
      </c>
      <c r="F113" s="536">
        <v>15</v>
      </c>
    </row>
    <row r="114" ht="24" spans="1:6">
      <c r="A114" s="536">
        <v>40</v>
      </c>
      <c r="B114" s="566"/>
      <c r="C114" s="536" t="s">
        <v>2069</v>
      </c>
      <c r="D114" s="523" t="s">
        <v>2070</v>
      </c>
      <c r="E114" s="536">
        <v>0.1</v>
      </c>
      <c r="F114" s="536">
        <v>15</v>
      </c>
    </row>
    <row r="115" ht="13.5" spans="1:6">
      <c r="A115" s="536">
        <v>41</v>
      </c>
      <c r="B115" s="536" t="s">
        <v>2071</v>
      </c>
      <c r="C115" s="536" t="s">
        <v>2072</v>
      </c>
      <c r="D115" s="523" t="s">
        <v>2073</v>
      </c>
      <c r="E115" s="536">
        <v>0.1</v>
      </c>
      <c r="F115" s="536">
        <v>15</v>
      </c>
    </row>
    <row r="116" ht="13.5" spans="1:6">
      <c r="A116" s="536">
        <v>42</v>
      </c>
      <c r="B116" s="536"/>
      <c r="C116" s="536" t="s">
        <v>2074</v>
      </c>
      <c r="D116" s="523" t="s">
        <v>2075</v>
      </c>
      <c r="E116" s="536">
        <v>0.1</v>
      </c>
      <c r="F116" s="536">
        <v>15</v>
      </c>
    </row>
    <row r="117" ht="24" spans="1:6">
      <c r="A117" s="536">
        <v>43</v>
      </c>
      <c r="B117" s="536"/>
      <c r="C117" s="536" t="s">
        <v>2076</v>
      </c>
      <c r="D117" s="523" t="s">
        <v>2077</v>
      </c>
      <c r="E117" s="536">
        <v>0.1</v>
      </c>
      <c r="F117" s="536">
        <v>15</v>
      </c>
    </row>
    <row r="118" ht="13.5" spans="1:6">
      <c r="A118" s="536">
        <v>44</v>
      </c>
      <c r="B118" s="557" t="s">
        <v>2078</v>
      </c>
      <c r="C118" s="536" t="s">
        <v>2079</v>
      </c>
      <c r="D118" s="523" t="s">
        <v>2080</v>
      </c>
      <c r="E118" s="536">
        <v>0.1</v>
      </c>
      <c r="F118" s="536">
        <v>15</v>
      </c>
    </row>
    <row r="119" ht="24" spans="1:6">
      <c r="A119" s="536">
        <v>45</v>
      </c>
      <c r="B119" s="566"/>
      <c r="C119" s="523" t="s">
        <v>2081</v>
      </c>
      <c r="D119" s="523" t="s">
        <v>2082</v>
      </c>
      <c r="E119" s="536">
        <v>0.1</v>
      </c>
      <c r="F119" s="536">
        <v>15</v>
      </c>
    </row>
    <row r="120" ht="24" spans="1:6">
      <c r="A120" s="536">
        <v>46</v>
      </c>
      <c r="B120" s="557" t="s">
        <v>2083</v>
      </c>
      <c r="C120" s="536" t="s">
        <v>2084</v>
      </c>
      <c r="D120" s="523" t="s">
        <v>2085</v>
      </c>
      <c r="E120" s="536">
        <v>0.1</v>
      </c>
      <c r="F120" s="536">
        <v>15</v>
      </c>
    </row>
    <row r="121" ht="24" spans="1:6">
      <c r="A121" s="536">
        <v>47</v>
      </c>
      <c r="B121" s="566"/>
      <c r="C121" s="536" t="s">
        <v>2086</v>
      </c>
      <c r="D121" s="523" t="s">
        <v>2087</v>
      </c>
      <c r="E121" s="536">
        <v>0.1</v>
      </c>
      <c r="F121" s="536">
        <v>15</v>
      </c>
    </row>
    <row r="122" ht="13.5" spans="1:6">
      <c r="A122" s="536">
        <v>48</v>
      </c>
      <c r="B122" s="557" t="s">
        <v>2088</v>
      </c>
      <c r="C122" s="536" t="s">
        <v>2089</v>
      </c>
      <c r="D122" s="523" t="s">
        <v>2090</v>
      </c>
      <c r="E122" s="536">
        <v>0.1</v>
      </c>
      <c r="F122" s="536">
        <v>15</v>
      </c>
    </row>
    <row r="123" ht="13.5" spans="1:6">
      <c r="A123" s="536">
        <v>49</v>
      </c>
      <c r="B123" s="566"/>
      <c r="C123" s="536" t="s">
        <v>2091</v>
      </c>
      <c r="D123" s="523" t="s">
        <v>2092</v>
      </c>
      <c r="E123" s="536">
        <v>0.1</v>
      </c>
      <c r="F123" s="536">
        <v>15</v>
      </c>
    </row>
    <row r="124" ht="24" spans="1:6">
      <c r="A124" s="536">
        <v>50</v>
      </c>
      <c r="B124" s="536" t="s">
        <v>2093</v>
      </c>
      <c r="C124" s="536" t="s">
        <v>2094</v>
      </c>
      <c r="D124" s="523" t="s">
        <v>2095</v>
      </c>
      <c r="E124" s="536">
        <v>0.1</v>
      </c>
      <c r="F124" s="536">
        <v>15</v>
      </c>
    </row>
    <row r="125" ht="24" spans="1:6">
      <c r="A125" s="536">
        <v>51</v>
      </c>
      <c r="B125" s="536"/>
      <c r="C125" s="536" t="s">
        <v>2096</v>
      </c>
      <c r="D125" s="523" t="s">
        <v>2097</v>
      </c>
      <c r="E125" s="536">
        <v>0.1</v>
      </c>
      <c r="F125" s="536">
        <v>15</v>
      </c>
    </row>
    <row r="126" ht="24" spans="1:6">
      <c r="A126" s="536">
        <v>52</v>
      </c>
      <c r="B126" s="536" t="s">
        <v>2098</v>
      </c>
      <c r="C126" s="536" t="s">
        <v>2099</v>
      </c>
      <c r="D126" s="523" t="s">
        <v>2100</v>
      </c>
      <c r="E126" s="536">
        <v>0.1</v>
      </c>
      <c r="F126" s="536">
        <v>15</v>
      </c>
    </row>
    <row r="127" ht="24" spans="1:6">
      <c r="A127" s="536">
        <v>53</v>
      </c>
      <c r="B127" s="536"/>
      <c r="C127" s="536" t="s">
        <v>2101</v>
      </c>
      <c r="D127" s="523" t="s">
        <v>2102</v>
      </c>
      <c r="E127" s="536">
        <v>0.1</v>
      </c>
      <c r="F127" s="536">
        <v>15</v>
      </c>
    </row>
    <row r="128" ht="13.5" spans="1:6">
      <c r="A128" s="536">
        <v>54</v>
      </c>
      <c r="B128" s="536" t="s">
        <v>2103</v>
      </c>
      <c r="C128" s="536" t="s">
        <v>2104</v>
      </c>
      <c r="D128" s="523" t="s">
        <v>2105</v>
      </c>
      <c r="E128" s="536">
        <v>0.1</v>
      </c>
      <c r="F128" s="536">
        <v>15</v>
      </c>
    </row>
    <row r="129" ht="13.5" spans="1:6">
      <c r="A129" s="536">
        <v>55</v>
      </c>
      <c r="B129" s="536" t="s">
        <v>2106</v>
      </c>
      <c r="C129" s="536" t="s">
        <v>2107</v>
      </c>
      <c r="D129" s="523" t="s">
        <v>2108</v>
      </c>
      <c r="E129" s="536">
        <v>0.1</v>
      </c>
      <c r="F129" s="536">
        <v>15</v>
      </c>
    </row>
    <row r="130" ht="13.5" spans="1:6">
      <c r="A130" s="536">
        <v>56</v>
      </c>
      <c r="B130" s="536"/>
      <c r="C130" s="536" t="s">
        <v>2109</v>
      </c>
      <c r="D130" s="523" t="s">
        <v>2110</v>
      </c>
      <c r="E130" s="536">
        <v>0.1</v>
      </c>
      <c r="F130" s="536">
        <v>15</v>
      </c>
    </row>
    <row r="131" ht="24" spans="1:6">
      <c r="A131" s="536">
        <v>57</v>
      </c>
      <c r="B131" s="536"/>
      <c r="C131" s="536" t="s">
        <v>2111</v>
      </c>
      <c r="D131" s="523" t="s">
        <v>2112</v>
      </c>
      <c r="E131" s="536">
        <v>0.1</v>
      </c>
      <c r="F131" s="536">
        <v>15</v>
      </c>
    </row>
    <row r="132" ht="24" spans="1:6">
      <c r="A132" s="536">
        <v>58</v>
      </c>
      <c r="B132" s="536" t="s">
        <v>2113</v>
      </c>
      <c r="C132" s="536" t="s">
        <v>2114</v>
      </c>
      <c r="D132" s="523" t="s">
        <v>2115</v>
      </c>
      <c r="E132" s="536">
        <v>0.1</v>
      </c>
      <c r="F132" s="536">
        <v>15</v>
      </c>
    </row>
    <row r="133" ht="13.5" spans="1:6">
      <c r="A133" s="536">
        <v>59</v>
      </c>
      <c r="B133" s="536"/>
      <c r="C133" s="536" t="s">
        <v>2116</v>
      </c>
      <c r="D133" s="523" t="s">
        <v>2117</v>
      </c>
      <c r="E133" s="536">
        <v>0.1</v>
      </c>
      <c r="F133" s="536">
        <v>15</v>
      </c>
    </row>
    <row r="134" ht="13.5" spans="1:6">
      <c r="A134" s="536">
        <v>60</v>
      </c>
      <c r="B134" s="557" t="s">
        <v>2118</v>
      </c>
      <c r="C134" s="536" t="s">
        <v>2119</v>
      </c>
      <c r="D134" s="523" t="s">
        <v>2120</v>
      </c>
      <c r="E134" s="536">
        <v>0.1</v>
      </c>
      <c r="F134" s="536">
        <v>15</v>
      </c>
    </row>
    <row r="135" ht="13.5" spans="1:6">
      <c r="A135" s="536">
        <v>61</v>
      </c>
      <c r="B135" s="566"/>
      <c r="C135" s="536" t="s">
        <v>2121</v>
      </c>
      <c r="D135" s="523" t="s">
        <v>2122</v>
      </c>
      <c r="E135" s="536">
        <v>0.1</v>
      </c>
      <c r="F135" s="536">
        <v>15</v>
      </c>
    </row>
    <row r="136" ht="24" spans="1:6">
      <c r="A136" s="536">
        <v>62</v>
      </c>
      <c r="B136" s="536" t="s">
        <v>2123</v>
      </c>
      <c r="C136" s="536" t="s">
        <v>2124</v>
      </c>
      <c r="D136" s="523" t="s">
        <v>2125</v>
      </c>
      <c r="E136" s="536">
        <v>0.1</v>
      </c>
      <c r="F136" s="536">
        <v>15</v>
      </c>
    </row>
    <row r="137" ht="13.5" spans="1:6">
      <c r="A137" s="536">
        <v>63</v>
      </c>
      <c r="B137" s="536" t="s">
        <v>2126</v>
      </c>
      <c r="C137" s="536" t="s">
        <v>2127</v>
      </c>
      <c r="D137" s="523" t="s">
        <v>2128</v>
      </c>
      <c r="E137" s="536">
        <v>0.1</v>
      </c>
      <c r="F137" s="536">
        <v>15</v>
      </c>
    </row>
    <row r="138" ht="13.5" spans="1:6">
      <c r="A138" s="536">
        <v>64</v>
      </c>
      <c r="B138" s="536"/>
      <c r="C138" s="536" t="s">
        <v>2129</v>
      </c>
      <c r="D138" s="523" t="s">
        <v>2130</v>
      </c>
      <c r="E138" s="536">
        <v>0.1</v>
      </c>
      <c r="F138" s="536">
        <v>15</v>
      </c>
    </row>
    <row r="139" ht="13.5" spans="1:6">
      <c r="A139" s="536">
        <v>65</v>
      </c>
      <c r="B139" s="536" t="s">
        <v>2131</v>
      </c>
      <c r="C139" s="536" t="s">
        <v>2132</v>
      </c>
      <c r="D139" s="523" t="s">
        <v>2133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6" customWidth="1"/>
    <col min="2" max="2" width="37.25" style="3666" customWidth="1"/>
    <col min="3" max="3" width="11.375" style="3666" customWidth="1"/>
    <col min="4" max="4" width="31.75" style="3666" customWidth="1"/>
    <col min="5" max="5" width="0.5"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9.5" spans="1:5">
      <c r="A4" s="3670"/>
      <c r="B4" s="3671" t="s">
        <v>95</v>
      </c>
      <c r="C4" s="3671"/>
      <c r="D4" s="3671"/>
      <c r="E4" s="3670"/>
    </row>
    <row r="5" ht="16.5" spans="1:5">
      <c r="A5" s="3668"/>
      <c r="B5" s="3672" t="s">
        <v>96</v>
      </c>
      <c r="C5" s="3673" t="s">
        <v>97</v>
      </c>
      <c r="D5" s="3674">
        <f ca="1">结果表!H101</f>
        <v>1252</v>
      </c>
      <c r="E5" s="3668"/>
    </row>
    <row r="6" spans="1:5">
      <c r="A6" s="3668"/>
      <c r="B6" s="3672"/>
      <c r="C6" s="3673" t="s">
        <v>98</v>
      </c>
      <c r="D6" s="3674" t="str">
        <f ca="1">NUMBERSTRING(INT(D5*10000),2)&amp;"元整"</f>
        <v>壹仟贰佰伍拾贰万元整</v>
      </c>
      <c r="E6" s="3668"/>
    </row>
    <row r="7" ht="15.75" spans="1:5">
      <c r="A7" s="3668"/>
      <c r="B7" s="3675"/>
      <c r="C7" s="3676" t="s">
        <v>99</v>
      </c>
      <c r="D7" s="3677">
        <f ca="1">结果表!H102</f>
        <v>33496</v>
      </c>
      <c r="E7" s="3668"/>
    </row>
    <row r="8" ht="15.75" spans="1:5">
      <c r="A8" s="3668"/>
      <c r="B8" s="3678" t="str">
        <f>结果表!E103</f>
        <v>2.估价师知悉的法定优先受偿款</v>
      </c>
      <c r="C8" s="3679" t="s">
        <v>100</v>
      </c>
      <c r="D8" s="3677">
        <f>结果表!H103</f>
        <v>0</v>
      </c>
      <c r="E8" s="3668"/>
    </row>
    <row r="9" spans="1:5">
      <c r="A9" s="3668"/>
      <c r="B9" s="3680"/>
      <c r="C9" s="3673" t="s">
        <v>98</v>
      </c>
      <c r="D9" s="3674" t="str">
        <f>NUMBERSTRING(INT(D8*10000),2)&amp;"元整"</f>
        <v>零元整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0</v>
      </c>
      <c r="E12" s="3668"/>
    </row>
    <row r="13" ht="15.75" spans="1:5">
      <c r="A13" s="3668"/>
      <c r="B13" s="3684" t="str">
        <f>结果表!E107</f>
        <v>3.房地产抵押价值</v>
      </c>
      <c r="C13" s="3685" t="s">
        <v>97</v>
      </c>
      <c r="D13" s="3686">
        <f ca="1">结果表!H107</f>
        <v>1252</v>
      </c>
      <c r="E13" s="3668"/>
    </row>
    <row r="14" spans="1:5">
      <c r="A14" s="3668"/>
      <c r="B14" s="3672"/>
      <c r="C14" s="3673" t="s">
        <v>98</v>
      </c>
      <c r="D14" s="3674" t="str">
        <f ca="1">NUMBERSTRING(INT(D13*10000),2)&amp;"元整"</f>
        <v>壹仟贰佰伍拾贰万元整</v>
      </c>
      <c r="E14" s="3668"/>
    </row>
    <row r="15" ht="15" spans="1:5">
      <c r="A15" s="3668"/>
      <c r="B15" s="3675"/>
      <c r="C15" s="3676" t="s">
        <v>99</v>
      </c>
      <c r="D15" s="3687">
        <f ca="1">结果表!H108</f>
        <v>33496</v>
      </c>
      <c r="E15" s="3668"/>
    </row>
    <row r="16" ht="15" spans="1:5">
      <c r="A16" s="3668"/>
      <c r="B16" s="3678" t="str">
        <f>结果表!E109</f>
        <v>——</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2134</v>
      </c>
      <c r="B1" s="488"/>
      <c r="C1" s="488"/>
      <c r="D1" s="488"/>
      <c r="E1" s="488"/>
      <c r="F1" s="488"/>
      <c r="G1" s="488"/>
      <c r="H1" s="488"/>
      <c r="I1" s="488"/>
      <c r="J1" s="488"/>
      <c r="K1" s="488"/>
      <c r="L1" s="488"/>
      <c r="M1" s="488"/>
      <c r="N1" s="495"/>
    </row>
    <row r="2" spans="1:20">
      <c r="A2" s="489" t="s">
        <v>2135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2136</v>
      </c>
      <c r="R2" s="500" t="s">
        <v>2137</v>
      </c>
      <c r="S2" s="500" t="s">
        <v>2138</v>
      </c>
      <c r="T2" s="500" t="s">
        <v>2139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2140</v>
      </c>
      <c r="B93" s="488"/>
      <c r="C93" s="488"/>
      <c r="D93" s="488"/>
      <c r="E93" s="488"/>
      <c r="F93" s="488"/>
      <c r="G93" s="488"/>
      <c r="H93" s="488"/>
      <c r="I93" s="488"/>
      <c r="J93" s="488"/>
      <c r="K93" s="488"/>
      <c r="L93" s="488"/>
      <c r="M93" s="488"/>
    </row>
    <row r="94" spans="1:20">
      <c r="A94" s="489" t="s">
        <v>2135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2136</v>
      </c>
      <c r="R94" s="500" t="s">
        <v>2137</v>
      </c>
      <c r="S94" s="500" t="s">
        <v>2138</v>
      </c>
      <c r="T94" s="500" t="s">
        <v>2139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2141</v>
      </c>
      <c r="B185" s="488"/>
      <c r="C185" s="488"/>
      <c r="D185" s="488"/>
      <c r="E185" s="488"/>
      <c r="F185" s="488"/>
      <c r="G185" s="488"/>
      <c r="H185" s="488"/>
      <c r="I185" s="488"/>
      <c r="J185" s="488"/>
      <c r="K185" s="488"/>
      <c r="L185" s="488"/>
      <c r="M185" s="488"/>
    </row>
    <row r="186" spans="1:20">
      <c r="A186" s="489" t="s">
        <v>2135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2136</v>
      </c>
      <c r="R186" s="500" t="s">
        <v>2137</v>
      </c>
      <c r="S186" s="500" t="s">
        <v>2138</v>
      </c>
      <c r="T186" s="500" t="s">
        <v>2139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2142</v>
      </c>
      <c r="B277" s="488"/>
      <c r="C277" s="488"/>
      <c r="D277" s="488"/>
      <c r="E277" s="488"/>
      <c r="F277" s="488"/>
      <c r="G277" s="488"/>
      <c r="H277" s="488"/>
      <c r="I277" s="488"/>
      <c r="J277" s="488"/>
      <c r="K277" s="488"/>
      <c r="L277" s="488"/>
      <c r="M277" s="488"/>
    </row>
    <row r="278" spans="1:21">
      <c r="A278" s="489" t="s">
        <v>2135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2136</v>
      </c>
      <c r="R278" s="500" t="s">
        <v>2137</v>
      </c>
      <c r="S278" s="500" t="s">
        <v>2143</v>
      </c>
      <c r="T278" s="500" t="s">
        <v>2144</v>
      </c>
      <c r="U278" s="500" t="s">
        <v>2139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2145</v>
      </c>
      <c r="B369" s="504"/>
      <c r="C369" s="504"/>
      <c r="D369" s="504"/>
      <c r="E369" s="504"/>
      <c r="F369" s="504"/>
      <c r="G369" s="504"/>
      <c r="H369" s="504"/>
      <c r="I369" s="504"/>
      <c r="J369" s="504"/>
      <c r="K369" s="504"/>
      <c r="L369" s="504"/>
      <c r="M369" s="504"/>
    </row>
    <row r="370" spans="1:20">
      <c r="A370" s="489" t="s">
        <v>2135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2136</v>
      </c>
      <c r="R370" s="500" t="s">
        <v>2137</v>
      </c>
      <c r="S370" s="500" t="s">
        <v>2138</v>
      </c>
      <c r="T370" s="500" t="s">
        <v>2139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2146</v>
      </c>
      <c r="B1" s="399"/>
      <c r="C1" s="400"/>
      <c r="D1" s="400"/>
      <c r="E1" s="400"/>
      <c r="F1" s="400"/>
      <c r="G1" s="401"/>
    </row>
    <row r="2" s="390" customFormat="1" ht="18" customHeight="1" spans="1:7">
      <c r="A2" s="402" t="s">
        <v>2147</v>
      </c>
      <c r="B2" s="403">
        <f ca="1">C52</f>
        <v>27806</v>
      </c>
      <c r="C2" s="404" t="s">
        <v>1501</v>
      </c>
      <c r="D2" s="401"/>
      <c r="E2" s="401"/>
      <c r="F2" s="401"/>
      <c r="G2" s="401"/>
    </row>
    <row r="3" s="390" customFormat="1" ht="18" customHeight="1" spans="1:7">
      <c r="A3" s="405" t="s">
        <v>2148</v>
      </c>
      <c r="B3" s="406">
        <f ca="1">ROUND(B2*10000/'数据-汇总表'!E3,0)</f>
        <v>743734</v>
      </c>
      <c r="C3" s="404" t="s">
        <v>1655</v>
      </c>
      <c r="D3" s="401"/>
      <c r="E3" s="401"/>
      <c r="F3" s="401"/>
      <c r="G3" s="401"/>
    </row>
    <row r="4" s="391" customFormat="1" ht="15.75" spans="1:7">
      <c r="A4" s="407" t="s">
        <v>2149</v>
      </c>
      <c r="B4" s="408"/>
      <c r="C4" s="408"/>
      <c r="D4" s="408"/>
      <c r="E4" s="408"/>
      <c r="F4" s="408"/>
      <c r="G4" s="409"/>
    </row>
    <row r="5" s="392" customFormat="1" ht="13.5" customHeight="1" spans="1:7">
      <c r="A5" s="410" t="s">
        <v>1039</v>
      </c>
      <c r="B5" s="411" t="s">
        <v>2150</v>
      </c>
      <c r="C5" s="412">
        <f>C6+C7+C8</f>
        <v>20610</v>
      </c>
      <c r="D5" s="412" t="s">
        <v>2151</v>
      </c>
      <c r="E5" s="413" t="s">
        <v>2152</v>
      </c>
      <c r="F5" s="413" t="s">
        <v>2153</v>
      </c>
      <c r="G5" s="414"/>
    </row>
    <row r="6" s="392" customFormat="1" ht="13.5" customHeight="1" spans="1:7">
      <c r="A6" s="415" t="s">
        <v>1043</v>
      </c>
      <c r="B6" s="416" t="s">
        <v>2154</v>
      </c>
      <c r="C6" s="417">
        <v>20000</v>
      </c>
      <c r="D6" s="418"/>
      <c r="E6" s="419"/>
      <c r="F6" s="419"/>
      <c r="G6" s="420"/>
    </row>
    <row r="7" s="392" customFormat="1" ht="13.5" customHeight="1" spans="1:7">
      <c r="A7" s="415" t="s">
        <v>1045</v>
      </c>
      <c r="B7" s="416" t="s">
        <v>2155</v>
      </c>
      <c r="C7" s="421">
        <f>ROUND(C6*F7,0)</f>
        <v>610</v>
      </c>
      <c r="D7" s="421"/>
      <c r="E7" s="419"/>
      <c r="F7" s="422">
        <f>'数据-取费表'!B48+'数据-取费表'!B49</f>
        <v>0.0305</v>
      </c>
      <c r="G7" s="420"/>
    </row>
    <row r="8" s="393" customFormat="1" spans="1:7">
      <c r="A8" s="415" t="s">
        <v>1047</v>
      </c>
      <c r="B8" s="416" t="s">
        <v>2156</v>
      </c>
      <c r="C8" s="421" t="str">
        <f>IF(G8="已包含在土地购买价格中","0",'数据-取费表'!B29)</f>
        <v>0</v>
      </c>
      <c r="D8" s="423"/>
      <c r="E8" s="421"/>
      <c r="F8" s="422"/>
      <c r="G8" s="424" t="s">
        <v>2157</v>
      </c>
    </row>
    <row r="9" s="392" customFormat="1" ht="13.5" customHeight="1" spans="1:7">
      <c r="A9" s="425" t="s">
        <v>1049</v>
      </c>
      <c r="B9" s="426" t="s">
        <v>2158</v>
      </c>
      <c r="C9" s="427">
        <f>ROUND(D9*E9/10000,0)</f>
        <v>0</v>
      </c>
      <c r="D9" s="428">
        <f>'数据-汇总表'!E5</f>
        <v>0</v>
      </c>
      <c r="E9" s="427">
        <f>'数据-取费表'!B27</f>
        <v>0</v>
      </c>
      <c r="F9" s="422"/>
      <c r="G9" s="429"/>
    </row>
    <row r="10" s="392" customFormat="1" ht="13.5" customHeight="1" spans="1:7">
      <c r="A10" s="425" t="s">
        <v>1052</v>
      </c>
      <c r="B10" s="426" t="s">
        <v>2159</v>
      </c>
      <c r="C10" s="427">
        <f>ROUND(D10*E10/10000,0)</f>
        <v>7</v>
      </c>
      <c r="D10" s="428">
        <f>'数据-汇总表'!E6</f>
        <v>373.87</v>
      </c>
      <c r="E10" s="427">
        <f>'数据-取费表'!B28</f>
        <v>200</v>
      </c>
      <c r="F10" s="422"/>
      <c r="G10" s="429"/>
    </row>
    <row r="11" s="392" customFormat="1" ht="13.5" hidden="1" customHeight="1" spans="1:7">
      <c r="A11" s="430" t="s">
        <v>1054</v>
      </c>
      <c r="B11" s="416" t="s">
        <v>2160</v>
      </c>
      <c r="C11" s="412"/>
      <c r="D11" s="431"/>
      <c r="E11" s="419"/>
      <c r="F11" s="419"/>
      <c r="G11" s="420"/>
    </row>
    <row r="12" s="392" customFormat="1" ht="13.5" hidden="1" customHeight="1" spans="1:7">
      <c r="A12" s="430" t="s">
        <v>1056</v>
      </c>
      <c r="B12" s="416" t="s">
        <v>2161</v>
      </c>
      <c r="C12" s="412">
        <v>0</v>
      </c>
      <c r="D12" s="431"/>
      <c r="E12" s="432"/>
      <c r="F12" s="422">
        <v>0.0305</v>
      </c>
      <c r="G12" s="420"/>
    </row>
    <row r="13" s="392" customFormat="1" ht="13.5" hidden="1" customHeight="1" spans="1:7">
      <c r="A13" s="430" t="s">
        <v>1057</v>
      </c>
      <c r="B13" s="416" t="s">
        <v>2162</v>
      </c>
      <c r="C13" s="412"/>
      <c r="D13" s="431"/>
      <c r="E13" s="419"/>
      <c r="F13" s="419"/>
      <c r="G13" s="420"/>
    </row>
    <row r="14" s="392" customFormat="1" ht="13.5" hidden="1" customHeight="1" spans="1:7">
      <c r="A14" s="430" t="s">
        <v>1059</v>
      </c>
      <c r="B14" s="416" t="s">
        <v>2156</v>
      </c>
      <c r="C14" s="412"/>
      <c r="D14" s="431"/>
      <c r="E14" s="419"/>
      <c r="F14" s="419"/>
      <c r="G14" s="420" t="s">
        <v>2163</v>
      </c>
    </row>
    <row r="15" s="392" customFormat="1" ht="13.5" hidden="1" customHeight="1" spans="1:7">
      <c r="A15" s="430" t="s">
        <v>1061</v>
      </c>
      <c r="B15" s="416" t="s">
        <v>2164</v>
      </c>
      <c r="C15" s="421"/>
      <c r="D15" s="431"/>
      <c r="E15" s="419"/>
      <c r="F15" s="419"/>
      <c r="G15" s="420" t="s">
        <v>2165</v>
      </c>
    </row>
    <row r="16" s="392" customFormat="1" ht="13.5" hidden="1" customHeight="1" spans="1:7">
      <c r="A16" s="430" t="s">
        <v>1064</v>
      </c>
      <c r="B16" s="416" t="s">
        <v>2156</v>
      </c>
      <c r="C16" s="421"/>
      <c r="D16" s="431"/>
      <c r="E16" s="419"/>
      <c r="F16" s="419"/>
      <c r="G16" s="420"/>
    </row>
    <row r="17" s="392" customFormat="1" ht="13.5" hidden="1" customHeight="1" spans="1:7">
      <c r="A17" s="430" t="s">
        <v>1065</v>
      </c>
      <c r="B17" s="416" t="s">
        <v>2166</v>
      </c>
      <c r="C17" s="433"/>
      <c r="D17" s="434"/>
      <c r="E17" s="433"/>
      <c r="F17" s="433"/>
      <c r="G17" s="420" t="s">
        <v>2165</v>
      </c>
    </row>
    <row r="18" s="392" customFormat="1" ht="13.5" hidden="1" customHeight="1" spans="1:7">
      <c r="A18" s="430" t="s">
        <v>1067</v>
      </c>
      <c r="B18" s="416" t="s">
        <v>2167</v>
      </c>
      <c r="C18" s="421">
        <v>0</v>
      </c>
      <c r="D18" s="431"/>
      <c r="E18" s="419"/>
      <c r="F18" s="422">
        <v>0.0305</v>
      </c>
      <c r="G18" s="420" t="s">
        <v>2168</v>
      </c>
    </row>
    <row r="19" s="393" customFormat="1" ht="13.5" customHeight="1" spans="1:7">
      <c r="A19" s="435" t="s">
        <v>1758</v>
      </c>
      <c r="B19" s="411" t="s">
        <v>2169</v>
      </c>
      <c r="C19" s="412">
        <f>IF(G19="已包含在土地取得成本中","0",ROUND(D19*E19/10000,0))</f>
        <v>7</v>
      </c>
      <c r="D19" s="436">
        <f>'数据-汇总表'!E3</f>
        <v>373.87</v>
      </c>
      <c r="E19" s="412">
        <f>'数据-取费表'!B31</f>
        <v>200</v>
      </c>
      <c r="F19" s="437"/>
      <c r="G19" s="424" t="s">
        <v>2170</v>
      </c>
    </row>
    <row r="20" s="392" customFormat="1" ht="13.5" customHeight="1" spans="1:7">
      <c r="A20" s="435" t="s">
        <v>1794</v>
      </c>
      <c r="B20" s="411" t="s">
        <v>2171</v>
      </c>
      <c r="C20" s="438">
        <f>ROUND((C5+C19)*F20,0)</f>
        <v>412</v>
      </c>
      <c r="D20" s="438"/>
      <c r="E20" s="438"/>
      <c r="F20" s="439">
        <f>'数据-取费表'!B37</f>
        <v>0.02</v>
      </c>
      <c r="G20" s="440" t="s">
        <v>2172</v>
      </c>
    </row>
    <row r="21" s="392" customFormat="1" ht="13.5" customHeight="1" spans="1:7">
      <c r="A21" s="435" t="s">
        <v>1799</v>
      </c>
      <c r="B21" s="411" t="s">
        <v>2173</v>
      </c>
      <c r="C21" s="441">
        <f>F21</f>
        <v>0.02</v>
      </c>
      <c r="D21" s="442" t="s">
        <v>2174</v>
      </c>
      <c r="E21" s="438"/>
      <c r="F21" s="439">
        <f>'数据-取费表'!B38</f>
        <v>0.02</v>
      </c>
      <c r="G21" s="443" t="s">
        <v>2175</v>
      </c>
    </row>
    <row r="22" s="392" customFormat="1" ht="13.5" customHeight="1" spans="1:7">
      <c r="A22" s="435" t="s">
        <v>1808</v>
      </c>
      <c r="B22" s="411" t="s">
        <v>2176</v>
      </c>
      <c r="C22" s="444">
        <f ca="1">ROUND(SUM(C23:C25),0)</f>
        <v>1323</v>
      </c>
      <c r="D22" s="441">
        <f ca="1">C26</f>
        <v>0.0006</v>
      </c>
      <c r="E22" s="442" t="s">
        <v>2174</v>
      </c>
      <c r="F22" s="445">
        <f ca="1">'数据-取费表'!B40</f>
        <v>0.0313</v>
      </c>
      <c r="G22" s="440" t="str">
        <f>IF('数据-取费表'!B22&lt;=1,"单利计息","复利计息")</f>
        <v>复利计息</v>
      </c>
    </row>
    <row r="23" s="392" customFormat="1" ht="13.5" customHeight="1" spans="1:7">
      <c r="A23" s="446" t="s">
        <v>1043</v>
      </c>
      <c r="B23" s="416" t="s">
        <v>2177</v>
      </c>
      <c r="C23" s="447">
        <f ca="1">ROUND(IF('数据-取费表'!B22&lt;=1,C5*F22*'数据-取费表'!B23,C5*(POWER((1+F22),'数据-取费表'!B23)-1)),0)</f>
        <v>1310</v>
      </c>
      <c r="D23" s="448"/>
      <c r="E23" s="448"/>
      <c r="F23" s="449"/>
      <c r="G23" s="450" t="s">
        <v>2178</v>
      </c>
    </row>
    <row r="24" s="392" customFormat="1" ht="13.5" customHeight="1" spans="1:7">
      <c r="A24" s="446" t="s">
        <v>1045</v>
      </c>
      <c r="B24" s="416" t="s">
        <v>2179</v>
      </c>
      <c r="C24" s="447">
        <f ca="1">ROUND(IF('数据-取费表'!B22&lt;=1,C19*F22*('数据-取费表'!B19/2+'数据-取费表'!B21),C19*(POWER((1+F22),('数据-取费表'!B19/2+'数据-取费表'!B21))-1)),0)</f>
        <v>0</v>
      </c>
      <c r="D24" s="448"/>
      <c r="E24" s="448"/>
      <c r="F24" s="449"/>
      <c r="G24" s="450" t="s">
        <v>2180</v>
      </c>
    </row>
    <row r="25" s="392" customFormat="1" ht="24" spans="1:7">
      <c r="A25" s="446" t="s">
        <v>1047</v>
      </c>
      <c r="B25" s="416" t="s">
        <v>2181</v>
      </c>
      <c r="C25" s="447">
        <f ca="1">ROUND(IF('数据-取费表'!B22&lt;=1,C20*F22*'数据-取费表'!B23/2,C20*(POWER((1+F22),'数据-取费表'!B23/2)-1)),0)</f>
        <v>13</v>
      </c>
      <c r="D25" s="448"/>
      <c r="E25" s="451"/>
      <c r="F25" s="449"/>
      <c r="G25" s="452" t="s">
        <v>2182</v>
      </c>
    </row>
    <row r="26" s="392" customFormat="1" spans="1:7">
      <c r="A26" s="446" t="s">
        <v>1087</v>
      </c>
      <c r="B26" s="416" t="s">
        <v>2183</v>
      </c>
      <c r="C26" s="448">
        <f ca="1">ROUND(IF('数据-取费表'!B22&lt;=1,F21*F22*'数据-取费表'!B23/2,F21*(POWER((1+F22),'数据-取费表'!B23/2)-1)),4)</f>
        <v>0.0006</v>
      </c>
      <c r="D26" s="448"/>
      <c r="E26" s="451"/>
      <c r="F26" s="449"/>
      <c r="G26" s="453"/>
    </row>
    <row r="27" s="392" customFormat="1" ht="24.75" spans="1:7">
      <c r="A27" s="435" t="s">
        <v>1817</v>
      </c>
      <c r="B27" s="454" t="s">
        <v>2184</v>
      </c>
      <c r="C27" s="455">
        <f>C28</f>
        <v>3154</v>
      </c>
      <c r="D27" s="441">
        <f>C29</f>
        <v>0.003</v>
      </c>
      <c r="E27" s="442" t="s">
        <v>2174</v>
      </c>
      <c r="F27" s="456">
        <f>'数据-取费表'!Q16</f>
        <v>0.15</v>
      </c>
      <c r="G27" s="457" t="s">
        <v>2185</v>
      </c>
    </row>
    <row r="28" s="392" customFormat="1" ht="13.5" customHeight="1" spans="1:7">
      <c r="A28" s="446" t="s">
        <v>1043</v>
      </c>
      <c r="B28" s="458" t="s">
        <v>2186</v>
      </c>
      <c r="C28" s="459">
        <f>ROUND((C5+C19+C20)*F27*'数据-取费表'!B21/'数据-取费表'!B20,0)</f>
        <v>3154</v>
      </c>
      <c r="D28" s="441"/>
      <c r="E28" s="442"/>
      <c r="F28" s="456"/>
      <c r="G28" s="457"/>
    </row>
    <row r="29" s="392" customFormat="1" ht="13.5" customHeight="1" spans="1:7">
      <c r="A29" s="446" t="s">
        <v>1045</v>
      </c>
      <c r="B29" s="458" t="s">
        <v>2187</v>
      </c>
      <c r="C29" s="448">
        <f>ROUND(C21*F27*'数据-取费表'!B21/'数据-取费表'!B20,4)</f>
        <v>0.003</v>
      </c>
      <c r="D29" s="441"/>
      <c r="E29" s="442"/>
      <c r="F29" s="456"/>
      <c r="G29" s="457"/>
    </row>
    <row r="30" s="392" customFormat="1" ht="13.5" customHeight="1" spans="1:7">
      <c r="A30" s="435" t="s">
        <v>2188</v>
      </c>
      <c r="B30" s="411" t="s">
        <v>2189</v>
      </c>
      <c r="C30" s="441">
        <f>F30</f>
        <v>0.055</v>
      </c>
      <c r="D30" s="442" t="s">
        <v>2190</v>
      </c>
      <c r="E30" s="451"/>
      <c r="F30" s="445">
        <f>'数据-取费表'!B41</f>
        <v>0.055</v>
      </c>
      <c r="G30" s="443" t="s">
        <v>2191</v>
      </c>
    </row>
    <row r="31" ht="16.5" customHeight="1" spans="1:7">
      <c r="A31" s="460">
        <v>1</v>
      </c>
      <c r="B31" s="411" t="s">
        <v>2192</v>
      </c>
      <c r="C31" s="412">
        <f ca="1">ROUND((C5+C19+C20+C22+C27)/(1-C21-D22-D27-C30/(1+'数据-取费表'!B42)),0)</f>
        <v>27603</v>
      </c>
      <c r="D31" s="461"/>
      <c r="E31" s="412"/>
      <c r="F31" s="462"/>
      <c r="G31" s="443" t="s">
        <v>2193</v>
      </c>
    </row>
    <row r="32" s="391" customFormat="1" ht="15.75" spans="1:7">
      <c r="A32" s="463" t="s">
        <v>2194</v>
      </c>
      <c r="B32" s="464"/>
      <c r="C32" s="464"/>
      <c r="D32" s="464"/>
      <c r="E32" s="464"/>
      <c r="F32" s="464"/>
      <c r="G32" s="465"/>
    </row>
    <row r="33" s="392" customFormat="1" ht="13.5" customHeight="1" spans="1:7">
      <c r="A33" s="410" t="s">
        <v>1039</v>
      </c>
      <c r="B33" s="411" t="s">
        <v>2195</v>
      </c>
      <c r="C33" s="466">
        <f>SUM(C34:C38)</f>
        <v>186</v>
      </c>
      <c r="D33" s="438"/>
      <c r="E33" s="413"/>
      <c r="F33" s="451"/>
      <c r="G33" s="443"/>
    </row>
    <row r="34" s="394" customFormat="1" ht="13.5" customHeight="1" spans="1:7">
      <c r="A34" s="446" t="s">
        <v>1043</v>
      </c>
      <c r="B34" s="416" t="s">
        <v>2196</v>
      </c>
      <c r="C34" s="421">
        <f>IF(F34=100%,'数据-取费表'!M16-SUMIF('数据-取费表'!C:C,"公共配套",'数据-取费表'!M:M),'数据-取费表'!O16-SUMIF('数据-取费表'!C:C,"公共配套",'数据-取费表'!O:O))</f>
        <v>168</v>
      </c>
      <c r="D34" s="418"/>
      <c r="E34" s="421"/>
      <c r="F34" s="467">
        <f>IF('数据-取费表'!B24=0,1,'数据-取费表'!N16)</f>
        <v>1</v>
      </c>
      <c r="G34" s="420" t="s">
        <v>2197</v>
      </c>
    </row>
    <row r="35" ht="13.5" customHeight="1" spans="1:7">
      <c r="A35" s="446" t="s">
        <v>1045</v>
      </c>
      <c r="B35" s="416" t="s">
        <v>2198</v>
      </c>
      <c r="C35" s="421">
        <f>ROUND(C34*F35,0)</f>
        <v>8</v>
      </c>
      <c r="D35" s="421"/>
      <c r="E35" s="421"/>
      <c r="F35" s="468">
        <f>'数据-取费表'!B33</f>
        <v>0.05</v>
      </c>
      <c r="G35" s="420" t="s">
        <v>2199</v>
      </c>
    </row>
    <row r="36" ht="24" spans="1:7">
      <c r="A36" s="446" t="s">
        <v>1047</v>
      </c>
      <c r="B36" s="416" t="s">
        <v>2200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2201</v>
      </c>
    </row>
    <row r="37" s="394" customFormat="1" ht="13.5" customHeight="1" spans="1:7">
      <c r="A37" s="446" t="s">
        <v>1087</v>
      </c>
      <c r="B37" s="416" t="s">
        <v>2202</v>
      </c>
      <c r="C37" s="459">
        <f>ROUND(E37*D37*F34/10000,0)</f>
        <v>7</v>
      </c>
      <c r="D37" s="418">
        <f>'数据-汇总表'!E3</f>
        <v>373.87</v>
      </c>
      <c r="E37" s="459">
        <f>'数据-取费表'!B35</f>
        <v>200</v>
      </c>
      <c r="F37" s="468"/>
      <c r="G37" s="470" t="s">
        <v>2203</v>
      </c>
    </row>
    <row r="38" ht="13.5" customHeight="1" spans="1:7">
      <c r="A38" s="446" t="s">
        <v>1109</v>
      </c>
      <c r="B38" s="416" t="s">
        <v>2161</v>
      </c>
      <c r="C38" s="421">
        <f>ROUND(C34*F38,0)</f>
        <v>3</v>
      </c>
      <c r="D38" s="421"/>
      <c r="E38" s="421"/>
      <c r="F38" s="468">
        <f>'数据-取费表'!B36</f>
        <v>0.02</v>
      </c>
      <c r="G38" s="420" t="s">
        <v>2199</v>
      </c>
    </row>
    <row r="39" s="392" customFormat="1" ht="13.5" customHeight="1" spans="1:7">
      <c r="A39" s="435" t="s">
        <v>1758</v>
      </c>
      <c r="B39" s="411" t="s">
        <v>2171</v>
      </c>
      <c r="C39" s="438">
        <f>ROUND(C33*F20,0)</f>
        <v>4</v>
      </c>
      <c r="D39" s="438"/>
      <c r="E39" s="438"/>
      <c r="F39" s="439"/>
      <c r="G39" s="440" t="s">
        <v>2204</v>
      </c>
    </row>
    <row r="40" s="392" customFormat="1" ht="13.5" customHeight="1" spans="1:7">
      <c r="A40" s="435" t="s">
        <v>1794</v>
      </c>
      <c r="B40" s="411" t="s">
        <v>2173</v>
      </c>
      <c r="C40" s="471">
        <f>F21</f>
        <v>0.02</v>
      </c>
      <c r="D40" s="442" t="s">
        <v>2205</v>
      </c>
      <c r="E40" s="438"/>
      <c r="F40" s="439"/>
      <c r="G40" s="443" t="s">
        <v>2206</v>
      </c>
    </row>
    <row r="41" s="392" customFormat="1" ht="13.5" customHeight="1" spans="1:7">
      <c r="A41" s="435" t="s">
        <v>1799</v>
      </c>
      <c r="B41" s="411" t="s">
        <v>2176</v>
      </c>
      <c r="C41" s="438">
        <f ca="1">ROUND(SUM(C42:C43),0)</f>
        <v>6</v>
      </c>
      <c r="D41" s="441">
        <f ca="1">C44</f>
        <v>0.0006</v>
      </c>
      <c r="E41" s="442" t="s">
        <v>2205</v>
      </c>
      <c r="F41" s="445"/>
      <c r="G41" s="440" t="str">
        <f>IF('数据-取费表'!B22&lt;=1,"单利计息","复利计息")</f>
        <v>复利计息</v>
      </c>
    </row>
    <row r="42" ht="13.5" customHeight="1" spans="1:7">
      <c r="A42" s="446" t="s">
        <v>1043</v>
      </c>
      <c r="B42" s="416" t="s">
        <v>2177</v>
      </c>
      <c r="C42" s="448">
        <f ca="1">ROUND(IF('数据-取费表'!B22&lt;=1,C33*F22*'数据-取费表'!B21/2,C33*(POWER((1+F22),'数据-取费表'!B21/2)-1)),0)</f>
        <v>6</v>
      </c>
      <c r="D42" s="448"/>
      <c r="E42" s="448"/>
      <c r="F42" s="449"/>
      <c r="G42" s="472" t="s">
        <v>2207</v>
      </c>
    </row>
    <row r="43" ht="13.5" customHeight="1" spans="1:7">
      <c r="A43" s="446" t="s">
        <v>1045</v>
      </c>
      <c r="B43" s="416" t="s">
        <v>2179</v>
      </c>
      <c r="C43" s="448">
        <f ca="1">ROUND(IF('数据-取费表'!B22&lt;=1,C39*F22*'数据-取费表'!B21/2,C39*(POWER((1+F22),'数据-取费表'!B21/2)-1)),0)</f>
        <v>0</v>
      </c>
      <c r="D43" s="448"/>
      <c r="E43" s="448"/>
      <c r="F43" s="449"/>
      <c r="G43" s="473"/>
    </row>
    <row r="44" ht="13.5" customHeight="1" spans="1:7">
      <c r="A44" s="446" t="s">
        <v>1047</v>
      </c>
      <c r="B44" s="416" t="s">
        <v>2181</v>
      </c>
      <c r="C44" s="448">
        <f ca="1">ROUND(IF('数据-取费表'!B22&lt;=1,C40*F22*'数据-取费表'!B21/2,C40*(POWER((1+F22),'数据-取费表'!B21/2)-1)),4)</f>
        <v>0.0006</v>
      </c>
      <c r="D44" s="448"/>
      <c r="E44" s="448"/>
      <c r="F44" s="449"/>
      <c r="G44" s="474"/>
    </row>
    <row r="45" s="392" customFormat="1" ht="13.5" customHeight="1" spans="1:7">
      <c r="A45" s="435" t="s">
        <v>1808</v>
      </c>
      <c r="B45" s="454" t="s">
        <v>2184</v>
      </c>
      <c r="C45" s="455">
        <f>C46</f>
        <v>29</v>
      </c>
      <c r="D45" s="441">
        <f>C47</f>
        <v>0.003</v>
      </c>
      <c r="E45" s="442" t="s">
        <v>2205</v>
      </c>
      <c r="F45" s="456"/>
      <c r="G45" s="457" t="s">
        <v>2208</v>
      </c>
    </row>
    <row r="46" s="392" customFormat="1" ht="13.5" customHeight="1" spans="1:7">
      <c r="A46" s="446" t="s">
        <v>1043</v>
      </c>
      <c r="B46" s="458" t="s">
        <v>2209</v>
      </c>
      <c r="C46" s="459">
        <f>ROUND((C33+C39)*F27,0)</f>
        <v>29</v>
      </c>
      <c r="D46" s="475"/>
      <c r="E46" s="442"/>
      <c r="F46" s="456"/>
      <c r="G46" s="457"/>
    </row>
    <row r="47" s="392" customFormat="1" ht="13.5" customHeight="1" spans="1:7">
      <c r="A47" s="446" t="s">
        <v>1045</v>
      </c>
      <c r="B47" s="458" t="s">
        <v>2210</v>
      </c>
      <c r="C47" s="448">
        <f>ROUND(C40*F27,4)</f>
        <v>0.003</v>
      </c>
      <c r="D47" s="475"/>
      <c r="E47" s="442"/>
      <c r="F47" s="456"/>
      <c r="G47" s="457"/>
    </row>
    <row r="48" s="392" customFormat="1" ht="13.5" customHeight="1" spans="1:7">
      <c r="A48" s="435" t="s">
        <v>1817</v>
      </c>
      <c r="B48" s="411" t="s">
        <v>2189</v>
      </c>
      <c r="C48" s="471">
        <f>F30</f>
        <v>0.055</v>
      </c>
      <c r="D48" s="442" t="s">
        <v>2211</v>
      </c>
      <c r="E48" s="438"/>
      <c r="F48" s="445"/>
      <c r="G48" s="443" t="s">
        <v>2212</v>
      </c>
    </row>
    <row r="49" ht="16.5" customHeight="1" spans="1:7">
      <c r="A49" s="435" t="s">
        <v>2188</v>
      </c>
      <c r="B49" s="411" t="s">
        <v>2213</v>
      </c>
      <c r="C49" s="438">
        <f ca="1">ROUND((C33+C39+C41+C45)/(1-C40-D41-D45-C48/(1+'数据-取费表'!B42)),0)</f>
        <v>244</v>
      </c>
      <c r="D49" s="438"/>
      <c r="E49" s="438"/>
      <c r="F49" s="476"/>
      <c r="G49" s="443" t="s">
        <v>2214</v>
      </c>
    </row>
    <row r="50" s="394" customFormat="1" ht="24" spans="1:7">
      <c r="A50" s="435" t="s">
        <v>2215</v>
      </c>
      <c r="B50" s="411" t="s">
        <v>2216</v>
      </c>
      <c r="C50" s="438"/>
      <c r="D50" s="438"/>
      <c r="E50" s="438"/>
      <c r="F50" s="476">
        <f>IF('数据-取费表'!B24=0,'数据-取费表'!N16,1)</f>
        <v>0.83</v>
      </c>
      <c r="G50" s="457" t="s">
        <v>2217</v>
      </c>
    </row>
    <row r="51" ht="16.5" customHeight="1" spans="1:7">
      <c r="A51" s="435" t="s">
        <v>2218</v>
      </c>
      <c r="B51" s="411" t="s">
        <v>2219</v>
      </c>
      <c r="C51" s="438">
        <f ca="1">ROUND(C49*F50,0)</f>
        <v>203</v>
      </c>
      <c r="D51" s="438"/>
      <c r="E51" s="438"/>
      <c r="F51" s="476"/>
      <c r="G51" s="443" t="s">
        <v>2220</v>
      </c>
    </row>
    <row r="52" s="391" customFormat="1" ht="16.5" spans="1:7">
      <c r="A52" s="477" t="s">
        <v>2221</v>
      </c>
      <c r="B52" s="478"/>
      <c r="C52" s="479">
        <f ca="1">C31+C51</f>
        <v>27806</v>
      </c>
      <c r="D52" s="478"/>
      <c r="E52" s="478"/>
      <c r="F52" s="478"/>
      <c r="G52" s="480"/>
    </row>
    <row r="55" ht="15" spans="2:3">
      <c r="B55" s="481" t="s">
        <v>2222</v>
      </c>
      <c r="C55" s="482"/>
    </row>
    <row r="56" spans="2:3">
      <c r="B56" s="483" t="s">
        <v>2223</v>
      </c>
      <c r="C56" s="484">
        <f ca="1">ROUND(C51/C52,3)</f>
        <v>0.007</v>
      </c>
    </row>
    <row r="57" spans="2:3">
      <c r="B57" s="483" t="s">
        <v>2224</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2225</v>
      </c>
      <c r="B1" s="356"/>
    </row>
    <row r="2" ht="14.25" spans="1:2">
      <c r="A2" s="356"/>
      <c r="B2" s="356"/>
    </row>
    <row r="3" ht="14.25" spans="1:7">
      <c r="A3" s="356"/>
      <c r="B3" s="356"/>
      <c r="C3" s="357" t="s">
        <v>229</v>
      </c>
      <c r="D3" s="357" t="s">
        <v>230</v>
      </c>
      <c r="E3" s="357" t="s">
        <v>232</v>
      </c>
      <c r="F3" s="357" t="s">
        <v>233</v>
      </c>
      <c r="G3" s="357" t="s">
        <v>231</v>
      </c>
    </row>
    <row r="4" ht="14.25" spans="1:7">
      <c r="A4" s="358" t="s">
        <v>2226</v>
      </c>
      <c r="B4" s="359" t="s">
        <v>2227</v>
      </c>
      <c r="C4" s="357"/>
      <c r="D4" s="357"/>
      <c r="E4" s="357"/>
      <c r="F4" s="357"/>
      <c r="G4" s="357"/>
    </row>
    <row r="5" spans="1:7">
      <c r="A5" s="360" t="s">
        <v>235</v>
      </c>
      <c r="B5" s="361" t="s">
        <v>2228</v>
      </c>
      <c r="C5" s="362">
        <v>0.098</v>
      </c>
      <c r="D5" s="362">
        <v>0.087</v>
      </c>
      <c r="E5" s="362">
        <v>0.087</v>
      </c>
      <c r="F5" s="362">
        <v>0.098</v>
      </c>
      <c r="G5" s="363">
        <v>0.095</v>
      </c>
    </row>
    <row r="6" spans="1:7">
      <c r="A6" s="364" t="s">
        <v>235</v>
      </c>
      <c r="B6" s="365" t="s">
        <v>2229</v>
      </c>
      <c r="C6" s="366">
        <v>0.098</v>
      </c>
      <c r="D6" s="366">
        <v>0.098</v>
      </c>
      <c r="E6" s="366">
        <v>0.098</v>
      </c>
      <c r="F6" s="366">
        <v>0.1</v>
      </c>
      <c r="G6" s="367">
        <v>0.099</v>
      </c>
    </row>
    <row r="7" spans="1:7">
      <c r="A7" s="364" t="s">
        <v>235</v>
      </c>
      <c r="B7" s="365" t="s">
        <v>2230</v>
      </c>
      <c r="C7" s="366">
        <v>0.097</v>
      </c>
      <c r="D7" s="366">
        <v>0.097</v>
      </c>
      <c r="E7" s="366">
        <v>0.096</v>
      </c>
      <c r="F7" s="366">
        <v>0.1</v>
      </c>
      <c r="G7" s="367">
        <v>0.098</v>
      </c>
    </row>
    <row r="8" spans="1:7">
      <c r="A8" s="364" t="s">
        <v>235</v>
      </c>
      <c r="B8" s="365" t="s">
        <v>2231</v>
      </c>
      <c r="C8" s="366">
        <v>0.081</v>
      </c>
      <c r="D8" s="366">
        <v>0.082</v>
      </c>
      <c r="E8" s="366">
        <v>0.07</v>
      </c>
      <c r="F8" s="366">
        <v>0.096</v>
      </c>
      <c r="G8" s="367">
        <v>0.089</v>
      </c>
    </row>
    <row r="9" ht="14.25" spans="1:7">
      <c r="A9" s="368" t="s">
        <v>235</v>
      </c>
      <c r="B9" s="369" t="s">
        <v>2232</v>
      </c>
      <c r="C9" s="370">
        <v>0.1</v>
      </c>
      <c r="D9" s="370">
        <v>0.1</v>
      </c>
      <c r="E9" s="370">
        <v>0.1</v>
      </c>
      <c r="F9" s="371"/>
      <c r="G9" s="372">
        <v>0.1</v>
      </c>
    </row>
    <row r="10" spans="1:7">
      <c r="A10" s="360" t="s">
        <v>251</v>
      </c>
      <c r="B10" s="361" t="s">
        <v>2233</v>
      </c>
      <c r="C10" s="362">
        <v>0.067</v>
      </c>
      <c r="D10" s="362">
        <v>0.079</v>
      </c>
      <c r="E10" s="362">
        <v>0.079</v>
      </c>
      <c r="F10" s="362">
        <v>0.1</v>
      </c>
      <c r="G10" s="363">
        <v>0.091</v>
      </c>
    </row>
    <row r="11" spans="1:7">
      <c r="A11" s="364" t="s">
        <v>251</v>
      </c>
      <c r="B11" s="365" t="s">
        <v>2234</v>
      </c>
      <c r="C11" s="366">
        <v>0.05</v>
      </c>
      <c r="D11" s="366">
        <v>0.053</v>
      </c>
      <c r="E11" s="366">
        <v>0.063</v>
      </c>
      <c r="F11" s="366">
        <v>0.1</v>
      </c>
      <c r="G11" s="367">
        <v>0.072</v>
      </c>
    </row>
    <row r="12" spans="1:7">
      <c r="A12" s="364" t="s">
        <v>251</v>
      </c>
      <c r="B12" s="365" t="s">
        <v>2235</v>
      </c>
      <c r="C12" s="366">
        <v>0.053</v>
      </c>
      <c r="D12" s="366">
        <v>0.09</v>
      </c>
      <c r="E12" s="366">
        <v>0.072</v>
      </c>
      <c r="F12" s="366">
        <v>0.1</v>
      </c>
      <c r="G12" s="367">
        <v>0.097</v>
      </c>
    </row>
    <row r="13" spans="1:7">
      <c r="A13" s="364" t="s">
        <v>251</v>
      </c>
      <c r="B13" s="365" t="s">
        <v>2236</v>
      </c>
      <c r="C13" s="366">
        <v>0.097</v>
      </c>
      <c r="D13" s="366">
        <v>0.092</v>
      </c>
      <c r="E13" s="366">
        <v>0.095</v>
      </c>
      <c r="F13" s="366">
        <v>0.1</v>
      </c>
      <c r="G13" s="367">
        <v>0.097</v>
      </c>
    </row>
    <row r="14" spans="1:7">
      <c r="A14" s="364" t="s">
        <v>251</v>
      </c>
      <c r="B14" s="365" t="s">
        <v>2237</v>
      </c>
      <c r="C14" s="366">
        <v>0.097</v>
      </c>
      <c r="D14" s="366">
        <v>0.097</v>
      </c>
      <c r="E14" s="366">
        <v>0.097</v>
      </c>
      <c r="F14" s="366">
        <v>0.1</v>
      </c>
      <c r="G14" s="367">
        <v>0.098</v>
      </c>
    </row>
    <row r="15" spans="1:7">
      <c r="A15" s="364" t="s">
        <v>251</v>
      </c>
      <c r="B15" s="365" t="s">
        <v>2238</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2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2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2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2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2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2608</v>
      </c>
      <c r="B1" s="344"/>
      <c r="C1" s="344"/>
      <c r="D1" s="344"/>
      <c r="E1" s="344"/>
      <c r="F1" s="345"/>
    </row>
    <row r="2" ht="14.25" spans="1:6">
      <c r="A2" s="346" t="s">
        <v>2609</v>
      </c>
      <c r="B2" s="347"/>
      <c r="C2" s="347"/>
      <c r="D2" s="347"/>
      <c r="E2" s="347"/>
      <c r="F2" s="347"/>
    </row>
    <row r="3" ht="14.25"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45960</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25" spans="2:44">
      <c r="B2" s="263"/>
      <c r="C2" s="264"/>
      <c r="D2" s="265" t="s">
        <v>2617</v>
      </c>
      <c r="E2" s="266" t="s">
        <v>229</v>
      </c>
      <c r="F2" s="266" t="s">
        <v>230</v>
      </c>
      <c r="G2" s="266" t="s">
        <v>232</v>
      </c>
      <c r="H2" s="266" t="s">
        <v>233</v>
      </c>
      <c r="I2" s="266" t="s">
        <v>231</v>
      </c>
      <c r="J2" s="289"/>
      <c r="K2" s="265" t="s">
        <v>2617</v>
      </c>
      <c r="L2" s="266" t="s">
        <v>229</v>
      </c>
      <c r="M2" s="266" t="s">
        <v>230</v>
      </c>
      <c r="N2" s="266" t="s">
        <v>232</v>
      </c>
      <c r="O2" s="266" t="s">
        <v>233</v>
      </c>
      <c r="P2" s="266" t="s">
        <v>231</v>
      </c>
      <c r="Q2" s="289"/>
      <c r="R2" s="265" t="s">
        <v>2617</v>
      </c>
      <c r="S2" s="266" t="s">
        <v>229</v>
      </c>
      <c r="T2" s="266" t="s">
        <v>230</v>
      </c>
      <c r="U2" s="266" t="s">
        <v>232</v>
      </c>
      <c r="V2" s="266" t="s">
        <v>233</v>
      </c>
      <c r="W2" s="266" t="s">
        <v>231</v>
      </c>
      <c r="X2" s="289"/>
      <c r="Y2" s="265" t="s">
        <v>2617</v>
      </c>
      <c r="Z2" s="266" t="s">
        <v>229</v>
      </c>
      <c r="AA2" s="266" t="s">
        <v>230</v>
      </c>
      <c r="AB2" s="266" t="s">
        <v>232</v>
      </c>
      <c r="AC2" s="266" t="s">
        <v>233</v>
      </c>
      <c r="AD2" s="266" t="s">
        <v>231</v>
      </c>
      <c r="AF2" t="s">
        <v>2617</v>
      </c>
      <c r="AG2" t="s">
        <v>229</v>
      </c>
      <c r="AH2" t="s">
        <v>230</v>
      </c>
      <c r="AI2" t="s">
        <v>232</v>
      </c>
      <c r="AJ2" t="s">
        <v>233</v>
      </c>
      <c r="AK2" t="s">
        <v>231</v>
      </c>
      <c r="AM2" t="s">
        <v>2617</v>
      </c>
      <c r="AN2" t="s">
        <v>229</v>
      </c>
      <c r="AO2" t="s">
        <v>230</v>
      </c>
      <c r="AP2" t="s">
        <v>232</v>
      </c>
      <c r="AQ2" t="s">
        <v>233</v>
      </c>
      <c r="AR2" t="s">
        <v>231</v>
      </c>
    </row>
    <row r="3" s="253" customFormat="1" ht="12.75" spans="1:30">
      <c r="A3" s="267" t="s">
        <v>2618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2639</v>
      </c>
    </row>
    <row r="27" s="258" customFormat="1" spans="9:9">
      <c r="I27" s="307" t="s">
        <v>1607</v>
      </c>
    </row>
    <row r="28" s="258" customFormat="1"/>
    <row r="29" s="259" customFormat="1" ht="12.75"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25" spans="2:44">
      <c r="B30" s="263"/>
      <c r="C30" s="264"/>
      <c r="D30" s="265" t="s">
        <v>2617</v>
      </c>
      <c r="E30" s="266" t="s">
        <v>229</v>
      </c>
      <c r="F30" s="266" t="s">
        <v>230</v>
      </c>
      <c r="G30" s="266" t="s">
        <v>232</v>
      </c>
      <c r="H30" s="266"/>
      <c r="I30" s="266" t="s">
        <v>231</v>
      </c>
      <c r="J30" s="289"/>
      <c r="K30" s="265" t="s">
        <v>2617</v>
      </c>
      <c r="L30" s="266" t="s">
        <v>229</v>
      </c>
      <c r="M30" s="266" t="s">
        <v>230</v>
      </c>
      <c r="N30" s="266" t="s">
        <v>232</v>
      </c>
      <c r="O30" s="266"/>
      <c r="P30" s="266" t="s">
        <v>231</v>
      </c>
      <c r="Q30" s="289"/>
      <c r="R30" s="265" t="s">
        <v>2617</v>
      </c>
      <c r="S30" s="266" t="s">
        <v>229</v>
      </c>
      <c r="T30" s="266" t="s">
        <v>230</v>
      </c>
      <c r="U30" s="266" t="s">
        <v>232</v>
      </c>
      <c r="V30" s="266"/>
      <c r="W30" s="266" t="s">
        <v>231</v>
      </c>
      <c r="X30" s="289"/>
      <c r="Y30" s="265" t="s">
        <v>2617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2642</v>
      </c>
      <c r="C1" s="120"/>
      <c r="D1" s="120"/>
      <c r="E1" s="120"/>
      <c r="F1" s="120"/>
      <c r="G1" s="109" t="s">
        <v>2643</v>
      </c>
      <c r="N1" s="109" t="s">
        <v>2614</v>
      </c>
      <c r="S1" s="109" t="s">
        <v>2644</v>
      </c>
      <c r="X1" s="193" t="s">
        <v>2615</v>
      </c>
      <c r="AD1" s="193" t="s">
        <v>2616</v>
      </c>
    </row>
    <row r="2" s="110" customFormat="1" ht="14.25" spans="2:34">
      <c r="B2" s="121" t="s">
        <v>471</v>
      </c>
      <c r="C2" s="121" t="s">
        <v>2645</v>
      </c>
      <c r="D2" s="122" t="s">
        <v>230</v>
      </c>
      <c r="E2" s="122" t="s">
        <v>232</v>
      </c>
      <c r="F2" s="121" t="s">
        <v>2646</v>
      </c>
      <c r="G2" s="123"/>
      <c r="I2" s="121" t="s">
        <v>471</v>
      </c>
      <c r="J2" s="122" t="s">
        <v>1942</v>
      </c>
      <c r="K2" s="122" t="s">
        <v>232</v>
      </c>
      <c r="L2" s="121" t="s">
        <v>2646</v>
      </c>
      <c r="N2" s="121" t="s">
        <v>471</v>
      </c>
      <c r="O2" s="122" t="s">
        <v>1942</v>
      </c>
      <c r="P2" s="122" t="s">
        <v>232</v>
      </c>
      <c r="Q2" s="121" t="s">
        <v>2646</v>
      </c>
      <c r="S2" s="121" t="s">
        <v>471</v>
      </c>
      <c r="T2" s="122" t="s">
        <v>1942</v>
      </c>
      <c r="U2" s="122" t="s">
        <v>232</v>
      </c>
      <c r="V2" s="121" t="s">
        <v>2646</v>
      </c>
      <c r="X2" s="121" t="s">
        <v>471</v>
      </c>
      <c r="Y2" s="121" t="s">
        <v>2645</v>
      </c>
      <c r="Z2" s="122" t="s">
        <v>230</v>
      </c>
      <c r="AA2" s="122" t="s">
        <v>232</v>
      </c>
      <c r="AB2" s="121" t="s">
        <v>2646</v>
      </c>
      <c r="AD2" s="121" t="s">
        <v>471</v>
      </c>
      <c r="AE2" s="121" t="s">
        <v>2645</v>
      </c>
      <c r="AF2" s="122" t="s">
        <v>230</v>
      </c>
      <c r="AG2" s="122" t="s">
        <v>232</v>
      </c>
      <c r="AH2" s="121" t="s">
        <v>2646</v>
      </c>
    </row>
    <row r="3" s="111" customFormat="1" ht="14.25"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2725</v>
      </c>
      <c r="G91" s="227"/>
      <c r="N91" s="227"/>
      <c r="S91" s="227"/>
    </row>
    <row r="92" s="117" customFormat="1" spans="1:19">
      <c r="A92" s="117" t="s">
        <v>2726</v>
      </c>
      <c r="G92" s="227"/>
      <c r="N92" s="227"/>
      <c r="S92" s="227"/>
    </row>
    <row r="93" s="117" customFormat="1" spans="1:22">
      <c r="A93" s="117" t="s">
        <v>2727</v>
      </c>
      <c r="G93" s="227"/>
      <c r="I93" s="239"/>
      <c r="J93" s="239"/>
      <c r="K93" s="239"/>
      <c r="L93" s="239"/>
      <c r="N93" s="240"/>
      <c r="O93" s="239"/>
      <c r="P93" s="239"/>
      <c r="Q93" s="239"/>
      <c r="S93" s="240"/>
      <c r="T93" s="239"/>
      <c r="U93" s="239"/>
      <c r="V93" s="239"/>
    </row>
    <row r="94" s="117" customFormat="1" spans="1:19">
      <c r="A94" s="117" t="s">
        <v>2728</v>
      </c>
      <c r="G94" s="227"/>
      <c r="N94" s="227"/>
      <c r="S94" s="227"/>
    </row>
    <row r="101" ht="13.5"/>
    <row r="102"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2734</v>
      </c>
      <c r="B2" s="79"/>
      <c r="C2" s="79"/>
      <c r="D2" s="79"/>
      <c r="E2" s="79"/>
      <c r="F2" s="79"/>
      <c r="G2" s="80" t="s">
        <v>2735</v>
      </c>
      <c r="I2" s="89" t="s">
        <v>2228</v>
      </c>
      <c r="J2" s="89" t="s">
        <v>2233</v>
      </c>
      <c r="K2" s="89" t="s">
        <v>2253</v>
      </c>
      <c r="L2" s="89" t="s">
        <v>2278</v>
      </c>
      <c r="M2" s="89" t="s">
        <v>2310</v>
      </c>
      <c r="N2" s="89" t="s">
        <v>2350</v>
      </c>
      <c r="O2" s="89" t="s">
        <v>2413</v>
      </c>
      <c r="P2" s="89" t="s">
        <v>2457</v>
      </c>
      <c r="Q2" s="89" t="s">
        <v>2500</v>
      </c>
      <c r="R2" s="89" t="s">
        <v>2550</v>
      </c>
      <c r="S2" s="89" t="s">
        <v>2581</v>
      </c>
      <c r="T2" s="89" t="s">
        <v>2601</v>
      </c>
    </row>
    <row r="3" s="74" customFormat="1" spans="1:20">
      <c r="A3" s="81" t="s">
        <v>2226</v>
      </c>
      <c r="B3" s="82"/>
      <c r="C3" s="83" t="s">
        <v>229</v>
      </c>
      <c r="D3" s="83" t="s">
        <v>230</v>
      </c>
      <c r="E3" s="83" t="s">
        <v>232</v>
      </c>
      <c r="F3" s="83" t="s">
        <v>233</v>
      </c>
      <c r="G3" s="83" t="s">
        <v>231</v>
      </c>
      <c r="H3" s="84"/>
      <c r="I3" s="90" t="s">
        <v>2229</v>
      </c>
      <c r="J3" s="91" t="s">
        <v>2234</v>
      </c>
      <c r="K3" s="91" t="s">
        <v>2254</v>
      </c>
      <c r="L3" s="90" t="s">
        <v>2279</v>
      </c>
      <c r="M3" s="90" t="s">
        <v>2311</v>
      </c>
      <c r="N3" s="90" t="s">
        <v>2351</v>
      </c>
      <c r="O3" s="90" t="s">
        <v>2414</v>
      </c>
      <c r="P3" s="90" t="s">
        <v>2458</v>
      </c>
      <c r="Q3" s="90" t="s">
        <v>2501</v>
      </c>
      <c r="R3" s="90" t="s">
        <v>2551</v>
      </c>
      <c r="S3" s="90" t="s">
        <v>2582</v>
      </c>
      <c r="T3" s="90" t="s">
        <v>2602</v>
      </c>
    </row>
    <row r="4" s="74" customFormat="1" ht="12" spans="1:20">
      <c r="A4" s="85"/>
      <c r="B4" s="86" t="s">
        <v>2227</v>
      </c>
      <c r="C4" s="86" t="s">
        <v>2736</v>
      </c>
      <c r="D4" s="86" t="s">
        <v>2736</v>
      </c>
      <c r="E4" s="86" t="s">
        <v>2736</v>
      </c>
      <c r="F4" s="87" t="s">
        <v>2736</v>
      </c>
      <c r="G4" s="87" t="s">
        <v>2736</v>
      </c>
      <c r="H4" s="84"/>
      <c r="I4" s="91" t="s">
        <v>2230</v>
      </c>
      <c r="J4" s="91" t="s">
        <v>2235</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2228</v>
      </c>
      <c r="C5" s="89">
        <v>34550</v>
      </c>
      <c r="D5" s="89">
        <v>34470</v>
      </c>
      <c r="E5" s="89">
        <v>34330</v>
      </c>
      <c r="F5" s="89">
        <v>13400</v>
      </c>
      <c r="G5" s="89">
        <v>25450</v>
      </c>
      <c r="H5" s="84"/>
      <c r="I5" s="90" t="s">
        <v>2231</v>
      </c>
      <c r="J5" s="91" t="s">
        <v>2236</v>
      </c>
      <c r="K5" s="91" t="s">
        <v>2256</v>
      </c>
      <c r="L5" s="90" t="s">
        <v>2281</v>
      </c>
      <c r="M5" s="90" t="s">
        <v>2313</v>
      </c>
      <c r="N5" s="90" t="s">
        <v>2353</v>
      </c>
      <c r="O5" s="90" t="s">
        <v>2416</v>
      </c>
      <c r="P5" s="90" t="s">
        <v>2460</v>
      </c>
      <c r="Q5" s="90" t="s">
        <v>2503</v>
      </c>
      <c r="R5" s="90" t="s">
        <v>2553</v>
      </c>
      <c r="S5" s="90" t="s">
        <v>2584</v>
      </c>
      <c r="T5" s="90" t="s">
        <v>2604</v>
      </c>
    </row>
    <row r="6" ht="12" spans="1:20">
      <c r="A6" s="90" t="s">
        <v>235</v>
      </c>
      <c r="B6" s="90" t="s">
        <v>2229</v>
      </c>
      <c r="C6" s="90">
        <v>36990</v>
      </c>
      <c r="D6" s="90">
        <v>36850</v>
      </c>
      <c r="E6" s="90">
        <v>36700</v>
      </c>
      <c r="F6" s="90">
        <v>14590</v>
      </c>
      <c r="G6" s="90">
        <v>27450</v>
      </c>
      <c r="H6" s="84"/>
      <c r="I6" s="93" t="s">
        <v>2232</v>
      </c>
      <c r="J6" s="91" t="s">
        <v>2237</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2230</v>
      </c>
      <c r="C7" s="90">
        <v>34850</v>
      </c>
      <c r="D7" s="90">
        <v>34690</v>
      </c>
      <c r="E7" s="90">
        <v>34550</v>
      </c>
      <c r="F7" s="90">
        <v>14360</v>
      </c>
      <c r="G7" s="90">
        <v>25620</v>
      </c>
      <c r="H7" s="84"/>
      <c r="J7" s="91" t="s">
        <v>2238</v>
      </c>
      <c r="K7" s="91" t="s">
        <v>2258</v>
      </c>
      <c r="L7" s="90" t="s">
        <v>2283</v>
      </c>
      <c r="M7" s="90" t="s">
        <v>2315</v>
      </c>
      <c r="N7" s="90" t="s">
        <v>2355</v>
      </c>
      <c r="O7" s="90" t="s">
        <v>2418</v>
      </c>
      <c r="P7" s="90" t="s">
        <v>2462</v>
      </c>
      <c r="Q7" s="90" t="s">
        <v>2505</v>
      </c>
      <c r="R7" s="90" t="s">
        <v>2555</v>
      </c>
      <c r="S7" s="90" t="s">
        <v>2586</v>
      </c>
      <c r="T7" s="90" t="s">
        <v>2606</v>
      </c>
    </row>
    <row r="8" ht="12" spans="1:20">
      <c r="A8" s="90" t="s">
        <v>235</v>
      </c>
      <c r="B8" s="90" t="s">
        <v>2231</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 spans="1:19">
      <c r="A9" s="92" t="s">
        <v>235</v>
      </c>
      <c r="B9" s="93" t="s">
        <v>2232</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2233</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2234</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2235</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2236</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2237</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2238</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2737</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2738</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2739</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2740</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2737</v>
      </c>
      <c r="C227" s="90"/>
      <c r="D227" s="90"/>
      <c r="E227" s="90"/>
      <c r="F227" s="90">
        <v>1520</v>
      </c>
      <c r="G227" s="98"/>
    </row>
    <row r="228" s="75" customFormat="1" ht="14.25" customHeight="1" spans="1:7">
      <c r="A228" s="90" t="s">
        <v>303</v>
      </c>
      <c r="B228" s="90" t="s">
        <v>2738</v>
      </c>
      <c r="C228" s="90"/>
      <c r="D228" s="90"/>
      <c r="E228" s="90"/>
      <c r="F228" s="90">
        <v>1520</v>
      </c>
      <c r="G228" s="98"/>
    </row>
    <row r="229" s="75" customFormat="1" ht="14.25" customHeight="1" spans="1:7">
      <c r="A229" s="90" t="s">
        <v>303</v>
      </c>
      <c r="B229" s="90" t="s">
        <v>2739</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2740</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45960</v>
      </c>
      <c r="D1" s="7" t="s">
        <v>2741</v>
      </c>
      <c r="E1" s="9">
        <f>'数据-取费表'!B22</f>
        <v>2</v>
      </c>
      <c r="F1" s="7" t="s">
        <v>2742</v>
      </c>
      <c r="G1" s="10">
        <f ca="1">IF(OR(C1&lt;C27,E1&lt;=1),INDIRECT("d"&amp;$K$1)/100,ROUND((D5+(E1-C5)*(D7-D5)/(C7-C5))/100,4))</f>
        <v>0.0313</v>
      </c>
      <c r="H1" s="7" t="s">
        <v>2743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373.87</v>
      </c>
      <c r="C4" s="3657">
        <f>项目基本情况!C18</f>
        <v>0</v>
      </c>
      <c r="D4" s="3657" t="e">
        <f ca="1">结果表!D118</f>
        <v>#REF!</v>
      </c>
      <c r="E4" s="3657" t="e">
        <f ca="1">结果表!E118</f>
        <v>#REF!</v>
      </c>
      <c r="F4" s="3657" t="e">
        <f ca="1">结果表!F118</f>
        <v>#REF!</v>
      </c>
      <c r="G4" s="3657" t="e">
        <f ca="1">结果表!G118</f>
        <v>#REF!</v>
      </c>
      <c r="H4" s="3657">
        <f ca="1">结果表!H118</f>
        <v>1252</v>
      </c>
      <c r="I4" s="3657">
        <f ca="1">结果表!I118</f>
        <v>33496</v>
      </c>
    </row>
    <row r="5" ht="30" customHeight="1" spans="1:9">
      <c r="A5" s="3657" t="s">
        <v>112</v>
      </c>
      <c r="B5" s="3657"/>
      <c r="C5" s="3657"/>
      <c r="D5" s="3657" t="e">
        <f ca="1">结果表!D119</f>
        <v>#REF!</v>
      </c>
      <c r="E5" s="3657"/>
      <c r="F5" s="3657" t="e">
        <f ca="1">结果表!F119</f>
        <v>#REF!</v>
      </c>
      <c r="G5" s="3657"/>
      <c r="H5" s="3657" t="str">
        <f ca="1">结果表!H119</f>
        <v>壹仟贰佰伍拾贰万元整</v>
      </c>
      <c r="I5" s="3657"/>
    </row>
    <row r="6" ht="15.75"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75" spans="1:9">
      <c r="A8" s="3659" t="str">
        <f>结果表!A122</f>
        <v>房地产抵押价值</v>
      </c>
      <c r="B8" s="3659"/>
      <c r="C8" s="3659"/>
      <c r="D8" s="3659">
        <f ca="1">结果表!D122</f>
        <v>1252</v>
      </c>
      <c r="E8" s="3659"/>
      <c r="F8" s="3659"/>
      <c r="G8" s="3659"/>
      <c r="H8" s="3659"/>
      <c r="I8" s="3659"/>
    </row>
    <row r="9" ht="15" spans="1:9">
      <c r="A9" s="3657" t="s">
        <v>112</v>
      </c>
      <c r="B9" s="3657"/>
      <c r="C9" s="3657"/>
      <c r="D9" s="3657" t="str">
        <f ca="1">结果表!D123</f>
        <v>壹仟贰佰伍拾贰万元整</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769"/>
      <c r="C23" s="1769"/>
      <c r="D23" s="1769"/>
    </row>
    <row r="24" spans="1:4">
      <c r="A24" s="3651"/>
      <c r="B24" s="1769"/>
      <c r="C24" s="1769"/>
      <c r="D24" s="1769"/>
    </row>
    <row r="25" ht="18.75" spans="1:1">
      <c r="A25" s="3652" t="s">
        <v>130</v>
      </c>
    </row>
    <row r="26" ht="18" spans="1:1">
      <c r="A26" s="3653"/>
    </row>
    <row r="27" ht="18.75" spans="1:1">
      <c r="A27" s="3653" t="s">
        <v>131</v>
      </c>
    </row>
    <row r="30" ht="18.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1" customWidth="1"/>
    <col min="3" max="10" width="12.5"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7" customWidth="1"/>
    <col min="2" max="16384" width="14.5" style="3556"/>
  </cols>
  <sheetData>
    <row r="1" s="3606" customFormat="1" ht="18.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3.5" spans="1:3">
      <c r="A15" s="3617" t="s">
        <v>146</v>
      </c>
      <c r="B15" s="3618" t="s">
        <v>147</v>
      </c>
      <c r="C15" s="3619"/>
    </row>
    <row r="16" ht="13.5" spans="1:3">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1">
      <c r="A34" s="3628" t="s">
        <v>168</v>
      </c>
    </row>
    <row r="37" spans="1:1">
      <c r="A37" s="3628" t="s">
        <v>169</v>
      </c>
    </row>
    <row r="38" ht="13.5" spans="1:1">
      <c r="A38" s="3629" t="s">
        <v>170</v>
      </c>
    </row>
    <row r="39" ht="13.5" spans="1:1">
      <c r="A39" s="3629" t="s">
        <v>171</v>
      </c>
    </row>
    <row r="40" ht="13.5" spans="1:1">
      <c r="A40" s="3629" t="s">
        <v>172</v>
      </c>
    </row>
    <row r="41" ht="13.5" spans="1:1">
      <c r="A41" s="3630" t="s">
        <v>173</v>
      </c>
    </row>
    <row r="42" ht="13.5"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5" customWidth="1"/>
    <col min="2" max="2" width="38.625" style="3575" customWidth="1"/>
    <col min="3" max="3" width="26" style="3575" customWidth="1"/>
    <col min="4" max="4" width="35" style="3575" hidden="1" customWidth="1"/>
    <col min="5" max="5" width="30.125" style="3575" customWidth="1"/>
    <col min="6" max="6" width="35.5" style="3575" customWidth="1"/>
    <col min="7" max="7" width="31" style="3575" customWidth="1"/>
    <col min="8" max="8" width="37.5" style="3575" hidden="1" customWidth="1"/>
    <col min="9" max="16384" width="22.625" style="3575"/>
  </cols>
  <sheetData>
    <row r="1" customHeight="1" spans="1:8">
      <c r="A1" s="3576"/>
      <c r="B1" s="3576"/>
      <c r="C1" s="3576"/>
      <c r="D1" s="3576"/>
      <c r="E1" s="3576"/>
      <c r="F1" s="3576"/>
      <c r="G1" s="3576"/>
      <c r="H1" s="3576"/>
    </row>
    <row r="2" customHeight="1" spans="1:8">
      <c r="A2" s="3577" t="s">
        <v>175</v>
      </c>
      <c r="B2" s="3578">
        <f ca="1">TODAY()</f>
        <v>45964</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t="str">
        <f ca="1">IF(C4&lt;B2,"已过期",1119970066)</f>
        <v>已过期</v>
      </c>
      <c r="C4" s="3585">
        <v>45937</v>
      </c>
      <c r="D4" s="3586" t="str">
        <f ca="1">A4&amp;"（注册号："&amp;B4&amp;"）"</f>
        <v>梁津（注册号：已过期）</v>
      </c>
      <c r="E4" s="3587" t="s">
        <v>184</v>
      </c>
      <c r="F4" s="3584">
        <f ca="1">IF(G4&lt;B2,"已过期",96010014)</f>
        <v>96010014</v>
      </c>
      <c r="G4" s="3588">
        <v>47118</v>
      </c>
      <c r="H4" s="3589" t="str">
        <f ca="1">E4&amp;"（注册号："&amp;F4&amp;"）"</f>
        <v>梁津（注册号：96010014）</v>
      </c>
    </row>
    <row r="5" customHeight="1" spans="1:8">
      <c r="A5" s="3584" t="s">
        <v>185</v>
      </c>
      <c r="B5" s="3584" t="str">
        <f ca="1">IF(C5&lt;B2,"已过期",1119970111)</f>
        <v>已过期</v>
      </c>
      <c r="C5" s="3585">
        <v>45937</v>
      </c>
      <c r="D5" s="3586" t="str">
        <f ca="1" t="shared" ref="D5:D16" si="0">A5&amp;"（注册号："&amp;B5&amp;"）"</f>
        <v>叶凌（注册号：已过期）</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t="str">
        <f ca="1">IF(C7&lt;B2,"已过期",1120000080)</f>
        <v>已过期</v>
      </c>
      <c r="C7" s="3585">
        <v>45937</v>
      </c>
      <c r="D7" s="3586" t="str">
        <f ca="1" t="shared" si="0"/>
        <v>欧红伟（注册号：已过期）</v>
      </c>
      <c r="E7" s="3587" t="s">
        <v>187</v>
      </c>
      <c r="F7" s="3584">
        <f ca="1">IF(G7&lt;B2,"已过期",2000110082)</f>
        <v>2000110082</v>
      </c>
      <c r="G7" s="3588">
        <v>46387</v>
      </c>
      <c r="H7" s="3589" t="str">
        <f ca="1" t="shared" si="1"/>
        <v>欧红伟（注册号：2000110082）</v>
      </c>
    </row>
    <row r="8" customHeight="1" spans="1:8">
      <c r="A8" s="3584" t="s">
        <v>188</v>
      </c>
      <c r="B8" s="3584" t="str">
        <f ca="1">IF(C8&lt;B2,"已过期",1419970001)</f>
        <v>已过期</v>
      </c>
      <c r="C8" s="3585">
        <v>45937</v>
      </c>
      <c r="D8" s="3586" t="str">
        <f ca="1" t="shared" si="0"/>
        <v>吴薇（注册号：已过期）</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t="str">
        <f ca="1">IF(C11&lt;B2,"已过期",1120070131)</f>
        <v>已过期</v>
      </c>
      <c r="C11" s="3585">
        <v>45937</v>
      </c>
      <c r="D11" s="3586" t="str">
        <f ca="1" t="shared" si="0"/>
        <v>郑燚（注册号：已过期）</v>
      </c>
      <c r="E11" s="3587" t="s">
        <v>191</v>
      </c>
      <c r="F11" s="3584">
        <f ca="1">IF(G11&lt;B2,"已过期",2014110011)</f>
        <v>2014110011</v>
      </c>
      <c r="G11" s="3588">
        <v>49302</v>
      </c>
      <c r="H11" s="3589" t="str">
        <f ca="1" t="shared" si="1"/>
        <v>郑燚（注册号：2014110011）</v>
      </c>
    </row>
    <row r="12" customHeight="1" spans="1:8">
      <c r="A12" s="3584" t="s">
        <v>192</v>
      </c>
      <c r="B12" s="3584" t="str">
        <f ca="1">IF(C12&lt;B2,"已过期",1120040230)</f>
        <v>已过期</v>
      </c>
      <c r="C12" s="3590">
        <v>45937</v>
      </c>
      <c r="D12" s="3586" t="str">
        <f ca="1" t="shared" si="0"/>
        <v>苏海（注册号：已过期）</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售价</vt:lpstr>
      <vt:lpstr>租金</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2025-11-03T09:03:22Z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FBD6D50616114706BE6A0FE4D3A6F7DD_12</vt:lpwstr>
  </property>
  <property fmtid="{D5CDD505-2E9C-101B-9397-08002B2CF9AE}" pid="4" name="KSOProductBuildVer">
    <vt:lpwstr>2052-12.1.0.23125</vt:lpwstr>
  </property>
</Properties>
</file>